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hristianzubcic/Documents/Monash University/2023/Semester 2/FYP/FYP/elsevier_scripts/"/>
    </mc:Choice>
  </mc:AlternateContent>
  <xr:revisionPtr revIDLastSave="0" documentId="8_{B92F7157-7566-3A40-80C1-F64206641EC0}" xr6:coauthVersionLast="47" xr6:coauthVersionMax="47" xr10:uidLastSave="{00000000-0000-0000-0000-000000000000}"/>
  <bookViews>
    <workbookView xWindow="360" yWindow="760" windowWidth="14940" windowHeight="916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F374"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F537" i="1"/>
  <c r="BT537" i="1"/>
  <c r="BF538" i="1"/>
  <c r="BT538" i="1"/>
  <c r="BF539" i="1"/>
  <c r="BT539" i="1"/>
  <c r="BF540" i="1"/>
  <c r="BT540" i="1"/>
  <c r="BF541" i="1"/>
  <c r="BT541" i="1"/>
  <c r="BF542" i="1"/>
  <c r="BT542" i="1"/>
  <c r="BF543" i="1"/>
  <c r="BT543" i="1"/>
  <c r="BF544" i="1"/>
  <c r="BT544" i="1"/>
  <c r="BF545" i="1"/>
  <c r="BT545" i="1"/>
  <c r="BF546" i="1"/>
  <c r="BT546" i="1"/>
  <c r="BF547" i="1"/>
  <c r="BT547" i="1"/>
  <c r="BF548" i="1"/>
  <c r="BT548" i="1"/>
  <c r="BF549" i="1"/>
  <c r="BT549" i="1"/>
  <c r="BF550" i="1"/>
  <c r="BT550" i="1"/>
  <c r="BF551" i="1"/>
  <c r="BT551" i="1"/>
  <c r="BF552" i="1"/>
  <c r="BT552" i="1"/>
  <c r="BF553" i="1"/>
  <c r="BT553" i="1"/>
  <c r="BF554" i="1"/>
  <c r="BT554" i="1"/>
  <c r="BF555" i="1"/>
  <c r="BT555" i="1"/>
  <c r="BF556"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F588" i="1"/>
  <c r="BT588" i="1"/>
  <c r="BF589" i="1"/>
  <c r="BT589" i="1"/>
  <c r="BF590" i="1"/>
  <c r="BT590" i="1"/>
  <c r="BF591" i="1"/>
  <c r="BT591" i="1"/>
  <c r="BF592" i="1"/>
  <c r="BT592" i="1"/>
  <c r="BF593" i="1"/>
  <c r="BT593" i="1"/>
  <c r="BF594" i="1"/>
  <c r="BT594" i="1"/>
  <c r="BF595" i="1"/>
  <c r="BT595" i="1"/>
  <c r="BF596" i="1"/>
  <c r="BT596" i="1"/>
  <c r="BF597" i="1"/>
  <c r="BT597" i="1"/>
  <c r="BF598" i="1"/>
  <c r="BT598" i="1"/>
  <c r="BF599" i="1"/>
  <c r="BT599" i="1"/>
  <c r="BF600" i="1"/>
  <c r="BT600" i="1"/>
  <c r="BF601" i="1"/>
  <c r="BT601" i="1"/>
  <c r="BF602" i="1"/>
  <c r="BT602" i="1"/>
  <c r="BF603" i="1"/>
  <c r="BT603" i="1"/>
  <c r="BF604" i="1"/>
  <c r="BT604" i="1"/>
  <c r="BF605"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F624" i="1"/>
  <c r="BT624" i="1"/>
  <c r="BF625" i="1"/>
  <c r="BT625" i="1"/>
  <c r="BF626" i="1"/>
  <c r="BT626" i="1"/>
  <c r="BF627" i="1"/>
  <c r="BT627" i="1"/>
  <c r="BF628" i="1"/>
  <c r="BT628" i="1"/>
  <c r="BF629" i="1"/>
  <c r="BT629" i="1"/>
  <c r="BF630" i="1"/>
  <c r="BT630" i="1"/>
  <c r="BF631" i="1"/>
  <c r="BT631" i="1"/>
  <c r="BF632" i="1"/>
  <c r="BT632" i="1"/>
  <c r="BF633" i="1"/>
  <c r="BT633" i="1"/>
  <c r="BF634" i="1"/>
  <c r="BT634" i="1"/>
  <c r="BF635" i="1"/>
  <c r="BT635" i="1"/>
  <c r="BF636" i="1"/>
  <c r="BT636" i="1"/>
  <c r="BF637" i="1"/>
  <c r="BT637" i="1"/>
  <c r="BF638" i="1"/>
  <c r="BT638" i="1"/>
  <c r="BF639" i="1"/>
  <c r="BT639" i="1"/>
  <c r="BF640" i="1"/>
  <c r="BT640" i="1"/>
  <c r="BF641" i="1"/>
  <c r="BT641" i="1"/>
  <c r="BF642" i="1"/>
  <c r="BT642" i="1"/>
  <c r="BF643" i="1"/>
  <c r="BT643" i="1"/>
  <c r="BF644"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F657"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F706"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F733" i="1"/>
  <c r="BT733" i="1"/>
  <c r="BF734" i="1"/>
  <c r="BT734" i="1"/>
  <c r="BF735" i="1"/>
  <c r="BT735" i="1"/>
  <c r="BF736" i="1"/>
  <c r="BT736" i="1"/>
  <c r="BF737" i="1"/>
  <c r="BT737" i="1"/>
  <c r="BF738" i="1"/>
  <c r="BT738" i="1"/>
  <c r="BF739" i="1"/>
  <c r="BT739" i="1"/>
  <c r="BF740"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F781" i="1"/>
  <c r="BT781" i="1"/>
  <c r="BF782" i="1"/>
  <c r="BT782" i="1"/>
  <c r="BF783" i="1"/>
  <c r="BT783" i="1"/>
  <c r="BF784" i="1"/>
  <c r="BT784" i="1"/>
  <c r="BF785" i="1"/>
  <c r="BT785" i="1"/>
  <c r="BF786" i="1"/>
  <c r="BT786" i="1"/>
  <c r="BF787" i="1"/>
  <c r="BT787" i="1"/>
  <c r="BF788" i="1"/>
  <c r="BT788" i="1"/>
  <c r="BF789" i="1"/>
  <c r="BT789" i="1"/>
  <c r="BF790" i="1"/>
  <c r="BT790" i="1"/>
  <c r="BF791" i="1"/>
  <c r="BT791" i="1"/>
  <c r="BF792" i="1"/>
  <c r="BT792" i="1"/>
  <c r="BF793" i="1"/>
  <c r="BT793" i="1"/>
  <c r="BF794" i="1"/>
  <c r="BT794" i="1"/>
  <c r="BF795" i="1"/>
  <c r="BT795" i="1"/>
  <c r="BF796" i="1"/>
  <c r="BT796" i="1"/>
  <c r="BF797" i="1"/>
  <c r="BT797" i="1"/>
  <c r="BF798" i="1"/>
  <c r="BT798" i="1"/>
  <c r="BF799" i="1"/>
  <c r="BT799" i="1"/>
  <c r="BF800" i="1"/>
  <c r="BT800" i="1"/>
  <c r="BF801" i="1"/>
  <c r="BT801" i="1"/>
  <c r="BF802" i="1"/>
  <c r="BT802" i="1"/>
  <c r="BF803" i="1"/>
  <c r="BT803" i="1"/>
  <c r="BF804" i="1"/>
  <c r="BT804" i="1"/>
  <c r="BF805" i="1"/>
  <c r="BT805" i="1"/>
  <c r="BF806" i="1"/>
  <c r="BT806" i="1"/>
  <c r="BF807" i="1"/>
  <c r="BT807" i="1"/>
  <c r="BF808" i="1"/>
  <c r="BT808" i="1"/>
  <c r="BF809" i="1"/>
  <c r="BT809" i="1"/>
  <c r="BF810" i="1"/>
  <c r="BT810" i="1"/>
  <c r="BF811" i="1"/>
  <c r="BT811" i="1"/>
  <c r="BF812" i="1"/>
  <c r="BT812" i="1"/>
  <c r="BF813" i="1"/>
  <c r="BT813" i="1"/>
  <c r="BF814" i="1"/>
  <c r="BT814" i="1"/>
  <c r="BF815" i="1"/>
  <c r="BT815" i="1"/>
  <c r="BF816" i="1"/>
  <c r="BT816" i="1"/>
  <c r="BF817" i="1"/>
  <c r="BT817" i="1"/>
  <c r="BF818" i="1"/>
  <c r="BT818" i="1"/>
  <c r="BF819" i="1"/>
  <c r="BT819" i="1"/>
  <c r="BF820" i="1"/>
  <c r="BT820" i="1"/>
  <c r="BF821" i="1"/>
  <c r="BT821" i="1"/>
  <c r="BF822" i="1"/>
  <c r="BT822" i="1"/>
  <c r="BF823" i="1"/>
  <c r="BT823" i="1"/>
  <c r="BF824" i="1"/>
  <c r="BT824" i="1"/>
  <c r="BF825" i="1"/>
  <c r="BT825" i="1"/>
  <c r="BF826" i="1"/>
  <c r="BT826" i="1"/>
  <c r="BF827" i="1"/>
  <c r="BT827" i="1"/>
  <c r="BF828" i="1"/>
  <c r="BT828" i="1"/>
  <c r="BF829" i="1"/>
  <c r="BT829" i="1"/>
  <c r="BF830" i="1"/>
  <c r="BT830" i="1"/>
  <c r="BF831" i="1"/>
  <c r="BT831" i="1"/>
  <c r="BF832" i="1"/>
  <c r="BT832" i="1"/>
  <c r="BF833" i="1"/>
  <c r="BT833" i="1"/>
  <c r="BF834" i="1"/>
  <c r="BT834" i="1"/>
  <c r="BF835" i="1"/>
  <c r="BT835" i="1"/>
  <c r="BF836" i="1"/>
  <c r="BT836" i="1"/>
  <c r="BF837" i="1"/>
  <c r="BT837" i="1"/>
  <c r="BF838" i="1"/>
  <c r="BT838" i="1"/>
  <c r="BF839" i="1"/>
  <c r="BT839" i="1"/>
  <c r="BF840" i="1"/>
  <c r="BT840" i="1"/>
  <c r="BF841" i="1"/>
  <c r="BT841" i="1"/>
  <c r="BF842" i="1"/>
  <c r="BT842" i="1"/>
  <c r="BF843" i="1"/>
  <c r="BT843" i="1"/>
  <c r="BF844" i="1"/>
  <c r="BT844" i="1"/>
  <c r="BF845" i="1"/>
  <c r="BT845" i="1"/>
  <c r="BF846" i="1"/>
  <c r="BT846" i="1"/>
  <c r="BF847" i="1"/>
  <c r="BT847" i="1"/>
  <c r="BF848" i="1"/>
  <c r="BT848" i="1"/>
  <c r="BF849" i="1"/>
  <c r="BT849" i="1"/>
  <c r="BF850" i="1"/>
  <c r="BT850" i="1"/>
  <c r="BF851" i="1"/>
  <c r="BT851" i="1"/>
  <c r="BF852" i="1"/>
  <c r="BT852" i="1"/>
  <c r="BF853" i="1"/>
  <c r="BT853" i="1"/>
  <c r="BF854" i="1"/>
  <c r="BT854" i="1"/>
  <c r="BF855" i="1"/>
  <c r="BT855" i="1"/>
  <c r="BF856" i="1"/>
  <c r="BT856" i="1"/>
  <c r="BF857" i="1"/>
  <c r="BT857" i="1"/>
  <c r="BF858" i="1"/>
  <c r="BT858" i="1"/>
  <c r="BF859" i="1"/>
  <c r="BT859" i="1"/>
  <c r="BF860" i="1"/>
  <c r="BT860" i="1"/>
  <c r="BF861" i="1"/>
  <c r="BT861" i="1"/>
  <c r="BF862" i="1"/>
  <c r="BT862" i="1"/>
  <c r="BF863" i="1"/>
  <c r="BT863" i="1"/>
  <c r="BF864" i="1"/>
  <c r="BT864" i="1"/>
  <c r="BF865" i="1"/>
  <c r="BT865" i="1"/>
  <c r="BF866" i="1"/>
  <c r="BT866" i="1"/>
  <c r="BF867" i="1"/>
  <c r="BT867" i="1"/>
  <c r="BF868" i="1"/>
  <c r="BT868" i="1"/>
  <c r="BF869" i="1"/>
  <c r="BT869" i="1"/>
  <c r="BF870" i="1"/>
  <c r="BT870" i="1"/>
  <c r="BF871" i="1"/>
  <c r="BT871" i="1"/>
  <c r="BF872" i="1"/>
  <c r="BT872" i="1"/>
  <c r="BF873" i="1"/>
  <c r="BT873" i="1"/>
  <c r="BF874" i="1"/>
  <c r="BT874" i="1"/>
  <c r="BF875" i="1"/>
  <c r="BT875" i="1"/>
  <c r="BF876" i="1"/>
  <c r="BT876" i="1"/>
  <c r="BF877" i="1"/>
  <c r="BT877" i="1"/>
  <c r="BF878" i="1"/>
  <c r="BT878" i="1"/>
  <c r="BF879" i="1"/>
  <c r="BT879" i="1"/>
  <c r="BF880" i="1"/>
  <c r="BT880" i="1"/>
  <c r="BF881" i="1"/>
  <c r="BT881" i="1"/>
  <c r="BF882" i="1"/>
  <c r="BT882" i="1"/>
  <c r="BF883" i="1"/>
  <c r="BT883" i="1"/>
  <c r="BF884" i="1"/>
  <c r="BT884" i="1"/>
  <c r="BF885" i="1"/>
  <c r="BT885" i="1"/>
  <c r="BF886" i="1"/>
  <c r="BT886" i="1"/>
  <c r="BF887" i="1"/>
  <c r="BT887" i="1"/>
  <c r="BF888" i="1"/>
  <c r="BT888" i="1"/>
  <c r="BF889" i="1"/>
  <c r="BT889" i="1"/>
  <c r="BF890" i="1"/>
  <c r="BT890" i="1"/>
  <c r="BF891" i="1"/>
  <c r="BT891" i="1"/>
  <c r="BF892" i="1"/>
  <c r="BT892" i="1"/>
  <c r="BF893" i="1"/>
  <c r="BT893" i="1"/>
  <c r="BF894" i="1"/>
  <c r="BT894" i="1"/>
  <c r="BF895" i="1"/>
  <c r="BT895" i="1"/>
  <c r="BF896" i="1"/>
  <c r="BT896" i="1"/>
  <c r="BF897" i="1"/>
  <c r="BT897" i="1"/>
  <c r="BF898"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F913" i="1"/>
  <c r="BT913" i="1"/>
  <c r="BF914" i="1"/>
  <c r="BT914" i="1"/>
  <c r="BF915" i="1"/>
  <c r="BT915" i="1"/>
  <c r="BF916" i="1"/>
  <c r="BT916" i="1"/>
  <c r="BF917" i="1"/>
  <c r="BT917" i="1"/>
  <c r="BF918" i="1"/>
  <c r="BT918" i="1"/>
  <c r="BF919" i="1"/>
  <c r="BT919" i="1"/>
  <c r="BF920" i="1"/>
  <c r="BT920" i="1"/>
  <c r="BF921" i="1"/>
  <c r="BT921" i="1"/>
  <c r="BF922" i="1"/>
  <c r="BT922" i="1"/>
  <c r="BF923" i="1"/>
  <c r="BT923" i="1"/>
  <c r="BF924" i="1"/>
  <c r="BT924" i="1"/>
  <c r="BF925" i="1"/>
  <c r="BT925" i="1"/>
  <c r="BF926" i="1"/>
  <c r="BT926" i="1"/>
  <c r="BF927" i="1"/>
  <c r="BT927" i="1"/>
  <c r="BF928" i="1"/>
  <c r="BT928" i="1"/>
  <c r="BF929" i="1"/>
  <c r="BT929" i="1"/>
  <c r="BF930" i="1"/>
  <c r="BT930" i="1"/>
  <c r="BF931" i="1"/>
  <c r="BT931" i="1"/>
  <c r="BF932" i="1"/>
  <c r="BT932" i="1"/>
  <c r="BF933" i="1"/>
  <c r="BT933" i="1"/>
  <c r="BF934" i="1"/>
  <c r="BT934" i="1"/>
  <c r="BF935" i="1"/>
  <c r="BT935" i="1"/>
  <c r="BF936" i="1"/>
  <c r="BT936" i="1"/>
  <c r="BF937" i="1"/>
  <c r="BT937" i="1"/>
  <c r="BF938" i="1"/>
  <c r="BT938" i="1"/>
  <c r="BF939" i="1"/>
  <c r="BT939" i="1"/>
  <c r="BF940" i="1"/>
  <c r="BT940" i="1"/>
  <c r="BF941" i="1"/>
  <c r="BT941" i="1"/>
  <c r="BF942" i="1"/>
  <c r="BT942" i="1"/>
  <c r="BF943" i="1"/>
  <c r="BT943" i="1"/>
  <c r="BF944" i="1"/>
  <c r="BT944" i="1"/>
  <c r="BF945" i="1"/>
  <c r="BT945" i="1"/>
  <c r="BF946" i="1"/>
  <c r="BT946" i="1"/>
  <c r="BF947" i="1"/>
  <c r="BT947" i="1"/>
  <c r="BF948" i="1"/>
  <c r="BT948" i="1"/>
  <c r="BF949" i="1"/>
  <c r="BT949" i="1"/>
  <c r="BF950" i="1"/>
  <c r="BT950" i="1"/>
  <c r="BF951" i="1"/>
  <c r="BT951" i="1"/>
  <c r="BF952" i="1"/>
  <c r="BT952" i="1"/>
  <c r="BF953" i="1"/>
  <c r="BT953" i="1"/>
  <c r="BF954" i="1"/>
  <c r="BT954" i="1"/>
  <c r="BF955" i="1"/>
  <c r="BT955" i="1"/>
  <c r="BF956" i="1"/>
  <c r="BT956" i="1"/>
  <c r="BF957" i="1"/>
  <c r="BT957" i="1"/>
  <c r="BF958" i="1"/>
  <c r="BT958" i="1"/>
  <c r="BF959" i="1"/>
  <c r="BT959" i="1"/>
  <c r="BF960" i="1"/>
  <c r="BT960" i="1"/>
  <c r="BF961" i="1"/>
  <c r="BT961" i="1"/>
  <c r="BF962" i="1"/>
  <c r="BT962" i="1"/>
  <c r="BF963" i="1"/>
  <c r="BT963" i="1"/>
  <c r="BF964" i="1"/>
  <c r="BT964" i="1"/>
  <c r="BF965" i="1"/>
  <c r="BT965" i="1"/>
  <c r="BF966" i="1"/>
  <c r="BT966" i="1"/>
  <c r="BF967" i="1"/>
  <c r="BT967" i="1"/>
  <c r="BF968" i="1"/>
  <c r="BT968" i="1"/>
  <c r="BF969" i="1"/>
  <c r="BT969" i="1"/>
  <c r="BF970" i="1"/>
  <c r="BT970" i="1"/>
  <c r="BF971" i="1"/>
  <c r="BT971" i="1"/>
  <c r="BF972" i="1"/>
  <c r="BT972" i="1"/>
  <c r="BF973" i="1"/>
  <c r="BT973" i="1"/>
  <c r="BF974" i="1"/>
  <c r="BT974" i="1"/>
  <c r="BF975" i="1"/>
  <c r="BT975" i="1"/>
  <c r="BF976" i="1"/>
  <c r="BT976" i="1"/>
  <c r="BF977" i="1"/>
  <c r="BT977" i="1"/>
  <c r="BF978" i="1"/>
  <c r="BT978" i="1"/>
  <c r="BF979" i="1"/>
  <c r="BT979" i="1"/>
  <c r="BF980" i="1"/>
  <c r="BT980" i="1"/>
  <c r="BF981" i="1"/>
  <c r="BT981" i="1"/>
  <c r="BF982" i="1"/>
  <c r="BT982" i="1"/>
  <c r="BF983" i="1"/>
  <c r="BT983" i="1"/>
  <c r="BF984" i="1"/>
  <c r="BT984" i="1"/>
  <c r="BF985" i="1"/>
  <c r="BT985" i="1"/>
  <c r="BF986" i="1"/>
  <c r="BT986" i="1"/>
  <c r="BF987" i="1"/>
  <c r="BT987" i="1"/>
  <c r="BF988" i="1"/>
  <c r="BT988" i="1"/>
  <c r="BF989" i="1"/>
  <c r="BT989" i="1"/>
  <c r="BF990" i="1"/>
  <c r="BT990" i="1"/>
  <c r="BF991" i="1"/>
  <c r="BT991" i="1"/>
  <c r="BF992" i="1"/>
  <c r="BT992" i="1"/>
  <c r="BF993" i="1"/>
  <c r="BT993" i="1"/>
  <c r="BF994" i="1"/>
  <c r="BT994" i="1"/>
  <c r="BF995" i="1"/>
  <c r="BT995" i="1"/>
  <c r="BF996" i="1"/>
  <c r="BT996" i="1"/>
  <c r="BF997" i="1"/>
  <c r="BT997" i="1"/>
  <c r="BF998" i="1"/>
  <c r="BT998" i="1"/>
  <c r="BF999" i="1"/>
  <c r="BT999" i="1"/>
  <c r="BT1000" i="1"/>
  <c r="BF1001" i="1"/>
  <c r="BT1001" i="1"/>
</calcChain>
</file>

<file path=xl/sharedStrings.xml><?xml version="1.0" encoding="utf-8"?>
<sst xmlns="http://schemas.openxmlformats.org/spreadsheetml/2006/main" count="60606" uniqueCount="18138">
  <si>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</si>
  <si>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</si>
  <si>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</si>
  <si>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</si>
  <si>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</si>
  <si>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</si>
  <si>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</si>
  <si>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</si>
  <si>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</si>
  <si>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</si>
  <si>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</si>
  <si>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</si>
  <si>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</si>
  <si>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</si>
  <si>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</si>
  <si>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</si>
  <si>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</si>
  <si>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</si>
  <si>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</si>
  <si>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</si>
  <si>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</si>
  <si>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</si>
  <si>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</si>
  <si>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</si>
  <si>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</si>
  <si>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</si>
  <si>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</si>
  <si>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</si>
  <si>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</si>
  <si>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</si>
  <si>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</si>
  <si>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</si>
  <si>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</si>
  <si>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</si>
  <si>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</si>
  <si>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</si>
  <si>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</si>
  <si>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</si>
  <si>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</si>
  <si>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</si>
  <si>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</si>
  <si>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</si>
  <si>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</si>
  <si>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</si>
  <si>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</si>
  <si>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</si>
  <si>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</si>
  <si>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</si>
  <si>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</si>
  <si>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</si>
  <si>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</si>
  <si>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</si>
  <si>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</si>
  <si>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</si>
  <si>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</si>
  <si>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</si>
  <si>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</si>
  <si>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</si>
  <si>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</si>
  <si>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</si>
  <si>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</si>
  <si>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</si>
  <si>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</si>
  <si>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</si>
  <si>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</si>
  <si>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</si>
  <si>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</si>
  <si>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</si>
  <si>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</si>
  <si>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</si>
  <si>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</si>
  <si>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</si>
  <si>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</si>
  <si>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Saracco, P; Vercruysse, J</t>
  </si>
  <si>
    <t/>
  </si>
  <si>
    <t>Saracco, Paolo; Vercruysse, Joost</t>
  </si>
  <si>
    <t>Geometric partial comodules over flat coalgebras in Abelian categories are globalizable</t>
  </si>
  <si>
    <t>JOURNAL OF PURE AND APPLIED ALGEBRA</t>
  </si>
  <si>
    <t>English</t>
  </si>
  <si>
    <t>Article</t>
  </si>
  <si>
    <t>Globalization; Partial (co)action and; (co)representation; Geometric partial comodule; Abelian category; Hopf algebra; Non-coassociative comodule</t>
  </si>
  <si>
    <t>ENVELOPING ACTIONS; PARTIAL REPRESENTATIONS; HOPF-ALGEBRAS; (CO)ACTIONS</t>
  </si>
  <si>
    <t>The aim of this paper is to prove the statement in the title. As a by-product, we obtain new globalization results in cases never considered before, such as partial corepresentations of Hopf algebras. Moreover, we show that for partial representations of groups and Hopf algebras, our globalization coincides with those described earlier in literature. Finally, we introduce Hopf partial comodules over a bialgebra as geometric partial comodules in the monoidal category of (global) modules. By applying our globalization theorem we obtain an analogue of the fundamental theorem for Hopf modules in this partial setting. &amp; COPY; 2023 Elsevier B.V. All rights reserved.</t>
  </si>
  <si>
    <t>[Saracco, Paolo; Vercruysse, Joost] Univ Libre Bruxelles, Dept Math, Blvd Triomphe, B-1050 Brussels, Belgium</t>
  </si>
  <si>
    <t>Universite Libre de Bruxelles</t>
  </si>
  <si>
    <t>Saracco, P (corresponding author), Univ Libre Bruxelles, Dept Math, Blvd Triomphe, B-1050 Brussels, Belgium.</t>
  </si>
  <si>
    <t>paolo.saracco@ulb.be; joost.vercruysse@ulb.be</t>
  </si>
  <si>
    <t>Fonds de la Recherche Scientifique-FNRS; FNRS (National Research Fund of the French speaking community in Belgium) [F.4502.18]</t>
  </si>
  <si>
    <t>Fonds de la Recherche Scientifique-FNRS(Fonds de la Recherche Scientifique - FNRS); FNRS (National Research Fund of the French speaking community in Belgium)</t>
  </si>
  <si>
    <t>PS is a Charge de Recherches of the Fonds de la Recherche Scientifique-FNRS and a member of the National Group for Algebraic and Geometric Structures and their Applications (GNSAGA-INdAM) . JV thanks the FNRS (National Research Fund of the French speaking community in Belgium) for support via the MIS project Antipode' (Grant F.4502.18) .</t>
  </si>
  <si>
    <t>ELSEVIER</t>
  </si>
  <si>
    <t>AMSTERDAM</t>
  </si>
  <si>
    <t>RADARWEG 29, 1043 NX AMSTERDAM, NETHERLANDS</t>
  </si>
  <si>
    <t>0022-4049</t>
  </si>
  <si>
    <t>1873-1376</t>
  </si>
  <si>
    <t>J PURE APPL ALGEBRA</t>
  </si>
  <si>
    <t>J. Pure Appl. Algebr.</t>
  </si>
  <si>
    <t>MAR</t>
  </si>
  <si>
    <t>10.1016/j.jpaa.2023.107502</t>
  </si>
  <si>
    <t>Mathematics, Applied; Mathematics</t>
  </si>
  <si>
    <t>Science Citation Index Expanded (SCI-EXPANDED)</t>
  </si>
  <si>
    <t>Mathematics</t>
  </si>
  <si>
    <t>R7PH8</t>
  </si>
  <si>
    <t>Green Submitted</t>
  </si>
  <si>
    <t>2023-10-09</t>
  </si>
  <si>
    <t>WOS:001066233100001</t>
  </si>
  <si>
    <t>Ke, WT; Lee, YY; Cheng, JQ; Tan, CP; Lai, OM; Li, AJ; Wang, Y; Zhang, Z</t>
  </si>
  <si>
    <t>Ke, Wanting; Lee, Yee-Ying; Cheng, Jianqiang; Tan, Chin-Ping; Lai, Oi-Ming; Li, Aijun; Wang, Yong; Zhang, Zhen</t>
  </si>
  <si>
    <t>Physical, textural and crystallization properties of ground nut oil-based diacylglycerols in W/O margarine system</t>
  </si>
  <si>
    <t>FOOD CHEMISTRY</t>
  </si>
  <si>
    <t>Diacylglycerol; Physical property; Crystallization behavior; Margarine</t>
  </si>
  <si>
    <t>PALM KERNEL OIL; PHYSICOCHEMICAL PROPERTIES; BEEF TALLOW; SOYBEAN OIL; FAT; PHASE; STABILITY; MODULATE; BEHAVIOR; STEARIN</t>
  </si>
  <si>
    <t>Enzymatic glycerolysis produced ground nut oil-based diacylglycerols (GNO-DAG) with a purity of 43.28 &amp; PLUSMN; 0.89% (GNO-DAG40). GNO-DAG80 (with a DAG purity of 87.33 &amp; PLUSMN; 0.61%) was obtained after purification using molecular distillation. Traditional palm oil was mixed with the liquid DAG as margarine base oils. Subsequent evaluations of palm oil-DAG-based fats (PO-GNO DAG) as a margarine replacement in a W/O model system showed that the material was an ideal functional base oil with improved aeration properties and plasticity during application. The binary system physical, textural and crystallization property were determined, and the compatibility of the binary mixed system was analyzed by constructing a phase diagrams. The PO-GNO DAG showed decent compatibility between the two phases and had better texture and rheological properties. In addition, PO-GNO DAG40 showed better apparent viscosity and aeration characteristics than PO-GNO DAG80, with potential application in the food specialty fats industry.</t>
  </si>
  <si>
    <t>[Ke, Wanting; Li, Aijun; Wang, Yong; Zhang, Zhen] Jinan Univ, Dept Food Sci &amp; Engn, JNU UPM Int Joint Lab Plant Oil Proc &amp; Safety, Guangzhou 510632, Guangdong, Peoples R China; [Lee, Yee-Ying] Monash Univ Malaysia, Sch Sci, Bandar Sunway 47500, Selangor, Malaysia; [Cheng, Jianqiang] Guangdong Sumbill Food Special Med Purposes Co Ltd, Guangzhou, Peoples R China; [Tan, Chin-Ping] Univ Putra Malaysia, Fac Food Sci &amp; Technol, Dept Food Technol, Serdang 43400, Selangor, Malaysia; [Lai, Oi-Ming] Univ Putra Malaysia, Fac Biotechnol &amp; Biomol Sci, Dept Bioproc Technol, Serdang 43400, Selangor, Malaysia; [Zhang, Zhen] Jinan Univ, Dept Food Sci &amp; Engn, 601 Huangpu Ave West, Guangzhou 510632, Peoples R China</t>
  </si>
  <si>
    <t>Jinan University; Monash University; Monash University Sunway; Universiti Putra Malaysia; Universiti Putra Malaysia; Jinan University</t>
  </si>
  <si>
    <t>Zhang, Z (corresponding author), Jinan Univ, Dept Food Sci &amp; Engn, 601 Huangpu Ave West, Guangzhou 510632, Peoples R China.</t>
  </si>
  <si>
    <t>zhangzhen@jnu.edu.cn</t>
  </si>
  <si>
    <t>Department of Science and Technology of Guangdong Province [2022B0202010003]; National Natural Sci- ence Foundation of China [32272341, 32001734]</t>
  </si>
  <si>
    <t>Department of Science and Technology of Guangdong Province; National Natural Sci- ence Foundation of China(National Natural Science Foundation of China (NSFC))</t>
  </si>
  <si>
    <t>The Department of Science and Technology of Guangdong Province under grant numbers 2022B0202010003 and the National Natural Sci- ence Foundation of China under grants 32272341 and 32001734 are gratefully acknowledged.</t>
  </si>
  <si>
    <t>ELSEVIER SCI LTD</t>
  </si>
  <si>
    <t>OXFORD</t>
  </si>
  <si>
    <t>THE BOULEVARD, LANGFORD LANE, KIDLINGTON, OXFORD OX5 1GB, OXON, ENGLAND</t>
  </si>
  <si>
    <t>0308-8146</t>
  </si>
  <si>
    <t>1873-7072</t>
  </si>
  <si>
    <t>FOOD CHEM</t>
  </si>
  <si>
    <t>Food Chem.</t>
  </si>
  <si>
    <t>FEB 1</t>
  </si>
  <si>
    <t>10.1016/j.foodchem.2023.137374</t>
  </si>
  <si>
    <t>Chemistry, Applied; Food Science &amp; Technology; Nutrition &amp; Dietetics</t>
  </si>
  <si>
    <t>Chemistry; Food Science &amp; Technology; Nutrition &amp; Dietetics</t>
  </si>
  <si>
    <t>S8ID2</t>
  </si>
  <si>
    <t>WOS:001073539300001</t>
  </si>
  <si>
    <t>Liu, Y; He, CY; Wang, C; Chen, L; Liu, SL</t>
  </si>
  <si>
    <t>Liu, Yong; He, Chongyang; Wang, Cong; Chen, Lei; Liu, Songlin</t>
  </si>
  <si>
    <t>Effects of vibration conditions, spatial confinement and friction on mixing and segregation characteristics of mixed pebble beds for CFETR WCCB blanket</t>
  </si>
  <si>
    <t>PARTICUOLOGY</t>
  </si>
  <si>
    <t>Vibration; Segregation; Binary pebble bed; Discrete element method</t>
  </si>
  <si>
    <t>BRAZIL-NUT PROBLEM; BREEDER BLANKET; SIZE SEPARATION; DIFFUSION; DESIGN</t>
  </si>
  <si>
    <t>This paper presents the study of the dynamic characteristics of confined mixed pebble beds with different friction under different vibration conditions using the discrete element method. The l segre-gation index is used to quantify the degree of particle mixing or segregation. The percolation, convection and diffusion mechanisms are responsible for the segregation patterns of the mixed pebble. The results show the degree of segregation can be suppressed by decreasing the vibration acceleration or free space height below a threshold. Further simulation reveals the threshold of vibration acceleration or free space height both are related to the bed height increment which determines the strength of the percolation mechanism. In addition, the strength of percolation and convection becomes weaker by decreasing the friction of particles and walls, which makes the pebbled bed remains in a mixed state under vibration. These findings are significant to clarify the main factors behind the three segregation mechanisms and hence provide solutions to retaining the mixed state of the Li2TiO3 &amp; Be12Ti mixed pebble bed.&amp; COPY; 2023 Chinese Society of Particuology and Institute of Process Engineering, Chinese Academy of Sciences. Published by Elsevier B.V. All rights reserved.</t>
  </si>
  <si>
    <t>[Liu, Yong; Chen, Lei; Liu, Songlin] Chinese Acad Sci, Hefei Inst Phys Sci, Inst Plasma Phys, Hefei 230031, Peoples R China; [Liu, Yong] Univ Sci &amp; Technol China, Hefei 230027, Peoples R China; [He, Chongyang] Chengdu Univ, Chengdu 610106, Peoples R China; [Wang, Cong] Zhejiang Lab, Hangzhou 310000, Peoples R China</t>
  </si>
  <si>
    <t>Chinese Academy of Sciences; Hefei Institutes of Physical Science, CAS; Chinese Academy of Sciences; University of Science &amp; Technology of China, CAS; Chengdu University; Zhejiang Laboratory</t>
  </si>
  <si>
    <t>Chen, L (corresponding author), Chinese Acad Sci, Hefei Inst Phys Sci, Inst Plasma Phys, Hefei 230031, Peoples R China.</t>
  </si>
  <si>
    <t>chlei@ipp.ac.cn</t>
  </si>
  <si>
    <t>National MCF Energy R amp;D Program [2019YFE03130001]; Comprehensive Research Facility for Fusion Technology (CRAFT) Program of China [2018-000052-73-01-001228]; National Natural Science Foundation of China [12105315, 12205330]; Science Foundation of ASIPP [DSJJ-2021- 05]</t>
  </si>
  <si>
    <t>National MCF Energy R amp;D Program; Comprehensive Research Facility for Fusion Technology (CRAFT) Program of China; National Natural Science Foundation of China(National Natural Science Foundation of China (NSFC)); Science Foundation of ASIPP</t>
  </si>
  <si>
    <t>The authors wish to acknowledge the financial support of the National MCF Energy R &amp;D Program (No. 2019YFE03130001) , the Comprehensive Research Facility for Fusion Technology (CRAFT) Program of China (Contract No. 2018-000052-73-01-001228) , the National Natural Science Foundation of China (No. 12105315 &amp; 12205330) , and the Science Foundation of ASIPP (No. DSJJ-2021- 05) .</t>
  </si>
  <si>
    <t>ELSEVIER SCIENCE INC</t>
  </si>
  <si>
    <t>NEW YORK</t>
  </si>
  <si>
    <t>STE 800, 230 PARK AVE, NEW YORK, NY 10169 USA</t>
  </si>
  <si>
    <t>1674-2001</t>
  </si>
  <si>
    <t>2210-4291</t>
  </si>
  <si>
    <t>Particuology</t>
  </si>
  <si>
    <t>FEB</t>
  </si>
  <si>
    <t>10.1016/j.partic.2023.06.018</t>
  </si>
  <si>
    <t>Engineering, Chemical; Materials Science, Multidisciplinary</t>
  </si>
  <si>
    <t>Engineering; Materials Science</t>
  </si>
  <si>
    <t>P4QP9</t>
  </si>
  <si>
    <t>WOS:001050512300001</t>
  </si>
  <si>
    <t>Qu, LH; Liu, SL; Wang, MN; Li, SM; Yin, SQ; Song, ZJ</t>
  </si>
  <si>
    <t>Qu, Linhao; Liu, Shaolei; Wang, Manning; Li, Shiman; Yin, Siqi; Song, Zhijian</t>
  </si>
  <si>
    <t>Trans2Fuse: Empowering image fusion through self-supervised learning and multi-modal transformations via transformer networks</t>
  </si>
  <si>
    <t>EXPERT SYSTEMS WITH APPLICATIONS</t>
  </si>
  <si>
    <t>Image fusion; Transformer; Self-supervised learning; Deep learning</t>
  </si>
  <si>
    <t>EXTRACTION</t>
  </si>
  <si>
    <t>Image fusion enhances a single image by integrating information from multiple sources with complementary data. Present end-to-end fusion methods often face overfitting or intricate parameter tuning due to inadequate task-specific training data. To address this, two-stage approaches utilize encoder-decoder networks trained on extensive natural image datasets, yet suffer from limited performance due to domain disparities. In this work, we devise a novel encoder-decoder fusion framework and introduce a self-supervised scheme based on destruction-reconstruction. This approach facilitates task-specific feature learning by proposing three auxiliary tasks: pixel intensity non-linear transformation for multi-modal fusion, brightness transformation for multi-exposure fusion, and noise transformation for multi-focus fusion. By randomly selecting one task during model training, we mutually reinforce different fusion tasks, enhancing network generalizability. We innovate an encoder combining Convolutional Neural Network (CNN) and Transformer to extract both local and global features. Rigorous evaluations against 11 traditional and deep learning-based methods span four benchmark datasets: infrared-visible fusion, medical fusion, multi-exposure fusion, and multi-focus fusion. Comprehensive assessments, encompassing nine metrics from diverse viewpoints, consistently demonstrate the superior performance of our approach in all scenarios. We will make our code, datasets, and fused images publicly available.</t>
  </si>
  <si>
    <t>[Song, Zhijian] Fudan Univ, Digital Med Res Ctr, Sch Basic Med Sci, Shanghai 200032, Peoples R China; Shanghai Key Lab Med Image Comp &amp; Comp Assisted In, Shanghai, Peoples R China</t>
  </si>
  <si>
    <t>Fudan University</t>
  </si>
  <si>
    <t>Song, ZJ (corresponding author), Fudan Univ, Digital Med Res Ctr, Sch Basic Med Sci, Shanghai 200032, Peoples R China.</t>
  </si>
  <si>
    <t>lhqu20@fudan.edu.cn; slliu@fudan.edu.cn; mnwang@fudan.edu.cn; slliu@fudan.edu.cn; 21111010030@m.fudan.edu.cn; zjsong@fudan.edu.cn</t>
  </si>
  <si>
    <t>National Natural Science Founda-tion of China [82072021]</t>
  </si>
  <si>
    <t>National Natural Science Founda-tion of China(National Natural Science Foundation of China (NSFC))</t>
  </si>
  <si>
    <t>Acknowledgements This work was supported by the National Natural Science Founda-tion of China under Grant 82072021.</t>
  </si>
  <si>
    <t>PERGAMON-ELSEVIER SCIENCE LTD</t>
  </si>
  <si>
    <t>THE BOULEVARD, LANGFORD LANE, KIDLINGTON, OXFORD OX5 1GB, ENGLAND</t>
  </si>
  <si>
    <t>0957-4174</t>
  </si>
  <si>
    <t>1873-6793</t>
  </si>
  <si>
    <t>EXPERT SYST APPL</t>
  </si>
  <si>
    <t>Expert Syst. Appl.</t>
  </si>
  <si>
    <t>10.1016/j.eswa.2023.121363</t>
  </si>
  <si>
    <t>Computer Science, Artificial Intelligence; Engineering, Electrical &amp; Electronic; Operations Research &amp; Management Science</t>
  </si>
  <si>
    <t>Computer Science; Engineering; Operations Research &amp; Management Science</t>
  </si>
  <si>
    <t>S4QF6</t>
  </si>
  <si>
    <t>WOS:001071022300001</t>
  </si>
  <si>
    <t>Song, LA; Yu, W; Tan, YS; Duan, K</t>
  </si>
  <si>
    <t>Song, Lina; Yu, Wang; Tan, Yousheng; Duan, Ke</t>
  </si>
  <si>
    <t>Calculations of fractional derivative option pricing models based on neural network</t>
  </si>
  <si>
    <t>JOURNAL OF COMPUTATIONAL AND APPLIED MATHEMATICS</t>
  </si>
  <si>
    <t>Caputo fractional derivative; Conformable fractional derivative; Neural network; Option pricing</t>
  </si>
  <si>
    <t>The work adopts the neural network algorithm to derive optimized series solutions of fractional option pricing equations. The studied models include Caputo time-fractional equation and space-time fractional differential equations. The solutions of fractional derivative models are made up of the time variable and the kernel functions of RBF neural network. According to the characteristics of the models, the information function, the test solution, the output function and the loss function are established in turn. And then the optimal parameters of the solution structures of fractional derivative models are calculated by the designed neural network in conjunction with Chinese market data. For Caputo time-fractional model, the pricing results under different kernel functions, with or without cluster analysis, are compared through numerical analysis and illustration. The results of cluster analysis are better than those without cluster analysis. For spacetime fractional models, comparative studies between the pricing results under Caputo and conformable fractional derivatives and those from conformable fractional derivative are made and analyzed by the market data. The numerical simulations indicate that the space-time fractional derivative models have strong predictive abilities. Application analyses show that it is feasible and operable for fractional calculus tool and neural network algorithm to jointly act on the pricing problems of financial derivatives. &amp; COPY; 2023 Published by Elsevier B.V.</t>
  </si>
  <si>
    <t>[Song, Lina; Yu, Wang; Tan, Yousheng; Duan, Ke] Dongbei Univ Finance &amp; Econ, Sch Data Sci &amp; Artificial Intelligence, Dalian 116025, Peoples R China</t>
  </si>
  <si>
    <t>Dongbei University of Finance &amp; Economics</t>
  </si>
  <si>
    <t>Song, LA (corresponding author), Dongbei Univ Finance &amp; Econ, Sch Data Sci &amp; Artificial Intelligence, Dalian 116025, Peoples R China.</t>
  </si>
  <si>
    <t>L_N_Song@163.com</t>
  </si>
  <si>
    <t>Scientific Research Fund of Liaoning Provincial Education Department, China [LJKZ1040]; National Social Science Foundation of China [22AGL033]</t>
  </si>
  <si>
    <t>Scientific Research Fund of Liaoning Provincial Education Department, China; National Social Science Foundation of China(National Office of Philosophy and Social Sciences)</t>
  </si>
  <si>
    <t>This work was supported by the Scientific Research Fund of Liaoning Provincial Education Department, China (No. LJKZ1040) and the projects of the National Social Science Foundation of China (No. 22AGL033) . The authors appreciate the reviewers for their constructive comments, which improved the quality of the work.</t>
  </si>
  <si>
    <t>0377-0427</t>
  </si>
  <si>
    <t>1879-1778</t>
  </si>
  <si>
    <t>J COMPUT APPL MATH</t>
  </si>
  <si>
    <t>J. Comput. Appl. Math.</t>
  </si>
  <si>
    <t>10.1016/j.cam.2023.115462</t>
  </si>
  <si>
    <t>Mathematics, Applied</t>
  </si>
  <si>
    <t>P6FC1</t>
  </si>
  <si>
    <t>WOS:001051603100001</t>
  </si>
  <si>
    <t>Qiao, DL; Luo, M; Li, YS; Jiang, FT; Zhang, BJ; Xie, FW</t>
  </si>
  <si>
    <t>Qiao, Dongling; Luo, Man; Li, Yishen; Jiang, Fatang; Zhang, Binjia; Xie, Fengwei</t>
  </si>
  <si>
    <t>Evolutions of synergistic binding between konjac glucomannan and xanthan with high pyruvate group content induced by monovalent and divalent cation concentration</t>
  </si>
  <si>
    <t>Konjac glucomannan; Xanthan gum; Na+; Ca2+</t>
  </si>
  <si>
    <t>EXTRACELLULAR POLYSACCHARIDE; GUM; MECHANISM; GELS; MORPHOLOGY; GELATION</t>
  </si>
  <si>
    <t>Synergistic interaction gels could be formed by synergistic type-A and type-B bindings between konjac glucomannan (KGM) and xanthan during cooling. Adding salt ions significantly altered those bindings and thus the gel-related properties. The results showed that adding NaCl or CaCl(2 )eliminated type-B binding due to an electrostatic shielding effect. Adding NaCl or CaCl2 (3 and 6 mM) enhanced type-A binding by neutralizing the negative charge of COOH and reducing the electrostatic repulsion among xanthan chains, as evidenced by an increase in the onset temperature of exotherm peak, the formation of more parallel multiple filaments, and an increase in aggregation structures (&gt;1.0 nm) and gel hardness. When CaCl2 concentration was higher, Ca2+ bridged side-chain clusters into more complex structures, which would hardly participate in the formation of helical structures and weaken type-A binding. The results obtained are beneficial for the rational design and preparation of KGM/xanthan gels with synergistic interaction.</t>
  </si>
  <si>
    <t>[Qiao, Dongling; Zhang, Binjia] Southwest Univ, Coll Food Sci, Chongqing Key Lab Special Food Cobuilt Sichuan &amp; C, Chongqing 400715, Peoples R China; [Qiao, Dongling; Luo, Man; Li, Yishen; Jiang, Fatang] Hubei Univ Technol, Glyn O Phillips Hydrocolloid Res Ctr, Sch Food &amp; Biol Engn, HBUT, Wuhan 430068, Peoples R China; [Xie, Fengwei] Newcastle Univ, Sch Engn, Newcastle Upon Tyne NE1 7RU, England</t>
  </si>
  <si>
    <t>Southwest University - China; Hubei University of Technology; Newcastle University - UK</t>
  </si>
  <si>
    <t>Zhang, BJ (corresponding author), Southwest Univ, Coll Food Sci, Chongqing Key Lab Special Food Cobuilt Sichuan &amp; C, Chongqing 400715, Peoples R China.</t>
  </si>
  <si>
    <t>zbw9383@163.com</t>
  </si>
  <si>
    <t>Fundamental Research Funds for the Central Universities [SWU-KR23010]; National Natural Science Foundation of China [32172240, 32372275]; Key R amp; D Project of Hubei Province [2022BBA004]</t>
  </si>
  <si>
    <t>Fundamental Research Funds for the Central Universities(Fundamental Research Funds for the Central Universities); National Natural Science Foundation of China(National Natural Science Foundation of China (NSFC)); Key R amp; D Project of Hubei Province</t>
  </si>
  <si>
    <t>Acknowledgments The authors acknowledge the Fundamental Research Funds for the Central Universities (SWU-KR23010) , and the National Natural Science Foundation of China (32172240 and 32372275) , and the Key R &amp; D Project of Hubei Province (2022BBA004) .</t>
  </si>
  <si>
    <t>JAN 30</t>
  </si>
  <si>
    <t>10.1016/j.foodchem.2023.137237</t>
  </si>
  <si>
    <t>S4XJ3</t>
  </si>
  <si>
    <t>WOS:001071209900001</t>
  </si>
  <si>
    <t>Wang, Y; Yu, F; Liu, QH; Wang, CY; Zhu, GY; Bai, LP; Shi, S; Zhao, YF; Jiang, ZH; Zhang, W</t>
  </si>
  <si>
    <t>Wang, Yue; Yu, Fei; Liu, Qinghua; Wang, Caiyun; Zhu, Guoyuan; Bai, Liping; Shi, Shuai; Zhao, Yunfeng; Jiang, Zhihong; Zhang, Wei</t>
  </si>
  <si>
    <t>A novel and sensitive dual signaling ratiometric electrochemical aptasensor based on nanoporous gold for determination of Ochratoxin A</t>
  </si>
  <si>
    <t>Ratiometric electrochemical aptasensor; Dual signal amplification; Nanoporous gold; Ochratoxin A; Cordyceps sinensis; Grape juice</t>
  </si>
  <si>
    <t>DNA; APTAMER; AMPLIFICATION; RECOGNITION; COMBINATION; AFLATOXINS; BIOSENSOR; ELECTRODE; SENSOR; METAL</t>
  </si>
  <si>
    <t>Ochratoxin A (OTA) is a toxic pollutant in foods, and its actual detection is crucial. A novel and sensitive dual signaling ratiometric electrochemical aptasensor based on nanoporous gold (NPG) was proposed to determine OTA. NPG, with high specific surface area and conductivity, improved the sensitivity by immobilizing more aptamers. Meanwhile, the dual signaling ratiometric strategy improved the detection reproducibility through self-referencing and built-in correction. NPG and ratiometric strategy multi-amplified the dual signal changes. The sensitivity of OTA was evaluated by the ratio of methylene to ferrocene current values. Under the optimal conditions, the NPG-based aptasensor demonstrated excellent sensitivity with a wide linear range of 1 pg/mL to 2 ng/mL and the limit of detection (LOD) of 0.4 pg/mL for OTA. This developed aptasensor also effectively detected OTA in spiked Cordyceps sinensis and grape juice samples, with recovery values falling in the 98.49-108.0% range.</t>
  </si>
  <si>
    <t>[Wang, Yue; Yu, Fei; Liu, Qinghua; Wang, Caiyun; Zhu, Guoyuan; Bai, Liping; Jiang, Zhihong; Zhang, Wei] Macau Univ Sci &amp; Technol, Macau Inst Appl Res Med &amp; Hlth, State Key Lab Qual Res Chinese Med, Guangdong Hong Kong Macao Joint Lab Resp Infect Di, Taipa 999078, Macau, Peoples R China; [Zhao, Yunfeng] Tianjin Univ Technol, Sch Mat Sci &amp; Engn, Tianjin Key Lab Adv Funct Porous Mat, Tianjin 300384, Peoples R China; [Shi, Shuai] Luoyang Inst Sci &amp; Technol, Dept Elect Engn &amp; Automat, Luoyang 471023, Henan, Peoples R China</t>
  </si>
  <si>
    <t>Macau University of Science &amp; Technology; Tianjin University of Technology; Luoyang Institute of Science &amp; Technology</t>
  </si>
  <si>
    <t>Jiang, ZH; Zhang, W (corresponding author), Macau Univ Sci &amp; Technol, Macau Inst Appl Res Med &amp; Hlth, State Key Lab Qual Res Chinese Med, Guangdong Hong Kong Macao Joint Lab Resp Infect Di, Taipa 999078, Macau, Peoples R China.;Zhao, YF (corresponding author), Tianjin Univ Technol, Sch Mat Sci &amp; Engn, Tianjin Key Lab Adv Funct Porous Mat, Tianjin 300384, Peoples R China.</t>
  </si>
  <si>
    <t>yfzhao@tjut.edu.cn; zhjiang@must.edu.mo; wzhang@must.edu.mo</t>
  </si>
  <si>
    <t>Science and Technology Development Fund, Macau SAR [0040/2021/AGJ]</t>
  </si>
  <si>
    <t>Science and Technology Development Fund, Macau SAR</t>
  </si>
  <si>
    <t>This work was supported by the Science and Technology Development Fund, Macau SAR (File Nos. 0040/2021/AGJ).</t>
  </si>
  <si>
    <t>10.1016/j.foodchem.2023.137192</t>
  </si>
  <si>
    <t>R7JE8</t>
  </si>
  <si>
    <t>WOS:001066072500001</t>
  </si>
  <si>
    <t>Cui, CL; Wang, Y; Ying, J; Zhou, WB; Li, D; Wang, LJ</t>
  </si>
  <si>
    <t>Cui, Congli; Wang, Yong; Ying, Jian; Zhou, Weibiao; Li, Dong; Wang, Li-jun</t>
  </si>
  <si>
    <t>Low glycemic index noodle and pasta: Cereal type, ingredient, and processing</t>
  </si>
  <si>
    <t>Review</t>
  </si>
  <si>
    <t>Soluble dietary fiber; Protein; Plant polyphenols; Anti digestive mechanism</t>
  </si>
  <si>
    <t>VITRO STARCH DIGESTIBILITY; SOY PROTEIN ISOLATE; PHYSICOCHEMICAL PROPERTIES; QUALITY IMPROVEMENT; PHYSICAL-PROPERTIES; RESISTANT STARCH; COOKING QUALITY; BANANA STARCH; RAW-MATERIAL; OIL UPTAKE</t>
  </si>
  <si>
    <t>The consumption of noodles with a high glycemic index (GI) can affect health, prompting the need for dietary adjustments to manage abnormal blood glucose levels. This review delves into recent progress in low GI noodles and their potential effect for human well-being. Diverse approaches, encompassing the incorporation of soluble dietary fiber, modified starches, proteins, and plant polyphenols, have shown encouraging outcomes in dimin-ishing the GI of noodles. Furthermore, variations in processing, storage, and cooking techniques can influence the GI of noodles, yielding both positive and negative impacts on their glycemic response. Soluble dietary fiber, protein cross-linkers, and plant polyphenols play a pivotal role in reducing the GI of noodles by hindering the interaction between digestive enzymes and starch, thereby curbing enzymatic activity. Future research spotlighting ingredients, processing methodologies, and the underlying mechanisms of low GI noodles will contribute substantively to the development of functional foods boosting enhanced nutritional profiles.</t>
  </si>
  <si>
    <t>[Cui, Congli; Li, Dong] China Agr Univ, Coll Engn, Beijing Adv Innovat Ctr Food Nutr &amp; Human Hlth, Natl Energy R&amp;D Ctr Nonfood Biomass, POB 50,17 Qinghua Donglu, Beijing 100083, Peoples R China; [Wang, Yong] UNSW, Sch Chem Engn, Sydney, NSW 2052, Australia; [Ying, Jian] COFCO, Nutr &amp; Hlth Res Inst, Beijing Key Lab Nutr &amp; Hlth &amp; Food Safety, Beijing 100020, Peoples R China; [Zhou, Weibiao] Natl Univ Singapore, Dept Food Sci &amp; Technol, Singapore 117542, Singapore; [Zhou, Weibiao] Natl Univ Singapore Suzhou Res Inst, Suzhou 215123, Jiangsu, Peoples R China; [Wang, Li-jun] China Agr Univ, Coll Food Sci &amp; Nutr Engn, Beijing Key Lab Funct Food Plant Resources, Beijing, Peoples R China</t>
  </si>
  <si>
    <t>China Agricultural University; University of New South Wales Sydney; National University of Singapore; National University of Singapore; China Agricultural University</t>
  </si>
  <si>
    <t>Li, D (corresponding author), China Agr Univ, Coll Engn, Beijing Adv Innovat Ctr Food Nutr &amp; Human Hlth, Natl Energy R&amp;D Ctr Nonfood Biomass, POB 50,17 Qinghua Donglu, Beijing 100083, Peoples R China.;Wang, LJ (corresponding author), China Agr Univ, Coll Food Sci &amp; Nutr Engn, Beijing Key Lab Funct Food Plant Resources, Beijing, Peoples R China.</t>
  </si>
  <si>
    <t>dongli@cau.edu.cn; wlj@cau.edu.cn</t>
  </si>
  <si>
    <t>, Yong/G-8244-2016</t>
  </si>
  <si>
    <t>, Yong/0000-0003-3744-912X</t>
  </si>
  <si>
    <t>National Natural Science Foundation of China [22278421]</t>
  </si>
  <si>
    <t>National Natural Science Foundation of China(National Natural Science Foundation of China (NSFC))</t>
  </si>
  <si>
    <t>This research was supported by National Natural Science Foundation of China (22278421) .</t>
  </si>
  <si>
    <t>JAN 15</t>
  </si>
  <si>
    <t>10.1016/j.foodchem.2023.137188</t>
  </si>
  <si>
    <t>R7UH0</t>
  </si>
  <si>
    <t>WOS:001066363900001</t>
  </si>
  <si>
    <t>Fu, XW; Pang, QH; Yang, X; Zhan, WL; He, ZJ</t>
  </si>
  <si>
    <t>Fu, Xiaowei; Pang, Qinghai; Yang, Xin; Zhan, Wenlong; He, Zhijun</t>
  </si>
  <si>
    <t>Effect of high temperature on macroscopic properties and microstructure of metallurgical coke</t>
  </si>
  <si>
    <t>FUEL</t>
  </si>
  <si>
    <t>Metallurgical coke; Electrical resistance of coke; Graphitization; Pore structure; Crystal structure</t>
  </si>
  <si>
    <t>PARTICLE-SIZE; BEHAVIOR; TEXTURE</t>
  </si>
  <si>
    <t>Coke produces powder in high-temperature environments, which leads to a decrease in coke strength and affects the smooth operation of blast furnace. To study the effect of high temperature on the macroscopic properties and microstructure, two types of coke were heated to 1100-1400 degrees C in conditions that simulated a blast-furnace heating regime. The results showed that the weight of the tamping coke (T-coke) and top-charging coke (TCcoke) was reduced by 9.04 g and 8.7 g, respectively, and the coke strength after reaction was reduced by 4.23% and 3.86% with an increase in temperature from 1100 degrees C to 1400 degrees C. In addition, the electrical resistance of Tcoke and TC-coke decreased from ambient temperature to 1400 degrees C. The rate of change in electrical resistance had a negative correlation with the coke strength after reaction, which decreased as the change in electrical resistance increased. Comparing the optical texture index, carbon layer spacing, carbon structure parameters, and percentage of large pores in the coke with the heating temperature, it was found that high temperatures led to a decrease in the anisotropic texture of the coke, an increase in the degree of graphitization, partial conversion of amorphous carbon to graphitic carbon, and an increase in the percentage of large pores. Furthermore, the larger the pore area of the coke, the smaller were its pore wall hardness and elastic modulus. These results suggest that a decrease in anisotropic texture and an increase in large pores and the degree of graphitization decrease resistance to temperature, leading to lower strength after reaction.</t>
  </si>
  <si>
    <t>[Fu, Xiaowei; Pang, Qinghai; Yang, Xin; Zhan, Wenlong; He, Zhijun] Univ Sci &amp; Technol Liaoning, Sch Mat &amp; Met, Anshan 114051, Peoples R China; [Fu, Xiaowei; Pang, Qinghai; Yang, Xin; Zhan, Wenlong; He, Zhijun] Key Lab Green Low Carbon &amp; Intelligent Met Liaonin, Anshan 114051, Peoples R China</t>
  </si>
  <si>
    <t>University of Science &amp; Technology Liaoning</t>
  </si>
  <si>
    <t>Fu, XW; He, ZJ (corresponding author), Univ Sci &amp; Technol Liaoning, Sch Mat &amp; Met, Anshan 114051, Peoples R China.</t>
  </si>
  <si>
    <t>fxw17741229114@163.com; hzhj2002@126.com</t>
  </si>
  <si>
    <t>National Natural Science Foundation of China [51874171, 52104331]; project of Liaoning Province's Rejuvenating Liaoning Talents Plan [XLYC2002064]</t>
  </si>
  <si>
    <t>National Natural Science Foundation of China(National Natural Science Foundation of China (NSFC)); project of Liaoning Province's Rejuvenating Liaoning Talents Plan</t>
  </si>
  <si>
    <t>The authors received financial support from the National Natural Science Foundation of China (51874171 and 52104331) and the project of Liaoning Province's Rejuvenating Liaoning Talents Plan (XLYC2002064) .</t>
  </si>
  <si>
    <t>0016-2361</t>
  </si>
  <si>
    <t>1873-7153</t>
  </si>
  <si>
    <t>Fuel</t>
  </si>
  <si>
    <t>10.1016/j.fuel.2023.129543</t>
  </si>
  <si>
    <t>Energy &amp; Fuels; Engineering, Chemical</t>
  </si>
  <si>
    <t>Energy &amp; Fuels; Engineering</t>
  </si>
  <si>
    <t>R3JN3</t>
  </si>
  <si>
    <t>WOS:001063349100001</t>
  </si>
  <si>
    <t>Jing, Y; Kumaran, AU; Stimson, D; Mardon, K; Najdovski, L; Barkhausen, C; Armstrong, RT; Mostaghimi, P</t>
  </si>
  <si>
    <t>Jing, Yu; Kumaran, Aaron Uthaia; Stimson, Damion; Mardon, Karine; Najdovski, Ljubco; Barkhausen, Christoph; Armstrong, Ryan T.; Mostaghimi, Peyman</t>
  </si>
  <si>
    <t>Visualisation of [C-11]CO2 storage in coal with positron emission tomography imaging</t>
  </si>
  <si>
    <t>Positron emission tomography; Porous media imaging; CO 2 geo-sequestration; CCUS; Coal</t>
  </si>
  <si>
    <t>COMPUTED-TOMOGRAPHY; FLOW VISUALIZATION; GEOLOGICAL MEDIA; CO2; SEQUESTRATION; SHALE</t>
  </si>
  <si>
    <t>Positron Emission Tomography (PET) imaging has demonstrated its capability in providing real-time visual-isation of fluids flow in geological materials. However, it has not been used for the study of CO2 injection and storage in coal for the application of CO2 geo-sequestration. To observe the processes directly, [11C]CO2 is the most optimal radiotracer, which is rarely used due to its short half-life (20.4 min) and handling safety issues as a gaseous tracer. In this work, a novel laboratory protocol is developed to use gaseous [11C]CO2 as the radio -labelled tracer to visualise and quantify dynamic processes of gas spreading, adsorption, diffusion, and advection flow in coal under in-situ conditions. The experimental setup integrates core flooding setup with PET scanning. Coal samples are pre-treated to mimic different injection conditions, including coal seam gas reservoirs in early production stage, gas depleted stage and CO2 storage stage. Due to high temporal resolution of PET imaging, time-lapse CO2 gas concentration map of each test is acquired by converting the PET intensity values to gas concentrations. Impacting factors on storage capacity and efficiency are also studied, including permeability, gas adsorption, gas exchange, and initial storage conditions. This work introduces a new laboratory protocol and analysing framework to quantify sub-core scale multiphysics CO2 flow in coal, which provides a foundation for future across-scale theoretical and experimental study of multiphase and multicomponent flow behaviours in coal for the application of CO2 geo-sequestration.</t>
  </si>
  <si>
    <t>[Jing, Yu; Kumaran, Aaron Uthaia; Armstrong, Ryan T.; Mostaghimi, Peyman] Univ New South Wales, Sch Minerals &amp; Energy Resources Engn, Sydney, NSW 2052, Australia; [Stimson, Damion; Mardon, Karine; Najdovski, Ljubco; Barkhausen, Christoph] Univ Queensland, Ctr Adv Imaging, Australian Inst Bioengn &amp; Nanotechnol, Brisbane, Qld 4072, Australia; [Barkhausen, Christoph] Univ Queensland, Natl Imaging Facil, Brisbane, Qld 4072, Australia</t>
  </si>
  <si>
    <t>University of New South Wales Sydney; University of Queensland; University of Queensland</t>
  </si>
  <si>
    <t>Jing, Y (corresponding author), Univ New South Wales, Sch Minerals &amp; Energy Resources Engn, Sydney, NSW 2052, Australia.</t>
  </si>
  <si>
    <t>yu.jing@unsw.edu.au</t>
  </si>
  <si>
    <t>Jing's Scientia Program at The University of New South Wales; Australian Research Council Linkage Grant [LP190100990]; Australian Research Council [LP190100990] Funding Source: Australian Research Council</t>
  </si>
  <si>
    <t>Jing's Scientia Program at The University of New South Wales; Australian Research Council Linkage Grant(Australian Research Council); Australian Research Council(Australian Research Council)</t>
  </si>
  <si>
    <t>The authors acknowledge the facilities, scientific, and technical assistance of the National Imaging Facility, a National Collaborative Research Infrastructure Strategy (NCRIS) capability, at the Centre for Advanced Imaging, The University of Queensland. We sincerely appreciate Damion Stimson, Karine Mardon, Ljubco Najdovski, Christoph Barkhausen for providing essential and professional services, including radioisotope production and handling, PET scanning, CT scanning, Image reconstruction, and advice. We also thank Tyree X-Ray Laboratory at the School of Minerals and Energy Resources Engineering, University of New South Wales for their assistance in imaging and image processing. This work is supported by Yu Jing's Scientia Program at The University of New South Wales. Peyman Mostaghimi and Ryan Armstrong acknowledge Australian Research Council Linkage Grant (LP190100990).</t>
  </si>
  <si>
    <t>10.1016/j.fuel.2023.129511</t>
  </si>
  <si>
    <t>R3AS8</t>
  </si>
  <si>
    <t>hybrid</t>
  </si>
  <si>
    <t>WOS:001063116300001</t>
  </si>
  <si>
    <t>Nie, XM; Li, YL; Xu, XL; Chen, FM; Zhang, F; Chen, D</t>
  </si>
  <si>
    <t>Nie, Xue-Mei; Li, Yin-Long; Xu, Xiu-Li; Chen, Feng-Ming; Zhang, Feng; Chen, Da</t>
  </si>
  <si>
    <t>Application of urea-based magnetic covalent organic framework as sorbent for the determination of coumarin and its derivatives in food samples combined with liquid chromatography-mass spectrometry</t>
  </si>
  <si>
    <t>Magnetic covalent organic framework; Coumarin and its derivatives; HPLC-MS/MS; Food samples</t>
  </si>
  <si>
    <t>QUANTIFICATION; METABOLISM; SEPARATION; TOXICITY</t>
  </si>
  <si>
    <t>A magnetic solid-phase extraction (MSPE) protocol using novel Urea-based magnetic covalent organic framework coupled with liquid chromatography-mass spectrometry was developed for the detection of coumarins in food samples (soft drink, biscuit and sesame paste). This adsorbent was synthesized through atom economic polymerization of tetrakis(4-aminophenyl) methane and 1,4-phenylene diisocyanate, which was successfully verified by a series of techniques. Major parameters influencing MSPE efficiency were optimized. This protocol had some advantages, such as organic-reagent-saving (2.0 mL), easy operating, short extraction time, and high repeatability (8 times). The established method exhibited superior linearity (R2 &amp; GE; 0.999) and the limits of detection ranging from 1.0 to 5.0 &amp; mu;g/kg. The recoveries of coumarin and its derivatives ranged from 73.8% to 113.5% and both intra-and inter-day precision were less than 15%. These data indicate the protocol is a highly promising alternative for coumarin extraction and enrichment.</t>
  </si>
  <si>
    <t>[Nie, Xue-Mei; Chen, Da] Tianjin Univ, Sch Precis Instrument &amp; Optoelect Engn, Tianjin 300072, Peoples R China; [Nie, Xue-Mei; Li, Yin-Long; Xu, Xiu-Li; Chen, Feng-Ming; Zhang, Feng] Chinese Acad Inspect &amp; Quarantine, Inst Food Safety, Beijing 100176, Peoples R China</t>
  </si>
  <si>
    <t>Tianjin University; Chinese Academy of Inspection &amp; Quarantine</t>
  </si>
  <si>
    <t>Chen, D (corresponding author), Tianjin Univ, Sch Precis Instrument &amp; Optoelect Engn, Tianjin 300072, Peoples R China.;Zhang, F (corresponding author), Chinese Acad Inspect &amp; Quarantine, Inst Food Safety, Beijing 100176, Peoples R China.</t>
  </si>
  <si>
    <t>fengzhang@126.com; dachen@tju.edu.cn</t>
  </si>
  <si>
    <t>Li, Yinlong/ABB-1631-2020</t>
  </si>
  <si>
    <t>Li, Yinlong/0000-0002-8864-1712</t>
  </si>
  <si>
    <t>National Key Research and Development Program of China; [2022YFF1100900]</t>
  </si>
  <si>
    <t>National Key Research and Development Program of China;</t>
  </si>
  <si>
    <t>The research was supported by the National Key Research and Development Program of China (No. 2022YFF1100900) .</t>
  </si>
  <si>
    <t>10.1016/j.foodchem.2023.137058</t>
  </si>
  <si>
    <t>Q7KU6</t>
  </si>
  <si>
    <t>WOS:001059284300001</t>
  </si>
  <si>
    <t>Sha, AL; Chen, HR; Zhao, XW</t>
  </si>
  <si>
    <t>Sha, Ailong; Chen, Hongrun; Zhao, Xuewen</t>
  </si>
  <si>
    <t>Exploration of the mechanisms of improving learning and memory in the offspring of aging pregnant mice by supplementation with Paris polyphylla polysaccharide based on the P19-P53-P21 and Wnt/beta-catenin signaling pathways</t>
  </si>
  <si>
    <t>JOURNAL OF ETHNOPHARMACOLOGY</t>
  </si>
  <si>
    <t>P19-P53-P21 signaling pathway; Wnt/beta-catenin signaling pathway; Learning and memory; offspring mice; Paris polyphylla polysaccharide</t>
  </si>
  <si>
    <t>P53</t>
  </si>
  <si>
    <t>Ethnopharmacological relevance: First recorded in Sheng Nong's herbal classic, Paris polyphylla is used to treat diseases, such as convulsions, head shaking and tongue fiddling, and epilepsy. Studies have shown that the ability of three Liliaceae polysaccharides in improving learning and memory may be related to the P19-P53-P21 and Wnt/ss-catenin signaling pathways. Moreover, a link between these two signaling pathways and the possible neuroprotective impact of Paris polyphylla polysaccharide has been proposed. Aim of the study: We explored the mechanisms of improving learning and memory in the offspring of pre-pregnant parental mice and D-galactose-induced aging pregnant mice by supplementation with P. polyphylla poly-saccharide based on the P19-P53-P21 and Wnt/ss-catenin signaling pathways. Study design and methods: After 3 weeks of supplementation of D-galactose-induced pre-pregnant parental mice with P. polyphylla polysaccharide component 1 (PPPm-1), the male and female parental mice mated in cages. The D-galactose-induced pregnant mice were continued to be supplemented with PPPm-1 for 18 days before delivery of the offspring. Behavioral experiments (Morris water maze and dark avoidance experiments) were conducted on the offspring mice born 48 days later to determine whether PPPm-1 had the effect of improving their learning and memory. Based on the P19/P53/P21 and Wnt/ss-catenin signaling pathways, the mechanisms of PPPm-1 in improving learning and memory in offspring mice were further investigated. Results: Offspring mice administered low- or high-dose PPPm-1 exhibited stronger motor and memory abilities in behavioral experiments than the aging model of offspring mice. Enzyme-linked immunosorbent assay and real time polymerase chain reaction revealed that the expressions of P19 and P21 mRNA and protein were inhibited in offspring mice administered low- and high-dose PPPm-1. However, P53 expression was inhibited in the low-dose PPPm-1 offspring group but promoted in the high-dose PPPm-1 offspring group. Additionally, PPPm-1 could effectively activate the Wnt/ss-catenin signaling pathway, promote the expressions of Wnt/1, ss-catenin, CyclinD1, and TCF-4 mRNA and protein, and inhibit GSK-3 ss mRNA and protein expression to improve the learning and memory abilities of offspring mice. Conclusion: Thus, PPPm-1 improved the learning and memory abilities in the offspring of aging pregnant mice by acting on the P19-P53-P21 and Wnt/ss-catenin signaling pathways.</t>
  </si>
  <si>
    <t>[Sha, Ailong] Chongqing Three Gorges Univ, Sch Teacher Educ, Chongqing 404120, Peoples R China; [Sha, Ailong; Chen, Hongrun; Zhao, Xuewen] Chongqing Three Gorges Univ, Sch Biol &amp; Food Engn, Chongqing 404120, Peoples R China</t>
  </si>
  <si>
    <t>Chongqing Three Gorges University; Chongqing Three Gorges University</t>
  </si>
  <si>
    <t>Sha, AL (corresponding author), Chongqing Three Gorges Univ, Sch Teacher Educ, Chongqing 404120, Peoples R China.</t>
  </si>
  <si>
    <t>lyshaailong@163.com</t>
  </si>
  <si>
    <t>Science and technology research project of the Chongqing Education Commission [KJQN201901235, KJQN20201226, KJQN202101247]; Talent Introduction and Sci-entific Research Startup Fund Project of Chongqing Three Gorges Uni-versity [20190002]</t>
  </si>
  <si>
    <t>Science and technology research project of the Chongqing Education Commission; Talent Introduction and Sci-entific Research Startup Fund Project of Chongqing Three Gorges Uni-versity</t>
  </si>
  <si>
    <t>This work was supported by the Science and technology research project of the Chongqing Education Commission (KJQN201901235, KJQN20201226, KJQN202101247) , the Talent Introduction and Sci-entific Research Startup Fund Project of Chongqing Three Gorges Uni-versity (20190002) .</t>
  </si>
  <si>
    <t>ELSEVIER IRELAND LTD</t>
  </si>
  <si>
    <t>CLARE</t>
  </si>
  <si>
    <t>ELSEVIER HOUSE, BROOKVALE PLAZA, EAST PARK SHANNON, CO, CLARE, 00000, IRELAND</t>
  </si>
  <si>
    <t>0378-8741</t>
  </si>
  <si>
    <t>1872-7573</t>
  </si>
  <si>
    <t>J ETHNOPHARMACOL</t>
  </si>
  <si>
    <t>J. Ethnopharmacol.</t>
  </si>
  <si>
    <t>JAN 10</t>
  </si>
  <si>
    <t>A</t>
  </si>
  <si>
    <t>10.1016/j.jep.2023.116883</t>
  </si>
  <si>
    <t>Plant Sciences; Chemistry, Medicinal; Integrative &amp; Complementary Medicine; Pharmacology &amp; Pharmacy</t>
  </si>
  <si>
    <t>Plant Sciences; Pharmacology &amp; Pharmacy; Integrative &amp; Complementary Medicine</t>
  </si>
  <si>
    <t>P3SV3</t>
  </si>
  <si>
    <t>WOS:001049884500001</t>
  </si>
  <si>
    <t>Wang, DM; Ma, X; Xu, ZA; Ding, PJ; Cai, WL; Li, R; Wang, WQ; Liu, X; Zhang, HM</t>
  </si>
  <si>
    <t>Wang, Dong-Ming; Ma, Xin; Xu, Zhi-Ao; Ding, Pei-Jun; Cai, Wan-Ling; Li, Rui; Wang, Wu-Qing; Liu, Xin; Zhang, Hui-Min</t>
  </si>
  <si>
    <t>Qingre Qushi formula suppresses atopic dermatitis via a multi-target mechanism</t>
  </si>
  <si>
    <t>Qingre-qushi formula; Atopic dermatitis; IL-17A signaling pathway; Multi-target mechanism</t>
  </si>
  <si>
    <t>SKIN-DISEASE; ACTIVATION; QUERCETIN; PSORIASIS; IL-17A; IMPACT; CELLS; COX-2; SHOWS</t>
  </si>
  <si>
    <t>Ethnopharmacological relevance: Our previous studies have shown that the Qingre Qushi (QRQS) formula can treat atopic dermatitis (AD), and its possible mechanism is related to the regulation of the IL-33/ST2 signaling pathway. However, the molecular mechanism of AD is complex, and various AD subtypes respond better to therapies aimed at distinct targets. Aim of the study: This study aimed to investigate the multi-target mechanism of QRQS using experimental and network pharmacology studies. Materials and methods: Flaky tail (FT) mice were treated with different concentrations of QRQS and cetirizine. The dermatitis score, scratching frequency, and histological evaluation were normatively evaluated. The levels of IgE and IgG1 in serum were tested using ELISAs. Using ELISA and RT-PCR, the expression of associated cytokines was determined. IL-17A-stimulated HaCaT cells were treated with QRQS to assess mRNA and protein expression. To elucidate the mechanism, a network pharmacology analysis based on active components derived from UPLC was conducted. Through molecular docking, we evaluated the binding affinity between the active constituents of QRQS and potential targets. Results: Using UPLC, 177 active ingredients in QRQS were identified. Network pharmacology analysis showed that the anti-AD effect of the active ingredients was related to the IL-17 signaling pathway and its related targets. FT mice are characterized by Th17-dominated immune disorders. QRQS ameliorated AD-like symptoms and decreased dermatitis scores and scratching frequencies. After QRQS treatment, IL-17A expression was inhibited and IL-17 pathway-associated cytokines were downregulated. Along with changes in Th17-differentiation, QRQS suppressed the expression of IL-4, IL-13, and TNF-&amp; alpha;. QRQS also decreased the expression of IL-6, IL-8, and COX-2 in HaCaT cells exposed to IL-17A. The anti-AD active doses are 3.86 g/kg/day in vivo and 100 &amp; mu;g/mL in vitro. Conclusion: QRQS has a multi-target immunoregulatory effect on AD and can improve the Th17-dominated inflammatory response by regulating the IL-17A signaling pathway. Quercetin, genistein, luteolin, and kaempferol are potential active ingredients.</t>
  </si>
  <si>
    <t>[Wang, Dong-Ming; Ding, Pei-Jun; Cai, Wan-Ling; Wang, Wu-Qing; Zhang, Hui-Min] Shanghai Univ Tradit Chinese Med, Shuguang Hosp, Dept Haematol, Shanghai, Peoples R China; [Ma, Xin] Tongji Univ, Shanghai Skin Dis Hosp, Sch Med, Shanghai, Peoples R China; [Liu, Xin] Xuzhou Med Univ, Sch Med Informat &amp; Engn, Xuzhou, Jiangsu, Peoples R China; [Xu, Zhi-Ao; Li, Rui] Xuzhou Med Univ, Sch Life Sci, Xuzhou, Jiangsu, Peoples R China; [Zhang, Hui-Min] 528 Zhangheng Rd, Shanghai, Peoples R China</t>
  </si>
  <si>
    <t>Shanghai University of Traditional Chinese Medicine; Tongji University; Xuzhou Medical University; Xuzhou Medical University</t>
  </si>
  <si>
    <t>Liu, X (corresponding author), Xuzhou Med Univ, Sch Med Informat &amp; Engn, Xuzhou, Jiangsu, Peoples R China.;Zhang, HM (corresponding author), 528 Zhangheng Rd, Shanghai, Peoples R China.</t>
  </si>
  <si>
    <t>wangwuqing121@sina.com; nicole.ma@me.com; 1592236955@qq.com; ding-peijun@hotmail.com; wangwuqing121@sina.com; 2722556880lirui@gmail.com; wangwuqing121@sina.com; liuxin@xzhmu.edu.cn; zhanghm@shutcm.edu.cn</t>
  </si>
  <si>
    <t>National Natural Science Foundation of China [81974570, 82004359, 82104863]; Shanghai Health Planning Commission Shanghai School of Traditional Chinese Medicine Inheritors Project [LPRC2017041]</t>
  </si>
  <si>
    <t>National Natural Science Foundation of China(National Natural Science Foundation of China (NSFC)); Shanghai Health Planning Commission Shanghai School of Traditional Chinese Medicine Inheritors Project</t>
  </si>
  <si>
    <t>This study was supported by the National Natural Science Foundation of China (Grant no. 81974570, 82004359 and 82104863) , which covered the cost of experimental consumables and animal husbandry, and the Shanghai Health Planning Commission Shanghai School of Traditional Chinese Medicine Inheritors Project (Grant no. LPRC2017041) , which covered the cost of revision and publication of the paper.</t>
  </si>
  <si>
    <t>10.1016/j.jep.2023.116923</t>
  </si>
  <si>
    <t>R1JU5</t>
  </si>
  <si>
    <t>WOS:001061982000001</t>
  </si>
  <si>
    <t>Wang, YJ; Li, YW; Song, CH; Ke, JY; Zheng, YQ; Chen, G; Li, N</t>
  </si>
  <si>
    <t>Wang, Yajun; Li, Yanwu; Song, Chunhui; Ke, Junyu; Zheng, Yanqiu; Chen, Gang; Li, Ning</t>
  </si>
  <si>
    <t>Licochalcone A promotes renewal of intestinal mucosa through modulating uc.173</t>
  </si>
  <si>
    <t>Licochalcone A; Intestinal mucosa; Non-coding RNA</t>
  </si>
  <si>
    <t>NONCODING RNA; PROLIFERATION; APOPTOSIS; NUTRITION</t>
  </si>
  <si>
    <t>Ethnopharmacological relevance: Licorice can nourish Pi (spleen) and thereby strengthening the digestive system according to the theory of traditional Chinese medicine. Licorice has been generally used in the compound prescription to treat intestinal inflammatory disease. Licochalcone A (Lico A) is one of the characteristic molecules from licorice. T-UCRs, which are transcribed from ultraconserved regions, are a new class of long non-coding RNAs related to the renewal of intestinal epithelial renewal.Aim of the study: This study aimed to investigate the effect and the uc.173-related mechanism of Lico A on intestinal epithelial renewal. Materials and methods: IE-6 and Caco-2 cells were used to evaluate the effect of Lico A on apoptosis, proliferation, and migration of IECs. The intestinal organoid was used to investigate ex vivo effect and mechanism of Lico A promoting intestinal organoid development. C57BL/6J mice (both normal and uc.173-deficient ones) were used to examine the in vivo effect of Lico A on the renewal of intestinal mucosa.Results: The expression of three T-UCRs related to the intestinal mucosa renewal was altered in Lico A-treated IECs. Lico A promoted the proliferation and inhibited the apoptosis of IECs through uc.173/miR-195 pathway. The development of intestinal organoids and the renewal of intestinal mucosa of mice subjected to the 48-h FAST were all promoted by the treatment of Lico A. Moreover, the growth arrest of uc.173-deficient intestinal organoids and the atrophy of intestinal mucosa in uc.173-deficient mice could be rescued by the Lico A administration.Conclusion: Results in this paper suggest that targeting T-UCRs may be the novel therapeutic approach for the promotion of epithelial regeneration, and through stimulating the regeneration of intestinal mucosa, Lico A may become a new therapeutic agent for the maintenance of intestinal epithelial integrity.</t>
  </si>
  <si>
    <t>[Wang, Yajun; Chen, Gang; Li, Ning] Shenyang Pharmaceut Univ, Sch Tradit Chinese Mat Med, Key Lab Innovat Tradit Chinese Med Major Chron Dis, Key Lab TCM Mat Basis Study &amp; Innovat Drug Dev She, Shenyang 110016, Peoples R China; [Li, Yanwu; Song, Chunhui; Zheng, Yanqiu] Guangzhou Univ Chinese Med, Sci &amp; Technol Innovat Ctr, Guangzhou 510405, Peoples R China; [Ke, Junyu] Guangzhou Univ Chinese Med, Sch Basic Med Sci, Guangzhou 510006, Peoples R China; [Chen, Gang] Shenyang Pharmaceut Univ, Sch Tradit Chinese Mat Med, Wenhua Rd 103, Shenyang 110016, Peoples R China</t>
  </si>
  <si>
    <t>Shenyang Pharmaceutical University; Guangzhou University of Chinese Medicine; Guangzhou University of Chinese Medicine; Shenyang Pharmaceutical University</t>
  </si>
  <si>
    <t>Chen, G; Li, N (corresponding author), Shenyang Pharmaceut Univ, Sch Tradit Chinese Mat Med, Key Lab Innovat Tradit Chinese Med Major Chron Dis, Key Lab TCM Mat Basis Study &amp; Innovat Drug Dev She, Shenyang 110016, Peoples R China.;Chen, G (corresponding author), Shenyang Pharmaceut Univ, Sch Tradit Chinese Mat Med, Wenhua Rd 103, Shenyang 110016, Peoples R China.</t>
  </si>
  <si>
    <t>wangyajun6666@163.com; liyanwu@gzucm.edu.cn; sjbjbtm@163.com; junyuke21@163.com; zyq18998283045@163.com; chengang1152001@163.com; liningsypharm@163.com</t>
  </si>
  <si>
    <t>Li, Ning/0000-0002-6518-2541</t>
  </si>
  <si>
    <t>National Natural Science Foundation of China [U1903122, 81872768]; Scientific Research Fund of Liaoning Province Education Department [LJKZ0945]; Natural Science Foundation of Liaoning Province [2022-MS-242]</t>
  </si>
  <si>
    <t>National Natural Science Foundation of China(National Natural Science Foundation of China (NSFC)); Scientific Research Fund of Liaoning Province Education Department; Natural Science Foundation of Liaoning Province(Natural Science Foundation of Liaoning Province)</t>
  </si>
  <si>
    <t>This work was financially supported by National Natural Science Foundation of China (Grant No. U1903122, 81872768), Scientific Research Fund of Liaoning Province Education Department (LJKZ0945), Natural Science Foundation of Liaoning Province (2022-MS-242)</t>
  </si>
  <si>
    <t>B</t>
  </si>
  <si>
    <t>10.1016/j.jep.2023.117044</t>
  </si>
  <si>
    <t>R3AY1</t>
  </si>
  <si>
    <t>WOS:001063121800001</t>
  </si>
  <si>
    <t>Shi, HM; Li, JC; Li, H; Huang, GL; Zhang, T</t>
  </si>
  <si>
    <t>Shi, Huimin; Li, Junchi; Li, Hui; Huang, Gangliang; Zhang, Tao</t>
  </si>
  <si>
    <t>Extraction, purification and antioxidant activity of polysaccharides from different parts of Hibiscus manihot L.</t>
  </si>
  <si>
    <t>JOURNAL OF MOLECULAR STRUCTURE</t>
  </si>
  <si>
    <t>Polysaccharides from Hibiscus manihot; Purification; Structure; Antioxidant activity</t>
  </si>
  <si>
    <t>WATER-SOLUBLE POLYSACCHARIDE; ANTITUMOR-ACTIVITY; STRUCTURAL-CHARACTERIZATION</t>
  </si>
  <si>
    <t>The goal of this study was to elucidate the characteristics and properties of polysaccharides from different parts of cultivated Hibiscus manihot L. (HM). Polysaccharides were extracted with hot-water from the flowers, leaves, roots, stems and epidermis of HM. Two purified fractions having high content, HMPS-F2 and HMPS-F4, were isolated from floral polysaccharides. The results showed that HMPS-F2 was a homopolysaccharide composed of glucose residues with an average molecular weight of 8.59 x 104 Da, which might have a backbone structure of &amp; RARR;1)-&amp; alpha;-D-Glcp (4 &amp; RARR;. HMPS-F4 was a natural acetylated heteropolysaccharide with a complex structure and an average molecular weight of 1.63 x 105 Da. It was mainly composed of Rha(rhamnose), GalA(galacturonic acid), and Gal(galactose) with a molar ratio of 3.06:1.00:1.62. The results of antioxidant experiments showed that HM polysaccharides (0.125-4.0 mg/L) had certain inhibitory effects on DPPH radicals, hydroxyl radicals and lipid peroxidation, among which the scavenging effect on hydroxyl radicals was the best. These results suggest that HM polysaccharide is a potent active ingredient that may play an active role in the medicinal activity of HM.</t>
  </si>
  <si>
    <t>[Shi, Huimin; Li, Junchi; Li, Hui; Huang, Gangliang; Zhang, Tao] Chongqing Normal Univ, Key Lab Carbohydrate Sci &amp; Engn, Coll Life Sci, Chongqing 401331, Peoples R China; [Li, Junchi; Li, Hui; Huang, Gangliang] Chongqing Normal Univ, Coll Chem, Chongqing 401331, Peoples R China; [Huang, Gangliang; Zhang, Tao] Chongqing Normal Univ, Key Lab Carbohydrate Sci &amp; Engn, Chongqing 401331, Peoples R China</t>
  </si>
  <si>
    <t>Chongqing Normal University; Chongqing Normal University; Chongqing Normal University</t>
  </si>
  <si>
    <t>Huang, GL; Zhang, T (corresponding author), Chongqing Normal Univ, Key Lab Carbohydrate Sci &amp; Engn, Chongqing 401331, Peoples R China.</t>
  </si>
  <si>
    <t>huangdoctor226@163.com; zht2188@126.com</t>
  </si>
  <si>
    <t>0022-2860</t>
  </si>
  <si>
    <t>1872-8014</t>
  </si>
  <si>
    <t>J MOL STRUCT</t>
  </si>
  <si>
    <t>J. Mol. Struct.</t>
  </si>
  <si>
    <t>JAN 5</t>
  </si>
  <si>
    <t>10.1016/j.molstruc.2023.136598</t>
  </si>
  <si>
    <t>Chemistry, Physical</t>
  </si>
  <si>
    <t>Chemistry</t>
  </si>
  <si>
    <t>S8MW5</t>
  </si>
  <si>
    <t>WOS:001073664900001</t>
  </si>
  <si>
    <t>Bif, MB; Long, JS; Johnson, KS</t>
  </si>
  <si>
    <t>Bif, Mariana B.; Long, Jacqueline S.; Johnson, Kenneth S.</t>
  </si>
  <si>
    <t>Seasonality modulates particulate organic carbon dynamics in mid-latitudes of South Pacific and South Atlantic Oceans</t>
  </si>
  <si>
    <t>JOURNAL OF MARINE SYSTEMS</t>
  </si>
  <si>
    <t>Biological carbon pump; Marine carbon cycle; Particulate organic carbon; Primary production; Southern Ocean; Transfer efficiency</t>
  </si>
  <si>
    <t>SUBSURFACE CHLOROPHYLL MAXIMUM; OPTICAL BACKSCATTERING; PRIMARY PRODUCTIVITY; FLUX; EXPORT; IRON; PHYTOPLANKTON; VARIABILITY; LAYER; SEQUESTRATION</t>
  </si>
  <si>
    <t>Here we used data from six BGC-floats deployed in the southeast Pacific and southwest Atlantic Oceans, within the Southern Ocean's Subtropical Zone, to assess the seasonality of particulate organic carbon production from phytoplankton (POCphyto) and estimate POC transfer efficiencies at 100 m below the euphotic zone (T_100). While small particles &lt;100 mu M dominated the mixed layer, large particles &gt;100 mu M comprised a significant fraction of POCphyto below the mixed layer in both areas, possibly due to a shade flora composed by large diatoms. POCphyto was highly seasonal with highest biomass accumulation in the Atlantic side for both small and large particles. In the Pacific, the seasonal change in small particle production Delta POCphyto was similar to 66 mg m(-2) versus similar to 54 mg m(-2) from large particles. In the Atlantic, Delta POC(phyt)o was similar to 852 mg m(-2) for small particles versus Delta POCphyto similar to 262 mg m(-2) for large particles. Monthly T_100s in the Pacific ranged from 76% to 92% with maximum efficiencies during the deepening of the mixed layer depth. In the Atlantic, T_100s ranged from 43% to 76% with two periods of high T_100s: the first coinciding with the decline of large particles from the shade flora, and the second coinciding with the deepening of the mixed layer during elevated small particle production.</t>
  </si>
  <si>
    <t>[Bif, Mariana B.; Long, Jacqueline S.; Johnson, Kenneth S.] Monterey Bay Aquarium Res Inst MBARI, Moss Landing, CA 95039 USA</t>
  </si>
  <si>
    <t>Monterey Bay Aquarium Research Institute</t>
  </si>
  <si>
    <t>Bif, MB (corresponding author), Monterey Bay Aquarium Res Inst MBARI, Moss Landing, CA 95039 USA.</t>
  </si>
  <si>
    <t>mariana@mbari.org</t>
  </si>
  <si>
    <t>David and Lucile Packard Foundation [3901497]; Southern Ocean Carbon and Climate Observations and Modeling (SOCCOM) Project under the NSF Awards [PLR-1425989, OPP-1936222]; NOAA; NASA; U.S. National Science Foundation through the U.S. Antarctic Program</t>
  </si>
  <si>
    <t>David and Lucile Packard Foundation(The David &amp; Lucile Packard Foundation); Southern Ocean Carbon and Climate Observations and Modeling (SOCCOM) Project under the NSF Awards; NOAA(National Oceanic Atmospheric Admin (NOAA) - USA); NASA(National Aeronautics &amp; Space Administration (NASA)); U.S. National Science Foundation through the U.S. Antarctic Program(National Science Foundation (NSF))</t>
  </si>
  <si>
    <t>The authors would like to thank all the personnel involved in efforts to build, deploy floats and process data. We also thank UK BioArgo-BODC project to make data available for the float WMO#3901497, and the SOCCOM project for data availability of the remaining floats. All authors were supported through MBARI by the David and Lucile Packard Foundation. This work was sponsored by Southern Ocean Carbon and Climate Observations and Modeling (SOCCOM) Project under the NSF Awards PLR-1425989 and OPP-1936222, with additional support from NOAA and NASA. Logistical support for this project in the Antarctic was provided by the U.S. National Science Foundation through the U.S. Antarctic Program.</t>
  </si>
  <si>
    <t>0924-7963</t>
  </si>
  <si>
    <t>1879-1573</t>
  </si>
  <si>
    <t>J MARINE SYST</t>
  </si>
  <si>
    <t>J. Mar. Syst.</t>
  </si>
  <si>
    <t>JAN</t>
  </si>
  <si>
    <t>10.1016/j.jmarsys.2023.103916</t>
  </si>
  <si>
    <t>Geosciences, Multidisciplinary; Marine &amp; Freshwater Biology; Oceanography</t>
  </si>
  <si>
    <t>Geology; Marine &amp; Freshwater Biology; Oceanography</t>
  </si>
  <si>
    <t>O7WU5</t>
  </si>
  <si>
    <t>WOS:001045880100001</t>
  </si>
  <si>
    <t>Chang, RR; Xu, KJ; Zhang, R; Jin, ZY; Aiguo, M</t>
  </si>
  <si>
    <t>Chang, Ranran; Xu, KunJie; Zhang, Rao; Jin, Zhengyu; Aiguo, Ma</t>
  </si>
  <si>
    <t>A combined recrystallization and acetylation strategy for resistant starch with enhanced thermal stability and excellent short-chain fatty acid production</t>
  </si>
  <si>
    <t>Recrystallized; Acetylation; Fermentation</t>
  </si>
  <si>
    <t>MICROBIAL METABOLITES; POTATO STARCH; DIGESTIBILITY; DIGESTION; LENGTH</t>
  </si>
  <si>
    <t>In this study, resistant starch (RS) with enhanced thermal stability and excellent short-chain fatty acid production was obtained using recrystallization at 50 &amp; DEG;C of debranched waxy maize starch followed by an acetylation strategy. RS sample obtained by debranching with a 25% high concentration of native starch combined with recrystallization at 50 &amp; DEG;C (25DBS-50 &amp; DEG;C-P) and acetylated RS (25DBS-50 &amp; DEG;C-P-A) exhibited high relative crystallinity of 69.4% and 64.2%, respectively. And the peak gelatinization temperature values of them reached 116.8 &amp; DEG;C and 111.4 &amp; DEG;C, and the RS contents of them after cooking for 30 min remained at 35.1% and 40.0%, respectively. The acetic acid yield of 25DBS-50 &amp; DEG;C-P-A was higher than that of the control group. These results indicated that recrystallization at 50 &amp; DEG;C combined with acetylation for debranched starch could be used as a new method for regulating the digestibility and fermentation properties while developing food with a low glycemic response and specific nutritional benefits.</t>
  </si>
  <si>
    <t>[Chang, Ranran; Xu, KunJie; Zhang, Rao; Aiguo, Ma] Qingdao Univ, Inst Nutr &amp; Hlth, Qingdao 266021, Peoples R China; [Chang, Ranran; Xu, KunJie; Zhang, Rao; Aiguo, Ma] Qingdao Univ, Sch Publ Hlth, Qingdao 266021, Peoples R China; [Chang, Ranran; Jin, Zhengyu] Jiangnan Univ, State Key Lab Food Sci &amp; Technol, Wuxi 214122, Peoples R China; [Chang, Ranran] Dalian Polytech Univ, Sch Food Sci &amp; Technol, Dalian 116034, Peoples R China</t>
  </si>
  <si>
    <t>Qingdao University; Qingdao University; Jiangnan University; Dalian Polytechnic University</t>
  </si>
  <si>
    <t>Chang, RR (corresponding author), Qingdao Univ, Inst Nutr &amp; Hlth, Qingdao 266021, Peoples R China.</t>
  </si>
  <si>
    <t>rrchang@qdu.edu.cn</t>
  </si>
  <si>
    <t>Research Startup Fund for Importing Talents of Qingdao University of China</t>
  </si>
  <si>
    <t>This work was supported by the Research Startup Fund for Importing Talents of Qingdao University of China.</t>
  </si>
  <si>
    <t>JAN 1</t>
  </si>
  <si>
    <t>10.1016/j.foodchem.2023.136970</t>
  </si>
  <si>
    <t>Q0OP5</t>
  </si>
  <si>
    <t>WOS:001054597300001</t>
  </si>
  <si>
    <t>Chen, ZY; Wen, JJ; Zeng, Y; Li, MY; Tian, YK; Yang, F; Li, MMJ; Chen, PR; Huang, HM; Ye, DQ; Chen, LM</t>
  </si>
  <si>
    <t>Chen, Ziyang; Wen, Jinjun; Zeng, Yu; Li, Mengyuan; Tian, Yukun; Yang, Fan; Li, Molly Meng-Jung; Chen, Peirong; Huang, Haomin; Ye, Daiqi; Chen, Limin</t>
  </si>
  <si>
    <t>The origin of the mediocre methanol selectivity of Cu/ZnO-based catalysts for methanol synthesis from CO2 hydrogenation</t>
  </si>
  <si>
    <t>APPLIED CATALYSIS B-ENVIRONMENTAL</t>
  </si>
  <si>
    <t>CO 2 hydrogenation to methanol; Cu-ZnO catalyst; Pressure effect; Strong metal-support interactions</t>
  </si>
  <si>
    <t>CU; ZNO; SURFACE; ZINC; ADSORPTION; COPPER; SITES; MECHANISMS; RELEVANT; OXIDES</t>
  </si>
  <si>
    <t>Cu/ZnO-based catalysts have been extensively and intensively studied for CO2 hydrogenation to methanol due to their relatively superior catalytic performance. However, the mediocre methanol selectivity over Cu/ZnO-based catalysts has not been disclosed mainly because the predominant by-product CO formation activity fails to arouse any attention, significantly deterring the further catalyst optimization. The ZnOx-Cu nanoparticles (NP)-ZnO interface, derived from strong metal-support interactions (SMSI), has been recognized to be more active for methanol formation compared with the classical direct contact Cu-ZnO interface. In order to disclose the origin of the mediocre methanol selectivity, these two types of Cu-ZnO interfaces have been designed and constructed through carefully manipulating the synthesis and heat pre-treatment conditions of the powder model catalysts. Then, methanol and CO formation behaviors over these two interfaces have been explored thoroughly in actual reaction conditions. Finally, the origin of the mediocre methanol selectivity over Cu/ZnO-based catalysts has been proposed. This work provides unique insights for designing efficient Cu/ZnO-based catalysts with high methanol selectivity and yield and puts forward an effective strategy to investigate the catalytic behaviors over different interfaces in actual reaction conditions.</t>
  </si>
  <si>
    <t>[Chen, Ziyang; Wen, Jinjun; Zeng, Yu; Tian, Yukun; Chen, Peirong; Huang, Haomin; Ye, Daiqi; Chen, Limin] South China Univ Technol, Sch Environm &amp; Energy, Guangdong Prov Key Lab Atmospher Environm &amp; Pollut, Guangzhou 510006, Peoples R China; [Li, Mengyuan; Yang, Fan] Chinese Acad Sci, Dalian Inst Chem Phys, State Key Lab Catalysis, Dalian 116023, Peoples R China; [Li, Molly Meng-Jung] Hong Kong Polytech Univ, Dept Appl Phys, Hong Kong, Peoples R China; [Yang, Fan] ShanghaiTech Univ, Sch Phys Sci &amp; Technol, Shanghai 201210, Peoples R China; [Chen, Peirong; Huang, Haomin; Ye, Daiqi; Chen, Limin] South China Univ Technol, Natl Engn Lab VOCs Pollut Control Technol &amp; Equipm, Guangzhou 510006, Peoples R China; [Chen, Limin] South China Univ Technol, Sch Environm &amp; Energy, Guangzhou 510006, Peoples R China</t>
  </si>
  <si>
    <t>South China University of Technology; Chinese Academy of Sciences; Dalian Institute of Chemical Physics, CAS; State Key Laboratory of Catalysis, CAS; Hong Kong Polytechnic University; ShanghaiTech University; South China University of Technology; South China University of Technology</t>
  </si>
  <si>
    <t>Chen, LM (corresponding author), South China Univ Technol, Sch Environm &amp; Energy, Guangzhou 510006, Peoples R China.</t>
  </si>
  <si>
    <t>liminchen@scut.edu.cn</t>
  </si>
  <si>
    <t>National Natural Science Foundation of China [21976059, 22276060, 51878292]; Guangdong Basic and Applied Basic Research Foundation [2019A1515011849]; China Scholarship Council Scholarship [201906155006]</t>
  </si>
  <si>
    <t>National Natural Science Foundation of China(National Natural Science Foundation of China (NSFC)); Guangdong Basic and Applied Basic Research Foundation; China Scholarship Council Scholarship(China Scholarship Council)</t>
  </si>
  <si>
    <t>This work was financially supported by the National Natural Science Foundation of China [No. 21976059, 22276060, 51878292] ; Guangdong Basic and Applied Basic Research Foundation (2019A1515011849) and China Scholarship Council Scholarship (CSC No. 201906155006) .</t>
  </si>
  <si>
    <t>0926-3373</t>
  </si>
  <si>
    <t>1873-3883</t>
  </si>
  <si>
    <t>APPL CATAL B-ENVIRON</t>
  </si>
  <si>
    <t>Appl. Catal. B-Environ.</t>
  </si>
  <si>
    <t>10.1016/j.apcatb.2023.123192</t>
  </si>
  <si>
    <t>Chemistry, Physical; Engineering, Environmental; Engineering, Chemical</t>
  </si>
  <si>
    <t>Chemistry; Engineering</t>
  </si>
  <si>
    <t>S7RE6</t>
  </si>
  <si>
    <t>WOS:001073097600001</t>
  </si>
  <si>
    <t>Craciunescu, A; Suciu, L</t>
  </si>
  <si>
    <t>Craciunescu, Aurelian; Suciu, Laurian</t>
  </si>
  <si>
    <t>Brownian extensions in the context of three-isometries</t>
  </si>
  <si>
    <t>JOURNAL OF MATHEMATICAL ANALYSIS AND APPLICATIONS</t>
  </si>
  <si>
    <t>3-isometry; Brownian unitary operator; Taut extension</t>
  </si>
  <si>
    <t>M-ISOMETRIC TRANSFORMATIONS; OPERATORS; LIFTINGS</t>
  </si>
  <si>
    <t>A study of 3-isometries on a Hilbert space H which have 3-Brownian unitary extensions is developed. It was inspired by the similar results of Agler-Stankus in the context of 2-isometries. We give matrix representations for these operators and for theirs Brownian type extensions, as well as for the taut extensions in this context. A useful description of such an operator T is obtained in terms of a characteristic polynomial associated to T.&amp; COPY; 2023 Elsevier Inc. All rights reserved.</t>
  </si>
  <si>
    <t>[Suciu, Laurian] West Univ Timisoara, Fac Math &amp; Informat, Dept Math, Timisoara, Romania; [Suciu, Laurian] Lucian Blaga Univ Sibiu, Fac Sci, Dept Math &amp; Informat, Sibiu, Romania</t>
  </si>
  <si>
    <t>West University of Timisoara; Lucian Blaga University of Sibiu</t>
  </si>
  <si>
    <t>Suciu, L (corresponding author), Lucian Blaga Univ Sibiu, Fac Sci, Dept Math &amp; Informat, Sibiu, Romania.</t>
  </si>
  <si>
    <t>aurelian.craciunescu@e-uvt.ro; laurians2002@yahoo.com</t>
  </si>
  <si>
    <t>Lucian Blaga University of Sibiu; Hasso Plattner Foundation [LBUS-IRG-2021-07]</t>
  </si>
  <si>
    <t>Lucian Blaga University of Sibiu; Hasso Plattner Foundation</t>
  </si>
  <si>
    <t>The second named author was supported by a Project financed by Lucian Blaga University of Sibiu and Hasso Plattner Foundation research grant LBUS-IRG-2021-07.</t>
  </si>
  <si>
    <t>ACADEMIC PRESS INC ELSEVIER SCIENCE</t>
  </si>
  <si>
    <t>SAN DIEGO</t>
  </si>
  <si>
    <t>525 B ST, STE 1900, SAN DIEGO, CA 92101-4495 USA</t>
  </si>
  <si>
    <t>0022-247X</t>
  </si>
  <si>
    <t>1096-0813</t>
  </si>
  <si>
    <t>J MATH ANAL APPL</t>
  </si>
  <si>
    <t>J. Math. Anal. Appl.</t>
  </si>
  <si>
    <t>10.1016/j.jmaa.2023.127591</t>
  </si>
  <si>
    <t>O9JP4</t>
  </si>
  <si>
    <t>WOS:001046912200001</t>
  </si>
  <si>
    <t>Eftekhari, F; Tavassoly, MK; Behjat, A; Faghihi, MJ</t>
  </si>
  <si>
    <t>Eftekhari, F.; Tavassoly, M. K.; Behjat, A.; Faghihi, M. J.</t>
  </si>
  <si>
    <t>Entanglement and atomic inversion in a dissipative two-atom-optomechanical system</t>
  </si>
  <si>
    <t>OPTICS AND LASER TECHNOLOGY</t>
  </si>
  <si>
    <t>Optomechanical system; Photon-phonon entanglement; Atom-atom entanglement; Dissipation</t>
  </si>
  <si>
    <t>CAVITY QUANTUM ELECTRODYNAMICS; OPTOMECHANICAL SYSTEM; MICROWAVE; LIGHT; PHOTONS</t>
  </si>
  <si>
    <t>In this paper, we study the dynamics of photon-phonon entanglement demonstrating micro-macro entanglement, atom-atom entanglement, and atomic population inversion in a hybrid optomechanical system. This contains a single-mode radiation field which interacts with two two-level atoms and a mechanical resonator, in the presence of different sources of dissipation, i.e., cavity loss and atomic spontaneous emission. Moreover, an external pump field is also driven into the cavity. Obtaining the effective Hamiltonian of the whole system along with using the time-dependent Schrodinger equation, we find the state vector of the system, numerically. We then investigate the dynamics of bipartite entanglements between the two atoms as well as photon-phonon subsystems by means of concurrence, and also the temporal behavior of population inversion of the two atoms. In each case, the influences of atom-field coupling strength, optical-mechanical mode coupling, amplitude of pump field, and also different sources of dissipation in the above-mentioned quantum properties are investigated. The obtained results show that the photon-phonon entanglement can be protected and enhanced by adjusting the system parameters. Moreover, the degree of entanglement between photon and phonon can significantly be improved by the increase of the amplitude of external driven field. Furthermore, the effect of atom-field coupling on the amount of atom-atom entanglement is remarkable. In addition, the high values of atomic population inversion can be observed in the presence of atomic decay. Also, the phenomena of the typical collapse-revival phenomenon in the population inversion may be observed, via justifying the involved parameters.</t>
  </si>
  <si>
    <t>[Eftekhari, F.; Tavassoly, M. K.; Behjat, A.] Yazd Univ, Fac Phys, Opt &amp; Laser Grp, Yazd, Iran; [Faghihi, M. J.] Grad Univ Adv Technol, Dept Photon, Kerman, Iran</t>
  </si>
  <si>
    <t>University of Yazd; Graduate University of Advanced Technology</t>
  </si>
  <si>
    <t>Tavassoly, MK (corresponding author), Yazd Univ, Fac Phys, Opt &amp; Laser Grp, Yazd, Iran.</t>
  </si>
  <si>
    <t>farshideftekhari3@gmail.com; mktavassoly@yazd.ac.ir; abehjat@yazd.ac.ir; mj.faghihi@kgut.ac.ir</t>
  </si>
  <si>
    <t>0030-3992</t>
  </si>
  <si>
    <t>1879-2545</t>
  </si>
  <si>
    <t>OPT LASER TECHNOL</t>
  </si>
  <si>
    <t>Opt. Laser Technol.</t>
  </si>
  <si>
    <t>10.1016/j.optlastec.2023.109934</t>
  </si>
  <si>
    <t>Optics; Physics, Applied</t>
  </si>
  <si>
    <t>Optics; Physics</t>
  </si>
  <si>
    <t>R5WF8</t>
  </si>
  <si>
    <t>Bronze</t>
  </si>
  <si>
    <t>WOS:001065048600001</t>
  </si>
  <si>
    <t>El Yaagoubi, Y; Prunier-Aesch, C; Thanguturi, S; Laplaige, P</t>
  </si>
  <si>
    <t>El Yaagoubi, Yacine; Prunier-Aesch, Caroline; Thanguturi, Soumanth; Laplaige, Philippe</t>
  </si>
  <si>
    <t>The tiger-man sign</t>
  </si>
  <si>
    <t>JOINT BONE SPINE</t>
  </si>
  <si>
    <t>Editorial Material</t>
  </si>
  <si>
    <t>[El Yaagoubi, Yacine; Prunier-Aesch, Caroline] Vinci Clin, Dept Nucl Med, Tours, France; [Thanguturi, Soumanth] Dept Histopathol, IHP Grp, Tours, France; [Laplaige, Philippe] Blois Polyclin, Dept Oncol, Blois, France</t>
  </si>
  <si>
    <t>El Yaagoubi, Y (corresponding author), Vinci Clin, Dept Nucl Med, Tours, France.</t>
  </si>
  <si>
    <t>eyacine2@yahoo.fr</t>
  </si>
  <si>
    <t>ELSEVIER FRANCE-EDITIONS SCIENTIFIQUES MEDICALES ELSEVIER</t>
  </si>
  <si>
    <t>ISSY-LES-MOULINEAUX</t>
  </si>
  <si>
    <t>65 RUE CAMILLE DESMOULINS, CS50083, 92442 ISSY-LES-MOULINEAUX, FRANCE</t>
  </si>
  <si>
    <t>1297-319X</t>
  </si>
  <si>
    <t>1778-7254</t>
  </si>
  <si>
    <t>Joint Bone Spine</t>
  </si>
  <si>
    <t>10.1016/j.jbspin.2023.105614</t>
  </si>
  <si>
    <t>Rheumatology</t>
  </si>
  <si>
    <t>S4DV1</t>
  </si>
  <si>
    <t>WOS:001070698600001</t>
  </si>
  <si>
    <t>Fang, ZJ; Zhang, H; Guo, JC; Guo, JH</t>
  </si>
  <si>
    <t>Fang, Zijun; Zhang, He; Guo, Jiuchuan; Guo, Jinhong</t>
  </si>
  <si>
    <t>Overview of therapeutic drug monitoring and clinical practice</t>
  </si>
  <si>
    <t>TALANTA</t>
  </si>
  <si>
    <t>Therapeutic drug monitoring; Monitoring tools; Trending hotspots; Individualized drug delivery</t>
  </si>
  <si>
    <t>TANDEM MASS-SPECTROMETRY; LIQUID-LIQUID MICROEXTRACTION; LC-MS/MS METHOD; HUMAN PLASMA; WHOLE-BLOOD; SIMULTANEOUS QUANTIFICATION; IMMUNOSUPPRESSIVE DRUGS; ANTIEPILEPTIC DRUGS; MYCOPHENOLIC-ACID; SIMULTANEOUS QUANTITATION</t>
  </si>
  <si>
    <t>With the rapid development of clinical pharmacy in China, therapeutic drug monitoring (TDM) has become an essential tool for guiding rational clinical drug use and is widely concerned. TDM is a tool that combines pharmacokinetic and pharmacodynamic knowledge to optimize personalized drug therapy, which can improve treatment outcomes, reduce drug-drug toxicity, and avoid the risk of developing drug resistance. To effectively implement TDM, accurate and sophisticated analytical methods are required. By researching the literature published in recent years, we summarize the types of commonly monitored drugs, therapeutic windows, and clinical assays and track the trends and hot spots of therapeutic drug monitoring. The purpose is to provide guidelines for clinical blood drug concentration monitoring, to implement individualized drug delivery programs better, to ensure the rational use of drugs for patients, and to provide a reference for the group to carry out related topics in the future.</t>
  </si>
  <si>
    <t>[Fang, Zijun; Zhang, He] Univ Southwest Petr Univ, Coll Mech &amp; Elect Engn, Chengdu, Peoples R China; [Guo, Jiuchuan] Univ Elect Sci &amp; Technol China, Chengdu, Peoples R China; [Guo, Jinhong] Shanghai Jiao Tong Univ, Sch Sensing Sci &amp; Engn, Shanghai, Peoples R China</t>
  </si>
  <si>
    <t>University of Electronic Science &amp; Technology of China; Shanghai Jiao Tong University</t>
  </si>
  <si>
    <t>Guo, JC (corresponding author), Univ Elect Sci &amp; Technol China, Chengdu, Peoples R China.;Guo, JH (corresponding author), Shanghai Jiao Tong Univ, Sch Sensing Sci &amp; Engn, Shanghai, Peoples R China.</t>
  </si>
  <si>
    <t>guojinhong@sjtu.edu.cn; uestc_gjc@163.com</t>
  </si>
  <si>
    <t>National Natural Science Foundation of China [62122017]</t>
  </si>
  <si>
    <t>The authors thank the financial support from the National Natural Science Foundation of China (62122017) .</t>
  </si>
  <si>
    <t>0039-9140</t>
  </si>
  <si>
    <t>1873-3573</t>
  </si>
  <si>
    <t>Talanta</t>
  </si>
  <si>
    <t>10.1016/j.talanta.2023.124996</t>
  </si>
  <si>
    <t>Chemistry, Analytical</t>
  </si>
  <si>
    <t>Q7XY4</t>
  </si>
  <si>
    <t>WOS:001059629000001</t>
  </si>
  <si>
    <t>Gidiotis, A; Tsoumakas, G</t>
  </si>
  <si>
    <t>Gidiotis, Alexios; Tsoumakas, Grigorios</t>
  </si>
  <si>
    <t>Bayesian active summarization</t>
  </si>
  <si>
    <t>COMPUTER SPEECH AND LANGUAGE</t>
  </si>
  <si>
    <t>Active learning; Abstractive text summarization; Bayes methods; Monte Carlo methods; Natural language processing; Deep learning</t>
  </si>
  <si>
    <t>Bayesian Active Learning has had significant impact to various NLP problems, but nevertheless its application to text summarization has been explored very little. We introduce Bayesian Active Summarization (BAS), as a method of combining active learning methods with stateof-the-art summarization models. Our findings suggest that BAS achieves better and more robust performance, compared to random selection, particularly for small and very small data annotation budgets. More specifically, applying BAS with a summarization model like PEGASUS we managed to reach 95% of the performance of the fully trained model, using less than 150 training samples. Furthermore, we have reduced standard deviation by 18% compared to the conventional random selection strategy. Using BAS we showcase it is possible to leverage large summarization models to effectively solve real-world problems with very limited annotated data.</t>
  </si>
  <si>
    <t>[Gidiotis, Alexios; Tsoumakas, Grigorios] Aristotle Univ Thessaloniki, Sch Informat, Thessaloniki, Greece</t>
  </si>
  <si>
    <t>Aristotle University of Thessaloniki</t>
  </si>
  <si>
    <t>Gidiotis, A (corresponding author), Aristotle Univ Thessaloniki, Sch Informat, Thessaloniki, Greece.</t>
  </si>
  <si>
    <t>alexgidiotis@gmail.com</t>
  </si>
  <si>
    <t>ACADEMIC PRESS LTD- ELSEVIER SCIENCE LTD</t>
  </si>
  <si>
    <t>LONDON</t>
  </si>
  <si>
    <t>24-28 OVAL RD, LONDON NW1 7DX, ENGLAND</t>
  </si>
  <si>
    <t>0885-2308</t>
  </si>
  <si>
    <t>1095-8363</t>
  </si>
  <si>
    <t>COMPUT SPEECH LANG</t>
  </si>
  <si>
    <t>Comput. Speech Lang.</t>
  </si>
  <si>
    <t>10.1016/j.csl.2023.101553</t>
  </si>
  <si>
    <t>Computer Science, Artificial Intelligence</t>
  </si>
  <si>
    <t>Computer Science</t>
  </si>
  <si>
    <t>S1ZG0</t>
  </si>
  <si>
    <t>WOS:001069215700001</t>
  </si>
  <si>
    <t>Gurol, B; Ozdemir, S; Gursoytrak-Mutlay, SH; Terzioglu, Z</t>
  </si>
  <si>
    <t>Gurol, B.; Ozdemir, S.; Gursoytrak-Mutlay, S. H.; Terzioglu, Z.</t>
  </si>
  <si>
    <t>Physical and geometrical properties of an Algol type eclipsing binary with a  Scuti pulsator: HD 221072</t>
  </si>
  <si>
    <t>NEW ASTRONOMY</t>
  </si>
  <si>
    <t>Stars; Binaries; Eclipsing; Pulsation stars; Fundamental parameters technique; Photometry stars; Individual (HD 221072)</t>
  </si>
  <si>
    <t>DELTA-SCUTI; GAMMA DOR; P-MODE; STARS; CATALOG; HYBRID; LIGHT; OSCILLATIONS; DISCOVERY; FREQUENCY</t>
  </si>
  <si>
    <t>In this study, we obtained physical and geometrical parameters of an Algol type eclipsing binary hosting a  Scuti pulsator. Based on the Transiting Exoplanet Survey Satellite (TESS) observations of HD 221072 system published in Sectors 24, 57, and 58, we obtained the photometric solution of the eclipsing binary. The light curve modelling reveals that it is a detached system with masses and radii of the primary and secondary components as M1 = 1.772 &amp; PLUSMN; 0.003M &amp; UAELIG;, M2 = 1.753 &amp; PLUSMN; 0.003M &amp; UAELIG; and R1 = 4.157 &amp; PLUSMN; 0.002R &amp; UAELIG;, R2 = 2.369 &amp; PLUSMN; 0.002R &amp; UAELIG;, respectively. After removing of the binary model from the TESS data, frequency analysis is applied to the light residuals. The Fourier spectrum shows that it can be divided in two sectors. One of them is located below the f &lt; 6d-1 limit and it is purely related with the orbital frequency. Because of the locations of the components on the Hertzsprung-Russell diagram there is a possibility of the secondary component pulsating too. According to the Q pulsation constant obtained for primary and secondary component, we can say that the primary component pulsating with the frequencies larger than f &gt; 6d-1 and it is the  Scuti pulsator in the eclipsing system.</t>
  </si>
  <si>
    <t>[Gurol, B.; Ozdemir, S.; Gursoytrak-Mutlay, S. H.; Terzioglu, Z.] Ankara Univ, Sci Fac, Dept Astron &amp; Space Sci, TR-06100 Ankara, Turkiye</t>
  </si>
  <si>
    <t>Ankara University</t>
  </si>
  <si>
    <t>Gurol, B (corresponding author), Ankara Univ, Sci Fac, Dept Astron &amp; Space Sci, TR-06100 Ankara, Turkiye.</t>
  </si>
  <si>
    <t>birol.gurol@ankara.edu.tr</t>
  </si>
  <si>
    <t>NASA Explorer Program</t>
  </si>
  <si>
    <t>NASA Explorer Program(National Aeronautics &amp; Space Administration (NASA))</t>
  </si>
  <si>
    <t>We thank to the anonymous referee for helpful comments and suggestions that greatly improved the quality of this paper. This research has made use of VizieR the Simbad database, operated at CDS, Strasbourg, France, and NASA's Astrophysics Data System Abstract Service. This work has made use of data from the European Space Agency (ESA) mission Gaia (https:// www.cosmos.esa.int/gaia) , processed by the Gaia Data Processing and Analysis Consortium (DPAC7) . Funding for the DPAC has been provided by national institutions, in particular the institutions participating in the Gaia Multilateral Agreement. The TESS data presented in this paper were obtained from the Mikulski Archive for Space Telescopes (MAST) . Funding for the TESS mission is provided by the NASA Explorer Program.</t>
  </si>
  <si>
    <t>1384-1076</t>
  </si>
  <si>
    <t>1384-1092</t>
  </si>
  <si>
    <t>NEW ASTRON</t>
  </si>
  <si>
    <t>New Astron.</t>
  </si>
  <si>
    <t>10.1016/j.newast.2023.102088</t>
  </si>
  <si>
    <t>Astronomy &amp; Astrophysics</t>
  </si>
  <si>
    <t>P1GR3</t>
  </si>
  <si>
    <t>WOS:001048197800001</t>
  </si>
  <si>
    <t>Hong, JC; Hung, WC</t>
  </si>
  <si>
    <t>Hong, Jon-Chao; Hung, Wei-Chen</t>
  </si>
  <si>
    <t>Exercise health belief related to Fit-Fun exergame play interest, anxiety, practicing attitude, and exergaming performance</t>
  </si>
  <si>
    <t>ENTERTAINMENT COMPUTING</t>
  </si>
  <si>
    <t>Applications in subject areas; Elementary education; Exergames; Technology-enhanced exercise; Teaching/learning strategies</t>
  </si>
  <si>
    <t>ACTIVE VIDEO GAMES; PHYSICAL-ACTIVITY; CHILDREN; STUDENTS; MODEL; METAANALYSIS; RESILIENCE; ENGAGEMENT; PREDICTION; INTENTION</t>
  </si>
  <si>
    <t>Exergaming enables players to engage in real-life games and sports by allowing them to move from one place to another. To investigate the effects of students' performance of sit-up exercises during an exergame, this study utilized the Fit-Fun exergame. In this game, the agent (a rabbit) is triggered to jump every time it receives a signal from the sensory detector embedded in the exercise belt. The game also enables players to compete against each other by performing sit-up exercises. This study focused on the relationship between emotions and performance in the exergame. It examined the connections between beliefs about exercise health, gameplay interest, competition anxiety, practicing attitude, and exergaming performance. Elementary school students aged 11-12 years old participated in this single-group quasi-experimental study. A total of 228 valid questionnaires were collected over a period of 6 weeks during a series of 6 practice sessions. The research hypotheses were tested using structural equation modeling. The results revealed that exercise health belief was positively correlated with gameplay interest, but negatively correlated with competition anxiety. Additionally, practicing attitude was found to have a positive association with exergaming performance. Based on these findings, it is suggested that teachers can incorporate this exergame into synchronized competitions to motivate students to maintain their exercise routine by competing with their friends.</t>
  </si>
  <si>
    <t>[Hong, Jon-Chao] Natl Taiwan Normal Univ, Inst Res Excellence Learning Sci, Taipei, Taiwan; [Hong, Jon-Chao] Natl Taiwan Normal Univ, Dept Ind Educ, Taipei, Taiwan; [Hung, Wei-Chen] Natl Taiwan Normal Univ, Continuing Educ Masters Program Creat Dev, Taipei, Taiwan; [Hung, Wei-Chen] Natl Taiwan Normal Univ, Dept Phys Educ &amp; Sport Sci, Taipei, Taiwan</t>
  </si>
  <si>
    <t>National Taiwan Normal University; National Taiwan Normal University; National Taiwan Normal University; National Taiwan Normal University</t>
  </si>
  <si>
    <t>Hung, WC (corresponding author), Natl Taiwan Normal Univ, Continuing Educ Masters Program Creat Dev, Taipei, Taiwan.;Hung, WC (corresponding author), Natl Taiwan Normal Univ, Dept Phys Educ &amp; Sport Sci, Taipei, Taiwan.</t>
  </si>
  <si>
    <t>cdahong@gmail.com; weichenlovejesus@gmail.com</t>
  </si>
  <si>
    <t>National Science and Technology Council [MOST 107-2511-H-003-019, MOST 108-2511-H-003-005]; Institute for Research Excellence in Learning Sciences  of National Taiwan Normal University (NTNU) from The Featured Areas Research Center Program by the Ministry of Education (MOE) in Taiwan; Ministry of Education (MOE) in Taiwan</t>
  </si>
  <si>
    <t>National Science and Technology Council; Institute for Research Excellence in Learning Sciences  of National Taiwan Normal University (NTNU) from The Featured Areas Research Center Program by the Ministry of Education (MOE) in Taiwan; Ministry of Education (MOE) in Taiwan(Ministry of Education, Taiwan)</t>
  </si>
  <si>
    <t>This work was supported by the National Science and Technology Council, MOST 107-2511-H-003-019 and MOST 108-2511-H-003-005. This work also was financially supported by the Institute for Research Excellence in Learning Sciences  of National Taiwan Normal University (NTNU) from The Featured Areas Research Center Program within the framework of the Higher Education Sprout Project by the Ministry of Education (MOE) in Taiwan.</t>
  </si>
  <si>
    <t>1875-9521</t>
  </si>
  <si>
    <t>1875-953X</t>
  </si>
  <si>
    <t>ENTERTAIN COMPUT</t>
  </si>
  <si>
    <t>Entertain. Comput.</t>
  </si>
  <si>
    <t>10.1016/j.entcom.2023.100602</t>
  </si>
  <si>
    <t>Computer Science, Cybernetics; Computer Science, Interdisciplinary Applications; Computer Science, Software Engineering</t>
  </si>
  <si>
    <t>S1RQ3</t>
  </si>
  <si>
    <t>WOS:001069017400001</t>
  </si>
  <si>
    <t>Jung, YJ; Kim, J; Kim, K</t>
  </si>
  <si>
    <t>Jung, Yunji; Kim, Juno; Kim, Kyunghun</t>
  </si>
  <si>
    <t>Whom is economic aid meant for? The push vs. pull determinant factors of official development assistance</t>
  </si>
  <si>
    <t>INTERNATIONAL REVIEW OF ECONOMICS &amp; FINANCE</t>
  </si>
  <si>
    <t>Official development assistance; Grants; Loans; Push and pull</t>
  </si>
  <si>
    <t>FOREIGN-AID; EMPIRICAL-ANALYSIS; BILATERAL AID; CAPITAL FLOWS; ALLOCATION; DONORS; CHINA; VOLATILITY; TRADE</t>
  </si>
  <si>
    <t>This study investigates the determinants of official development assistance (ODA). We use a push-pull factor framework, which represents a donor and recipient country's business cycle charac-teristics such as gross domestic product (GDP) and interest rate. Time-variant and invariant country-pair characteristics are also taken into consideration for correct estimation. Our empirical results are as follows: i) push factors rather than pull factors have a greater influence on the total amount of ODA; ii) the main determinants of grants (a major component of ODA) are generally very similar to the determinants of ODA. In loan determinants, however, the number of signifi-cant push factors is smaller compared to ODA and grants; iii) both push and pull factors of tax revenue and push factors of the population are closely associated with the size of the ODA; and iv) the push factor of the quality of governance plays different roles depending on the group of donor countries. Our main empirical results are robust to alternative measures and model specifications.</t>
  </si>
  <si>
    <t>[Jung, Yunji] SOAS Univ London, Econ Dept, London, England; [Kim, Juno; Kim, Kyunghun] Hongik Univ, Sch Econ, Seoul, South Korea; [Kim, Kyunghun] Hongik Univ, 94 Wausan Ro, Seoul 04066, South Korea</t>
  </si>
  <si>
    <t>University of London; University of London School Oriental &amp; African Studies (SOAS); Hongik University; Hongik University</t>
  </si>
  <si>
    <t>Kim, K (corresponding author), Hongik Univ, 94 Wausan Ro, Seoul 04066, South Korea.</t>
  </si>
  <si>
    <t>khkim@hongik.ac.kr</t>
  </si>
  <si>
    <t>1059-0560</t>
  </si>
  <si>
    <t>1873-8036</t>
  </si>
  <si>
    <t>INT REV ECON FINANC</t>
  </si>
  <si>
    <t>Int. Rev. Econ. Financ.</t>
  </si>
  <si>
    <t>10.1016/j.iref.2023.07.074</t>
  </si>
  <si>
    <t>Business, Finance; Economics</t>
  </si>
  <si>
    <t>Social Science Citation Index (SSCI)</t>
  </si>
  <si>
    <t>Business &amp; Economics</t>
  </si>
  <si>
    <t>P9EN3</t>
  </si>
  <si>
    <t>WOS:001053635400001</t>
  </si>
  <si>
    <t>Kumar, PS; Pandey, BD; Pankaj; Sharma, UK</t>
  </si>
  <si>
    <t>Kumar, P. Suresh; Pandey, Bramha Dutta; Pankaj, Umesh Kumar; Sharma, Umesh Kumar</t>
  </si>
  <si>
    <t>Kaniadakis agegraphic dark energy</t>
  </si>
  <si>
    <t>Agegraphic dark energy; Interaction; Kaniadakis entropy</t>
  </si>
  <si>
    <t>COSMOLOGICAL CONSTANT; MODEL; CONSTRAINTS; OMEGA; TIME</t>
  </si>
  <si>
    <t>In this manuscript, we present a novel dark energy scenario based on Kaniadakis entropy, which is a generalization of Boltzmann-Gibbs entropy that arises from relativistic statistical theory and is characterized by a parameter K which quantifies the deviations from standard expressions, and we use the age of the Universe as infrared cutoff. The cosmological characteristics of the proposed dark energy model, as well as the evolution of the cosmos filled with pressure-free matter and the ensuing dark energy candidates, are investigated. The interaction as well as non-interaction among the two sectors will also be considered. The differential equation for the dark energy density parameter, including the expression of the equation of state and deceleration parameters, are derived. The analysis of deceleration parameter clearly shows the universe to transit from decelerated to accelerated phase around z &amp; AP; 0.6. The most recent 30 H(z) data samples and the 580 Union 2.1 SNIa data set were also used to limit the theoretical results. The squared sound speed is also plotted against redshift z to check the stability behavior of the model for both the cases.</t>
  </si>
  <si>
    <t>[Kumar, P. Suresh; Sharma, Umesh Kumar] GLA Univ Mathura, Inst Appl Sci &amp; Humanities, Dept Math, Chaumuhan 281406, Uttar Pradesh, India; [Kumar, P. Suresh; Pandey, Bramha Dutta] Univ Technol &amp; Appl Sci Salalah, IT Dept, Math Sect, Salalah, Oman; [Pankaj, Umesh Kumar] Pranveer Singh Inst Technol, Dept Basic Sci &amp; Humanities, Kanpur 209305, Uttar Pradesh, India</t>
  </si>
  <si>
    <t>GLA University</t>
  </si>
  <si>
    <t>Pankaj (corresponding author), Pranveer Singh Inst Technol, Dept Basic Sci &amp; Humanities, Kanpur 209305, Uttar Pradesh, India.</t>
  </si>
  <si>
    <t>sureshharinirahav@gmail.com; bdpandey05@gmail.com; pankaj.fellow@yahoo.co.in; sharma.umesh@gla.ac.in</t>
  </si>
  <si>
    <t>; , Pankaj/IYJ-4448-2023</t>
  </si>
  <si>
    <t>, P. Suresh Kumar/0000-0002-7802-1173; Elmhurst, Rexxie/0009-0006-5555-9858; , Pankaj/0000-0002-3313-6006</t>
  </si>
  <si>
    <t>10.1016/j.newast.2023.102085</t>
  </si>
  <si>
    <t>N5MH3</t>
  </si>
  <si>
    <t>WOS:001037446200001</t>
  </si>
  <si>
    <t>Kuo, CW; Xiong, H; Chen, YJ; Chang, TK; Wu, SN; Chang, YH</t>
  </si>
  <si>
    <t>Kuo, Chia-Wei; Xiong, Hui; Chen, Ying-Ju; Chang, Ting-Kai; Wu, Shining; Chang, Yung-Hsun</t>
  </si>
  <si>
    <t>Vertical product line extension when online retailers serve as mom-and-pop stores' suppliers*, **</t>
  </si>
  <si>
    <t>OMEGA-INTERNATIONAL JOURNAL OF MANAGEMENT SCIENCE</t>
  </si>
  <si>
    <t>Supply chain management; Quality segmentation; New retail; New product introduction</t>
  </si>
  <si>
    <t>PRICE-COMPETITION; ENTRY; QUALITY; BRANDS; DIFFERENTIATION</t>
  </si>
  <si>
    <t>We consider a new-retail supply chain in which an online retailer sells a high-quality product through a local (offline) store. Besides participating in this online-to-offline business, the local store also sells its own product of low quality. We investigate the optimal quality decision in product line extension when a new product is launched along with the two pre-existing products. To understand how the role of the new-product introducer affects the outcome, we consider three cases where the new product is introduced either by the online retailer, or by the local store, or by a centralized firm formed by them. In the centralized case, it is always optimal for the centralized firm to introduce a new product of quality different from that of the existing ones as it can flexibly adjust prices to better segment the market. By contrast, in the decentralized cases, the new-product introducer may choose to replace the existing product of the counterparty with its own new product. Furthermore, when both parties have the same cost efficiency, the local store may introduce a new product with quality close to the high-quality product to squeeze the market share of the high-quality product, whereas the online retailer may meticulously position the new product to facilitate finer market segmentation. We also find that the online retailer and the local store may sometimes choose the same quality level for the new product. Lastly, even when it is not directly involved in the new product introduction, the local store's inveterate efficiency has a significant impact on the online retailer's product positioning.</t>
  </si>
  <si>
    <t>[Kuo, Chia-Wei; Chang, Ting-Kai; Chang, Yung-Hsun] Natl Taiwan Univ, Dept Business Adm, Taipei, Taiwan; [Xiong, Hui] Huazhong Univ Sci &amp; Technol, Sch Management, Wuhan 430074, Hubei, Peoples R China; [Chen, Ying-Ju] Hong Kong Univ Sci &amp; Technol, Sch Business &amp; Management, Kowloon, Clear Water Bay, Hong Kong, Peoples R China; [Wu, Shining] Hong Kong Polytech Univ, Dept Logist &amp; Maritime Studies, Hung Hom, Kowloon, Hong Kong, Peoples R China</t>
  </si>
  <si>
    <t>National Taiwan University; Huazhong University of Science &amp; Technology; Hong Kong University of Science &amp; Technology; Hong Kong Polytechnic University</t>
  </si>
  <si>
    <t>Xiong, H (corresponding author), Huazhong Univ Sci &amp; Technol, Sch Management, Wuhan 430074, Hubei, Peoples R China.</t>
  </si>
  <si>
    <t>cwkuo@ntu.edu.tw; hxionghust@163.com; imchen@ust.hk; tingkaichang1992@gmail.com; sn.wu@polyu.edu.hk; d08741007@ntu.edu.tw</t>
  </si>
  <si>
    <t>National Natural Science Foundation of China [71971091]; National Science and Technology Council, Taiwan [MOST 111-2410-H-002-097-MY3]; Hong Kong Research Grants Council [GRF 15507919]</t>
  </si>
  <si>
    <t>National Natural Science Foundation of China(National Natural Science Foundation of China (NSFC)); National Science and Technology Council, Taiwan; Hong Kong Research Grants Council(Hong Kong Research Grants Council)</t>
  </si>
  <si>
    <t>* We thank Benjamin Lev (Editor-in-Chief) , the Associate Editor, and the reviewers for the valuable comments that significantly improved the paper. Hui Xiong acknowledges the financial support by the National Natural Science Foundation of China (Grant 71971091) . Chia-Wei Kuo acknowledges the financial support by the National Science and Technology Council, Taiwan (MOST 111-2410-H-002-097-MY3) . Ying-Ju Chen acknowledges the financial support by the Hong Kong Research Grants Council (GRF 16212821) . Shining Wu acknowledges the financial support by the Hong Kong Research Grants Council (GRF 15507919) . All remaining errors are our own.</t>
  </si>
  <si>
    <t>0305-0483</t>
  </si>
  <si>
    <t>1873-5274</t>
  </si>
  <si>
    <t>OMEGA-INT J MANAGE S</t>
  </si>
  <si>
    <t>Omega-Int. J. Manage. Sci.</t>
  </si>
  <si>
    <t>10.1016/j.omega.2023.102944</t>
  </si>
  <si>
    <t>Management; Operations Research &amp; Management Science</t>
  </si>
  <si>
    <t>Science Citation Index Expanded (SCI-EXPANDED); Social Science Citation Index (SSCI)</t>
  </si>
  <si>
    <t>Business &amp; Economics; Operations Research &amp; Management Science</t>
  </si>
  <si>
    <t>S2EO4</t>
  </si>
  <si>
    <t>WOS:001069354200001</t>
  </si>
  <si>
    <t>Li, J; Han, X; He, SY; Wu, MY; Huang, X; Li, NY</t>
  </si>
  <si>
    <t>Li, Jun; Han, Xu; He, Siyuan; Wu, Mingyi; Huang, Xin; Li, Nianyin</t>
  </si>
  <si>
    <t>Effect of proppant sizes and injection modes on proppant transportation and distribution in the tortuous fracture model</t>
  </si>
  <si>
    <t>Tortuous fracture model; Mixed-sized proppant; Multi-sized proppant injection mode; Proppant motion and distribution; Packing mechanism</t>
  </si>
  <si>
    <t>SIMULATION; PLACEMENT</t>
  </si>
  <si>
    <t>Particle-fluid transport and placement mechanism in tortuous fracture played a crucial role in uncon-ventional reservoirs. Currently, most studies focused on mono-size proppant with fluid transport pro -cesses in tortuous fractures. However, the mixture-size proppant with fluid movement mechanism in tortuous fracture was still uncommon. Therefore, this study designed and applied a series of experiments with a physical analog model of a tortuous fracture with 120 &amp; DEG; and 90 &amp; DEG;-angled bends and combined high-speed camera-based equipment. This experimental system was used to track different-mixture-sized proppant particle motion trajectories for a series of proppant injection schemes; The following conclu-sions were drawn from this study:1. The pile-up processes mechanism in all investigated schemes were similar and could be reduced to four main stages. 2. The packing structure at both sides of the fracture wall had different variation rates, which were controlled by the mix ratio (change from 1:1-1:5) of proppant size. 3. Some new packing patterns, such as Zebra Stripe, had occurred, controlled by the different proppant injection sequences. 4. Small-sized mono-proppant (30/50 mesh) had the highest transport efficiency in the tortuous fracture, followed by the mixed-sized multi-proppant (10/20 mesh:30/50 mesh), large-sized proppant (10/20 mesh) was the worst. 5. An optimized alternating in-jection mode was recommended as injecting small-sized proppant first (30/50 mesh) and followed by mixed-sized multi-proppant (10/20 mesh:30/50 mesh), which could contribute to obtaining the optimal both proppant packing height and travel distance in tortuous fracture.6. Two correlations were devel-oped for predicting the proppant packing height and transportation distance.&amp; COPY; 2023 Published by Elsevier B.V. on behalf of Chinese Society of Particuology and Institute of Process Engineering, Chinese Academy of Sciences.</t>
  </si>
  <si>
    <t>[Li, Jun; Li, Nianyin] Southwest Petr Univ, State Key Lab Oil &amp; Gas Reservoir Geol &amp; Exploitat, Chengdu 610500, Peoples R China; [Han, Xu] Chongqing Ind Polytech Coll, Chongqing 401120, Peoples R China; [He, Siyuan; Wu, Mingyi] Sichuan Particles Energy &amp; Technol Co Ltd, Chengdu 611630, Peoples R China; [Huang, Xin] PetroChina Southwest Oil &amp; Gas Field Co, Engn Technol Res Inst, Chengdu 610017, Peoples R China</t>
  </si>
  <si>
    <t>Southwest Petroleum University; Chongqing Industry Polytechnic College; China National Petroleum Corporation</t>
  </si>
  <si>
    <t>Li, J (corresponding author), Southwest Petr Univ, State Key Lab Oil &amp; Gas Reservoir Geol &amp; Exploitat, Chengdu 610500, Peoples R China.</t>
  </si>
  <si>
    <t>lijunswpu@163.com</t>
  </si>
  <si>
    <t>Wu, Ming-Yi/P-9387-2015</t>
  </si>
  <si>
    <t>Natural Science Foundation of Sichuan province of Settlement and Transport Mechanism of Biomimetic [23NSFSC5596]</t>
  </si>
  <si>
    <t>Natural Science Foundation of Sichuan province of Settlement and Transport Mechanism of Biomimetic</t>
  </si>
  <si>
    <t>Acknowledgements This research was supported by the Natural Science Foundation of Sichuan province of Settlement and Transport Mechanism of Biomimetic Dandelion Proppant in Fracture  (grant No. 23NSFSC5596) .</t>
  </si>
  <si>
    <t>10.1016/j.partic.2023.07.002</t>
  </si>
  <si>
    <t>P1AZ2</t>
  </si>
  <si>
    <t>WOS:001048047000001</t>
  </si>
  <si>
    <t>Li, WJ; Zhang, YP; Wang, YH; Ran, WG; Guan, QH; Yi, WC; Zhang, LL; Zhang, DP; Li, N; Yan, TJ</t>
  </si>
  <si>
    <t>Li, Wenjuan; Zhang, Yipin; Wang, Yuhua; Ran, Weiguang; Guan, Qinhui; Yi, Wencai; Zhang, Lulu; Zhang, Dapeng; Li, Na; Yan, Tingjiang</t>
  </si>
  <si>
    <t>Graphdiyne facilitates photocatalytic CO2 hydrogenation into C2+hydrocarbons</t>
  </si>
  <si>
    <t>GDY-In 2 O 3; Photocatalysis; CO 2 hydrogenation; C 2+hydrocarbons</t>
  </si>
  <si>
    <t>CARBON-DIOXIDE; GAS-PHASE; REDUCTION; PHOTOREDUCTION; CONVERSION; CATALYSTS; METHANOL; SITES</t>
  </si>
  <si>
    <t>Graphdiyne (GDY) is firstly introduced to the gaseous photocatalytic CO2 hydrogenation system for C2+ production, in which a GDY-modified In2O3 nanocomposite (denoted as GDY-IO) is fabricated by simple electrostatic attraction and thermal treatment routes. GDY-IO delivers much higher performance for CO2 hydrogenation compared to that of pristine In2O3, reflecting by the significantly improved C1 (CO and CH4) yield and the newly formed C2+ hydrocarbons (C2H4, C2H6, C3H6, and C3H8). The introduction of GDY promotes the transport of photogenerated holes from In2O3 to GDY and suppresses the recombination of photogenerated carriers, thereby gathering abundant electrons to participate in the CO2 hydrogenation reaction. GDY-IO interface may stabilize the key HOCH* intermediate and significantly reduce the kinetics barrier to avail CH* formation, tuning the subsequent hydrogenation and C-C coupling into thermodynamically favorable exothermal processes. This research develops a new avenue for synthesis of high value-added chemical fuels from greenhouse gases by graphdiyne-based photocatalysis.</t>
  </si>
  <si>
    <t>[Li, Wenjuan; Zhang, Yipin; Wang, Yuhua; Ran, Weiguang; Guan, Qinhui; Yi, Wencai; Zhang, Lulu; Zhang, Dapeng; Li, Na; Yan, Tingjiang] Qufu Normal Univ, Sch Chem &amp; Chem Engn, Key Lab Catalyt Convers &amp; Clean Energy Univ Shando, Jining, Peoples R China</t>
  </si>
  <si>
    <t>Qufu Normal University</t>
  </si>
  <si>
    <t>Yan, TJ (corresponding author), Qufu Normal Univ, Sch Chem &amp; Chem Engn, Key Lab Catalyt Convers &amp; Clean Energy Univ Shando, Jining, Peoples R China.</t>
  </si>
  <si>
    <t>tingjiangn@163.com</t>
  </si>
  <si>
    <t>Major Basic Research Project of Shandong Province [ZR2021ZD06]; National Natural Science Foundation of China [22172086, 22105117, 21872081]; Taishan Scholars Program of Shandong Province [tsqn202103064]; Natural Science Foundation of Shandong Province [ZR2022MB078]; Qing-chuang Science and Technology of Shandong Province [2020KJC010]</t>
  </si>
  <si>
    <t>Major Basic Research Project of Shandong Province; National Natural Science Foundation of China(National Natural Science Foundation of China (NSFC)); Taishan Scholars Program of Shandong Province; Natural Science Foundation of Shandong Province(Natural Science Foundation of Shandong Province); Qing-chuang Science and Technology of Shandong Province</t>
  </si>
  <si>
    <t>This work is financially supported by the Major Basic Research Project of Shandong Province (ZR2021ZD06) , National Natural Science Foundation of China (22172086, 22105117, 21872081) , Taishan Scholars Program of Shandong Province (No. tsqn202103064) , Natural Science Foundation of Shandong Province (ZR2022MB078) , and Qing-chuang Science and Technology of Shandong Province (2020KJC010) .</t>
  </si>
  <si>
    <t>10.1016/j.apcatb.2023.123267</t>
  </si>
  <si>
    <t>S8KQ6</t>
  </si>
  <si>
    <t>WOS:001073606300001</t>
  </si>
  <si>
    <t>Liang, KH; Wang, J; Wei, X; Zhang, Y; Yang, Y; Liu, J; Tian, Y; Duan, L</t>
  </si>
  <si>
    <t>Liang, Kanghao; Wang, Jing; Wei, Xing; Zhang, Yan; Yang, Yun; Liu, Jian; Tian, Ye; Duan, Li</t>
  </si>
  <si>
    <t>Theoretical design of direct Z-scheme SnC/PtSe2 heterostructure with enhanced photocatalytic performance and tunable optoelectronic properties</t>
  </si>
  <si>
    <t>PHYSICA E-LOW-DIMENSIONAL SYSTEMS &amp; NANOSTRUCTURES</t>
  </si>
  <si>
    <t>2D materials; Z-scheme; First-principles; Water splitting</t>
  </si>
  <si>
    <t>WATER; CONVERSION; ENERGY; ABSORPTION; EFFICIENCY</t>
  </si>
  <si>
    <t>Recently, direct Z-scheme heterostructures have attracted much attention because of their outstanding electronic properties and excellent photocatalytic performance. In this article, the electronic, optical and photocatalytic properties of SnC/PtSe2 heterojunction are systematically explored via first-principles calculations. Evidence suggests that a Type-II band alignment as well as an indirect bandgap of 1.35 eV can be observed in the SnC/ PtSe2 heterojunction. The combined influence of the built-in electric field from SnC to PtSe2 and the band bending causes a Z-scheme carrier migration mechanism. At biaxial strains of 3%-5%, the band edge positions of the heterojunction are able to cross the redox potential of water. The light absorption coefficient of 4.21 x 105 cm-1 and the energy conversion efficiency of 42.32% demonstrate that the photon energy can be utilized by the heterostructure efficiently. Furthermore, the absorption coefficient in the visible range can be significantly increased under tensile strain. Hence, there are reasons to believe that SnC/PtSe2 heterostructure has tremendous potential for application in the field of photocatalytic water decomposition.</t>
  </si>
  <si>
    <t>[Liang, Kanghao; Wang, Jing; Wei, Xing; Zhang, Yan; Duan, Li] Changan Univ, Sch Mat Sci &amp; Engn, Xian 710064, Peoples R China; [Yang, Yun] Changan Univ, Sch Informat Engn, Xian 710064, Peoples R China; [Liu, Jian] Shandong Univ, Sch Phys, Jinan 250100, Peoples R China; [Tian, Ye] Chinese Acad Sci, Inst Phys, Beijing 100190, Peoples R China</t>
  </si>
  <si>
    <t>Chang'an University; Chang'an University; Shandong University; Chinese Academy of Sciences; Institute of Physics, CAS</t>
  </si>
  <si>
    <t>Duan, L (corresponding author), Changan Univ, Sch Mat Sci &amp; Engn, Xian 710064, Peoples R China.</t>
  </si>
  <si>
    <t>liduan@chd.edu.cn</t>
  </si>
  <si>
    <t>National Key R&amp;D Program of China [2018YFB1600200]; Major Project of International Scientific and Technological Cooperation Plan in Shaanxi [2020KWZ-008]; Natural Science Foundation of Shaanxi Province [2021GY-255]; Fundamental Research Funds for the Central Universities CHD [300102312401]</t>
  </si>
  <si>
    <t>National Key R&amp;D Program of China; Major Project of International Scientific and Technological Cooperation Plan in Shaanxi; Natural Science Foundation of Shaanxi Province(Natural Science Foundation of Shaanxi Province); Fundamental Research Funds for the Central Universities CHD</t>
  </si>
  <si>
    <t>This work was supported by the National Key R&amp;D Program of China (2018YFB1600200) , the Major Project of International Scientific and Technological Cooperation Plan in Shaanxi (2020KWZ-008) , the Natural Science Foundation of Shaanxi Province (2021GY-255) , and the Fundamental Research Funds for the Central Universities CHD (300102312401) .</t>
  </si>
  <si>
    <t>1386-9477</t>
  </si>
  <si>
    <t>1873-1759</t>
  </si>
  <si>
    <t>PHYSICA E</t>
  </si>
  <si>
    <t>Physica E</t>
  </si>
  <si>
    <t>10.1016/j.physe.2023.115825</t>
  </si>
  <si>
    <t>Nanoscience &amp; Nanotechnology; Physics, Condensed Matter</t>
  </si>
  <si>
    <t>Science &amp; Technology - Other Topics; Physics</t>
  </si>
  <si>
    <t>R8EZ3</t>
  </si>
  <si>
    <t>WOS:001066646200001</t>
  </si>
  <si>
    <t>Liu, H; Li, JM; Jiang, YM; Li, FJ</t>
  </si>
  <si>
    <t>Liu, Hai; Li, Jiangming; Jiang, Yueming; Li, Fengjun</t>
  </si>
  <si>
    <t>Identification and stability evaluation of polyphenol oxidase substrates of pineapple fruit</t>
  </si>
  <si>
    <t>Pineapple; Internal browning; Polyphenol oxidase; Phenolic substrates; Property</t>
  </si>
  <si>
    <t>PHENOLIC-COMPOUNDS; LITCHI FRUIT; LONGAN FRUIT; (-)-EPICATECHIN; QUALITY; TEMPERATURE; PERICARP; IMPROVES; TEXTURE; STORAGE</t>
  </si>
  <si>
    <t>Pineapple as an important tropical fruit in the world is prone to internal browning (IB) caused by the oxidation of phenolic substances. To address the occurrence of IB, endogenous polyphenol oxidase (PPO) substrates were extracted, separated, and purified from pineapple fruit, and then four compounds were obtained and identified as catechin, epicatechin, chlorogenic acid and pyrocatechol. The contents of these substrates increased, reached the maximum value in the middle storage period, decreased gradually, and then maintained a relatively stable level by the end of storage. Meanwhile, pineapple PPO substrates were unstable in structure and susceptible to be degraded under the condition of light, high temperature (&gt;40 degrees C), alkalinity (pH &gt; 9) or metal ion (Ca2+, Cu2+, Fe2+, Pb2+ and Zn2+). Additionally, the presences of O2 and H2O2 increased the enzymatic oxidation of the pineapple PPO substrates, whereas CO2, N2, Vc (Vitamin C), L-cysteine, Na2SO3 and Na2S2O5 inhibited this oxidation.</t>
  </si>
  <si>
    <t>[Liu, Hai; Li, Jiangming; Li, Fengjun] Guangdong Ocean Univ, Key Lab Adv Proc Aquat Prod, Coll Food Sci &amp; Technol, Guangdong Higher Educ Inst,Guangdong Prov Engn Lab, Zhanjiang 524088, Peoples R China; [Jiang, Yueming] Chinese Acad Sci, Guangdong Prov Key Lab Appl Bot, Key Lab Postharvest Handling Fruits, Minist Agr &amp; Rural Affairs,South China Bot Garden, Guangzhou 510650, Peoples R China</t>
  </si>
  <si>
    <t>Guangdong Ocean University; Ministry of Agriculture &amp; Rural Affairs; Chinese Academy of Sciences; South China Botanical Garden, CAS</t>
  </si>
  <si>
    <t>Li, FJ (corresponding author), Guangdong Ocean Univ, Key Lab Adv Proc Aquat Prod, Coll Food Sci &amp; Technol, Guangdong Higher Educ Inst,Guangdong Prov Engn Lab, Zhanjiang 524088, Peoples R China.;Jiang, YM (corresponding author), Chinese Acad Sci, Guangdong Prov Key Lab Appl Bot, Key Lab Postharvest Handling Fruits, Minist Agr &amp; Rural Affairs,South China Bot Garden, Guangzhou 510650, Peoples R China.</t>
  </si>
  <si>
    <t>ymjiang@scbg.ac.cn; lifengjun95@126.com</t>
  </si>
  <si>
    <t>National Natural Science Foundation of China [31271965]; Guangdong Science and Technology Program Project [2015A020209165]; program for scientific research start-up funds of Guangdong Ocean University [060302042305]; Guangdong Ocean University Science Foundation [GDOU2013050244, Y12293]</t>
  </si>
  <si>
    <t>National Natural Science Foundation of China(National Natural Science Foundation of China (NSFC)); Guangdong Science and Technology Program Project; program for scientific research start-up funds of Guangdong Ocean University; Guangdong Ocean University Science Foundation</t>
  </si>
  <si>
    <t>The authors thanks for the financial support from the National Natural Science Foundation of China (No. 31271965), the Guangdong Science and Technology Program Project (No. 2015A020209165), the program for scientific research start-up funds of Guangdong Ocean University (No. 060302042305), and the Guangdong Ocean University Science Foundation (Nos. GDOU2013050244 and Y12293).</t>
  </si>
  <si>
    <t>10.1016/j.foodchem.2023.137021</t>
  </si>
  <si>
    <t>P6NG9</t>
  </si>
  <si>
    <t>WOS:001051818300001</t>
  </si>
  <si>
    <t>Liu, KQ; Wang, N; Pan, Y; Alahmadi, TA; Alharbi, SA; Jhanani, GK; Brindhadevi, K</t>
  </si>
  <si>
    <t>Liu, Kaiqiang; Wang, Ning; Pan, Yu; Alahmadi, Tahani Awad; Alharbi, Sulaiman Ali; Jhanani, G. K.; Brindhadevi, Kathirvel</t>
  </si>
  <si>
    <t>Photovoltaic thermal system with phase changing materials and MWCNT nanofluids for high thermal efficiency and hydrogen production</t>
  </si>
  <si>
    <t>Photovoltaic thermal system; Phase changing material; Nanofluids; Solar energy; Hydrogen production</t>
  </si>
  <si>
    <t>PV/T SYSTEM; PERFORMANCE; ELECTROLYZER; ENERGY</t>
  </si>
  <si>
    <t>The performance and electrical output of photovoltaic/thermal (PV/T) systems are significantly affected by an increase in the PV cell temperature. The integration of nanofluids has been explored as a solution to mitigate cell temperature rise in PV/T modules. However, the use of nanofluids raises environmental concerns. Thus, in this study, the attempt has been made to incorporate both MWCNT nanofluids and phase changing materials to reduce the cell temperature and which apparently improvised the electrical output and thermal efficiency. A series of tests conducted on five different samples at varying mass flow rates of 30 LPM, 40 LPM, and 50 LPM. MWCNT was dispersed in water at volumes of 0.05%, 0.1%, and 0.15% v/v using the sonication method. The proposed PV/T hybrid system effectively reduced panel temperature. Additionally, the integration of PCM and nanofluids resulted in an 8% increase in electrical power and a 12% improvement in thermal efficiency. Furthermore, higher nanofluid mass flow rates led to an enhanced electrical efficiency, ranging from 12.5% to 14.5%. Findings reveal that the incorporation of PCM with nanofluids holds promise for sustainable and improved energy production. Moreover, the possibility of hydrogen production through electrolysis is a viable option that permits further investigation.</t>
  </si>
  <si>
    <t>[Liu, Kaiqiang; Wang, Ning; Pan, Yu] Natl Univ Def Technol, Coll Aerosp Sci &amp; Engn, Changsha 410073, Hunan, Peoples R China; [Alahmadi, Tahani Awad] King Saud Univ, Coll Med, Dept Pediat, POB 2925, Riyadh 11461, Saudi Arabia; [Alahmadi, Tahani Awad] King Saud Univ, King Khalid Univ Hosp, Med City, POB 2925, Riyadh 11461, Saudi Arabia; [Alharbi, Sulaiman Ali] King Saud Univ, Coll Sci, Dept Bot &amp; Microbiol, POB 2455, Riyadh 11451, Saudi Arabia; [Jhanani, G. K.] Saveetha Univ, Saveetha Inst Med &amp; Tech Sci SIMATS, Ctr Global Hlth Res CGHR, Chennai, India; [Brindhadevi, Kathirvel] Lebanese Amer Univ, Sch Engn, Byblos, Lebanon; [Brindhadevi, Kathirvel] Chandigarh Univ, Univ Ctr Res &amp; Dev, Dept Chem, Mohali 140103, India</t>
  </si>
  <si>
    <t>National University of Defense Technology - China; King Saud University; King Saud University; King Saud University; Saveetha Institute of Medical &amp; Technical Science; Lebanese American University; Chandigarh University</t>
  </si>
  <si>
    <t>Pan, Y (corresponding author), Natl Univ Def Technol, Coll Aerosp Sci &amp; Engn, Changsha 410073, Hunan, Peoples R China.</t>
  </si>
  <si>
    <t>13080538646@163.com</t>
  </si>
  <si>
    <t>King Saud University, Riyadh, Saudi Arabia; [RSP2023R230]</t>
  </si>
  <si>
    <t>King Saud University, Riyadh, Saudi Arabia(King Saud University);</t>
  </si>
  <si>
    <t>Acknowledgement This project was supported by Researchers Supporting Project number (RSP2023R230) King Saud University, Riyadh, Saudi Arabia.</t>
  </si>
  <si>
    <t>10.1016/j.fuel.2023.129457</t>
  </si>
  <si>
    <t>Q5NF8</t>
  </si>
  <si>
    <t>WOS:001057982200001</t>
  </si>
  <si>
    <t>Liu, SQ; Huang, YQ; Duan, YM; Xiang, ZM; Liu, J; Zhou, X; Chen, ZY</t>
  </si>
  <si>
    <t>Liu, Shuqin; Huang, Yiquan; Duan, Yingming; Xiang, Zhangmin; Liu, Jian; Zhou, Xi; Chen, Zhiyong</t>
  </si>
  <si>
    <t>Volatile/semi-volatile metabolites profiling in living vegetables via a novel covalent triazine framework based solid-phase microextraction fiber coupled with GC-QTOF-MS</t>
  </si>
  <si>
    <t>In vivo sampling; Solid-phase microextraction; Covalent triazine framework; GC-QTOF-MS; Fipronil contamination; Chinese cabbage</t>
  </si>
  <si>
    <t>VARIETIES</t>
  </si>
  <si>
    <t>An in vivo solid-phase microextraction (SPME) fiber with high-coverage capture capacity of plant endogenous substances based on the porous covalent triazine framework (CTF) material was developed. The CTF fiber coupled with gas chromatographic quadrupole time-of-flight mass spectrometer (GC-QTOF-MS) analysis was used for monitoring untargeted endogenous metabolites in living Chinese cabbage plants (Brassica campestris L. ssp. chinensis Makino (var. communis Tsen et Lee)). A total of 100 endogenous substances were identified, mainly including aldehydes, ketones, acids, alcohols, phenols, alkanes, alkenes, esters, isorhodanates, nitriles, as well as indole and its derivatives. Using the in vivo metabolites analysis method, Chinese cabbage plants at different growing stages demonstrated significantly statistical differences in plant metabolism. In addition, metabolic dysregulation of Chinese cabbage plants under fipronil pesticide contamination was observed. To summarize, the proposed approach provides a feasible method to capture metabolic information in living vegetables and for risk assessment of pesticide use during agricultural production.</t>
  </si>
  <si>
    <t>[Liu, Shuqin; Huang, Yiquan; Xiang, Zhangmin; Liu, Jian; Zhou, Xi; Chen, Zhiyong] Guangdong Acad Sci, Guangdong Prov Engn Res Ctr Ambient Mass Spectrome, China Natl Analyt Ctr Guangzhou, Inst Anal,Guangdong Prov Key Lab Chem Measurement, Guangzhou 510070, Peoples R China; [Duan, Yingming] Guizhou Normal Univ, Sch Chem &amp; Mat Sci, Guiyang 550001, Guizhou, Peoples R China; [Liu, Jian] Jiangxi Normal Univ, Inst Adv Mat, Coll Chem &amp; Chem Engn, Nanchang 330022, Peoples R China</t>
  </si>
  <si>
    <t>Guangdong Academy of Sciences; Institute of Analysis, Guangdong Academy of Sciences; Guizhou Normal University; Jiangxi Normal University</t>
  </si>
  <si>
    <t>Zhou, X; Chen, ZY (corresponding author), Guangdong Acad Sci, Guangdong Prov Engn Res Ctr Ambient Mass Spectrome, China Natl Analyt Ctr Guangzhou, Inst Anal,Guangdong Prov Key Lab Chem Measurement, Guangzhou 510070, Peoples R China.</t>
  </si>
  <si>
    <t>57648697@qq.com; chenzh@fenxi.com.cn</t>
  </si>
  <si>
    <t>projects of the Key-Area Research and Development Program of Guangdong Province [22006143]; National Natural Science Foundation of China [22106054, 2021A1515012336]; Natural Science Foundation of Guangdong Province [202213]; Institutional Scientific Research Project of NACC [KF2021005]; Research Fund Program of Guangdong Provincial Key Laboratory of Chemical Measurement and Emergency Test Technology; [2022B0303030003]</t>
  </si>
  <si>
    <t>projects of the Key-Area Research and Development Program of Guangdong Province; National Natural Science Foundation of China(National Natural Science Foundation of China (NSFC)); Natural Science Foundation of Guangdong Province(National Natural Science Foundation of Guangdong Province); Institutional Scientific Research Project of NACC; Research Fund Program of Guangdong Provincial Key Laboratory of Chemical Measurement and Emergency Test Technology;</t>
  </si>
  <si>
    <t>We acknowledge financial support from the projects of the Key-Area Research and Development Program of Guangdong Province (2022B0303030003) , the National Natural Science Foundation of China (22006143, 22106054) , the Natural Science Foundation of Guangdong Province (2021A1515012336) , the Institutional Scientific Research Project of NACC (202213) , and the Research Fund Program of Guangdong Provincial Key Laboratory of Chemical Measurement and Emergency Test Technology (KF2021005) .</t>
  </si>
  <si>
    <t>10.1016/j.foodchem.2023.137064</t>
  </si>
  <si>
    <t>P9CS9</t>
  </si>
  <si>
    <t>WOS:001053588000001</t>
  </si>
  <si>
    <t>Melamed, TC; Chalamalasetty, P; Ralph, YK; Berinhout, K; Maguire, MJ</t>
  </si>
  <si>
    <t>Melamed, Tina C.; Chalamalasetty, Prasanth; Ralph, Yvonne K.; Berinhout, Kate; Maguire, Mandy J.</t>
  </si>
  <si>
    <t>The power of the written word: Comparing word meaning inferencing from auditory and written modalities throughout grade school</t>
  </si>
  <si>
    <t>JOURNAL OF EXPERIMENTAL CHILD PSYCHOLOGY</t>
  </si>
  <si>
    <t>Word meaning; Novel word meaning; Word learning; Inferencing; Written modality; Auditory modality; Predictors; Literacy; Vocabulary; Comprehension</t>
  </si>
  <si>
    <t>VOCABULARY ACQUISITION; INDIVIDUAL-DIFFERENCES; READING-COMPREHENSION; WORKING-MEMORY; LISTENING COMPREHENSION; KNOWLEDGE; CHILDREN; CONTEXT; LANGUAGE; LEARN</t>
  </si>
  <si>
    <t>Previous research indicates that word learning from auditory contexts may be more effective than written context at least through fourth grade. However, no study has examined contextual differences in word learning in older school-aged children when reading abilities are more developed. Here we examined developmental differences in children's ability to deduce the meanings of unknown words from the surrounding linguistic context in the auditory and written modalities and sought to identify the most important predictors of success in each modality. A total of 89 children aged 8-15 years were randomly assigned to either read or listen to a narrative that included eight novel words, with five exposures to each novel word. They then completed three posttests to assess word meaning inferencing. Children across all ages performed better in the written modality. Vocabulary was the only significant predictor of success on the word inferencing task. Results indicate support for written stimuli as the most effective modality for novel word meaning deduction. Our findings suggest that the presence of orthographic information facilitates novel word learning even for early, less proficient readers. &amp; COPY; 2023 Elsevier Inc. All rights reserved.</t>
  </si>
  <si>
    <t>[Melamed, Tina C.] Univ Texas Tyler, Dept Rehabil Sci, Tyler, TX 75709 USA; [Chalamalasetty, Prasanth; Berinhout, Kate; Maguire, Mandy J.] Univ Texas Dallas, Callier Ctr Commun Disorders, Dallas, TX 75235 USA; [Ralph, Yvonne K.] Univ Texas Tyler, Coll Educ &amp; Psychol, Tyler, TX 75799 USA</t>
  </si>
  <si>
    <t>University of Texas System; University of Texas at Tyler; University of Texas System; University of Texas Dallas; University of Texas System; University of Texas at Tyler</t>
  </si>
  <si>
    <t>Melamed, TC (corresponding author), Univ Texas Tyler, Dept Rehabil Sci, Tyler, TX 75709 USA.</t>
  </si>
  <si>
    <t>tmelamed@uttyler.edu</t>
  </si>
  <si>
    <t>Melamed, Tina/HMP-2224-2023</t>
  </si>
  <si>
    <t>Melamed, Tina/0000-0002-5008-5968</t>
  </si>
  <si>
    <t>Society for Research in Child Development; Phi Kappa Phi honor society</t>
  </si>
  <si>
    <t>This work was funded by the Society for Research in Child Development and the Phi Kappa Phi honor society.</t>
  </si>
  <si>
    <t>0022-0965</t>
  </si>
  <si>
    <t>1096-0457</t>
  </si>
  <si>
    <t>J EXP CHILD PSYCHOL</t>
  </si>
  <si>
    <t>J. Exp. Child Psychol.</t>
  </si>
  <si>
    <t>10.1016/j.jecp.2023.105755</t>
  </si>
  <si>
    <t>Psychology, Developmental; Psychology, Experimental</t>
  </si>
  <si>
    <t>Psychology</t>
  </si>
  <si>
    <t>R2IA4</t>
  </si>
  <si>
    <t>WOS:001062620500001</t>
  </si>
  <si>
    <t>Nam, W; Jang, B</t>
  </si>
  <si>
    <t>Nam, Wongyung; Jang, Beakcheol</t>
  </si>
  <si>
    <t>A survey on multimodal bidirectional machine learning translation of image and natural language processing</t>
  </si>
  <si>
    <t>Computer vision and natural language; processing; Deep learning; Image captioning; Image synthesis; Machine learning; Multimodal</t>
  </si>
  <si>
    <t>Advances in multimodal machine learning help artificial intelligence to resemble human intellect more closely, which perceives the world from multiple modalities. We surveyed state-of-the-art research on the modalities of bidirectional machine learning translation of image and natural language processing (NLP), which address a considerable proportion of human life. Recently, with the advances in deep learning model architectures and learning methods in the fields of image and NLP, considerable progress has been made in multimodal machine learning translations that can be built by integrating image and NLP. Our goal is to explore and summarize state-of-the-art research on multimodal machine learning translation and present a taxonomy for the multimodal bidirectional machine learning translation of image and NLP. Furthermore, we reviewed the evaluation metrics and compared state-of-the-art approaches that influences this field. We believe that this survey will become a cornerstone of future research by discussing the challenges in multimodal machine learning translation and direction of future research based on understanding state-of-the-art research in the field.</t>
  </si>
  <si>
    <t>[Nam, Wongyung; Jang, Beakcheol] Yonsei Univ, Grad Sch, 50 Yonsei Ro, Seoul 03722, South Korea</t>
  </si>
  <si>
    <t>Yonsei University</t>
  </si>
  <si>
    <t>Jang, B (corresponding author), Yonsei Univ, Grad Sch, 50 Yonsei Ro, Seoul 03722, South Korea.</t>
  </si>
  <si>
    <t>wonkn@yonsei.ac.kr; bjang@yonsei.ac.kr</t>
  </si>
  <si>
    <t>National Research Foundation of Korea Fund [NRF-2022R1F1A1063961]; Yonsei University Research Fund, South Korea [2023-22-0104]</t>
  </si>
  <si>
    <t>National Research Foundation of Korea Fund(National Research Foundation of Korea); Yonsei University Research Fund, South Korea</t>
  </si>
  <si>
    <t>This work was supported by the National Research Foundation of Korea Fund under Grant NRF-2022R1F1A1063961 and the Yonsei University Research Fund, South Korea of 2023-22-0104.</t>
  </si>
  <si>
    <t>10.1016/j.eswa.2023.121168</t>
  </si>
  <si>
    <t>S4OT2</t>
  </si>
  <si>
    <t>WOS:001070983900001</t>
  </si>
  <si>
    <t>Nie, LX; Zeng, XG; Li, HB; Wang, SQ; Yu, RQ</t>
  </si>
  <si>
    <t>Nie, Lanxin; Zeng, Xiaogang; Li, Hongbo; Wang, Suqin; Yu, Ruqin</t>
  </si>
  <si>
    <t>Enzyme-assisted amplification of target cycle triggers the unlocking of locked hairpin probes for let-7a detection</t>
  </si>
  <si>
    <t>Enzyme-assisted amplification; Cyclic strand displacement reaction; Fluorescence method; Let-7a gene</t>
  </si>
  <si>
    <t>CANCER; INVASION; MIRNA; RNA; PCR</t>
  </si>
  <si>
    <t>The detection of miRNA in cells is difficult owing to its substantially low cellular content. Therefore, developing a highly sensitive sensor to detect cellular miRNA remains a significant challenge. Herein, we report an enzyme -assisted biosensor with target cycle amplification that can trigger the unlocking of locked hairpin probes for sensitive and robust let-7a gene detection. In the research, three kinds of hairpin probes were skillfully designed. The hairpin probe comprises a complementary sequence of a target, primer, and recognition site of Nt. BbvCI restriction endonucleases. In addition, the alternating synergistic impact of polymerase and the nicking enzyme generates considerable triggers to unlock the locked hairpin probe LH1, consequently triggering a subsequent circulating strand displacement reaction to form a stable H1-H2 double strand to ensure sufficient distance between a fluorophore on H1 and a quenching group on bolt DNA (bDNA), and resulting in the recovery of fluorescence. Furthermore, this process does not require complicated operation procedures and instruments, and the target gene let-7a can be sensitively detected. Specifically, the detection limit of the biosensor is as low as 160 fM, and its linear range is 0.5 pM-250 nM. Moreover, this biosensor can be employed to detect let-7a in human serum with good selectivity.</t>
  </si>
  <si>
    <t>[Nie, Lanxin; Zeng, Xiaogang; Li, Hongbo; Wang, Suqin] Jiangxi Normal Univ, Coll Chem &amp; Chem Engn, Nanchang 330022, Peoples R China; [Li, Hongbo] Key Lab Energy Catalysis &amp; Convers Nanchang, Nanchang 330022, Peoples R China; [Li, Hongbo; Yu, Ruqin] Hunan Univ, State Key Lab Chemo Biosensing &amp; Chemometr, Changsha 410082, Peoples R China</t>
  </si>
  <si>
    <t>Jiangxi Normal University; Hunan University</t>
  </si>
  <si>
    <t>Li, HB (corresponding author), Jiangxi Normal Univ, Coll Chem &amp; Chem Engn, Nanchang 330022, Peoples R China.</t>
  </si>
  <si>
    <t>lihongbo112@126.com</t>
  </si>
  <si>
    <t>li, hongbo/0000-0002-9655-5881</t>
  </si>
  <si>
    <t>National Natural Science Foundation of China (NSFC) [21565015, 21663014, Z2015022]; State Key Laboratory of Chemical Biosensing amp; Chemometrics; [22164011]</t>
  </si>
  <si>
    <t>National Natural Science Foundation of China (NSFC)(National Natural Science Foundation of China (NSFC)); State Key Laboratory of Chemical Biosensing amp; Chemometrics;</t>
  </si>
  <si>
    <t>This work was supported by the National Natural Science Foundation of China (NSFC) (Grant No: 22164011, 21565015, 21663014) , and the State Key Laboratory of Chemical Biosensing &amp; Chemometrics (Z2015022) .</t>
  </si>
  <si>
    <t>10.1016/j.talanta.2023.125023</t>
  </si>
  <si>
    <t>Q0NF8</t>
  </si>
  <si>
    <t>WOS:001054560900001</t>
  </si>
  <si>
    <t>Oehler, E; Fizazi, A</t>
  </si>
  <si>
    <t>Oehler, Erwan; Fizazi, Ariane</t>
  </si>
  <si>
    <t>Dermoscopic feature of gouty tophus</t>
  </si>
  <si>
    <t>[Oehler, Erwan; Fizazi, Ariane] Hosp Ctr French Polynesia, Tahiti, French Polynesi, France</t>
  </si>
  <si>
    <t>Oehler, E (corresponding author), Hosp Ctr French Polynesia, Tahiti, French Polynesi, France.</t>
  </si>
  <si>
    <t>erwan.oehler@cht.pf</t>
  </si>
  <si>
    <t>10.1016/j.jbspin.2023.105615</t>
  </si>
  <si>
    <t>S4DS1</t>
  </si>
  <si>
    <t>WOS:001070695600001</t>
  </si>
  <si>
    <t>Oyon-Ardoiz, M; Manjon, E; Escribano-Bailon, MT; Garcia-Estevez, I</t>
  </si>
  <si>
    <t>Oyon-Ardoiz, Maria; Manjon, Elvira; Escribano-Bailon, Maria Teresa; Garcia-Estevez, Ignacio</t>
  </si>
  <si>
    <t>Supramolecular study of the interaction between mannoproteins from Torulaspora delbrueckii and flavanols</t>
  </si>
  <si>
    <t>Wine; Mannoproteins; Non-Saccharomyces yeast; Torulaspora delbrueckii; Flavanols; Astringency</t>
  </si>
  <si>
    <t>CELL-WALL; RED WINE; YEAST; PROANTHOCYANIDINS; POLYSACCHARIDE; PROTEINS; GRAPE; QUANTIFICATION; ARCHITECTURE; AGGREGATION</t>
  </si>
  <si>
    <t>In this work, three mannoprotein extracts were obtained from T. delbrueckii by enzymatic and chemical treat-ments. The obtained mannoprotein extracts showed important differences in their molecular weight distribution and monosaccharide composition, although no significant differences were found in their protein content. In order to evaluate the possible influence of mannoprotein characteristics in the interaction with flavanols, mannoprotein-flavanol interactions were studied by HPLC-DAD-MS and ITC. The results obtained indicate that the mannoprotein extracts were able to precipitate flavanols to a different extent. Furthermore, the degree of flavanol precipitation seemed not to be related to the affinity of the interaction but to the type of intermolecular forces. In this sense, a higher proportion of hydrogen bonding could favor a greater crosslinking between ag-gregates promoting flavanol precipitation. This, in turn, could be related to the MP characteristics since the presence of &amp; beta;-glucan moieties might have an effect on the formation of hydrogen bonds.</t>
  </si>
  <si>
    <t>[Oyon-Ardoiz, Maria; Manjon, Elvira; Escribano-Bailon, Maria Teresa; Garcia-Estevez, Ignacio] Univ Salamanca, Dept Analyt Chem Nutr &amp; Food Sci, E-37007 Salamanca, Spain</t>
  </si>
  <si>
    <t>University of Salamanca</t>
  </si>
  <si>
    <t>Manjon, E (corresponding author), Univ Salamanca, Dept Analyt Chem Nutr &amp; Food Sci, E-37007 Salamanca, Spain.</t>
  </si>
  <si>
    <t>m.oyon@usal.es; elvira87@usal.es; escriban@usal.es; igarest@usal.es</t>
  </si>
  <si>
    <t>García-Estévez, Ignacio/K-3936-2014</t>
  </si>
  <si>
    <t>García-Estévez, Ignacio/0000-0001-8794-8328</t>
  </si>
  <si>
    <t>MCIN/AEI [PID2021-127126OB-C21]; ERDF A way of making Europe; Junta de Castilla y Leon-FEDER Programme [SA0093P20]; Junta de Castilla y Leon - Consejeria de Educacion and Fondo Social Europeo Plus (FSE+)</t>
  </si>
  <si>
    <t>MCIN/AEI; ERDF A way of making Europe; Junta de Castilla y Leon-FEDER Programme(Junta de Castilla y Leon); Junta de Castilla y Leon - Consejeria de Educacion and Fondo Social Europeo Plus (FSE+)(Junta de Castilla y Leon)</t>
  </si>
  <si>
    <t>This research was financially supported by Grant PID2021-127126OB-C21 funded by MCIN/AEI/10.13039/501100011033 and by ERDF A way of making Europe. E. Manjon thanks Junta de Castilla y Leon-FEDER Programme her postdoctoral contract (Project Ref. SA0093P20) and M. Oy'on-Ardoiz thanks Junta de Castilla y Leon, cofunded by Consejeria de Educaci'on and Fondo Social Europeo Plus (FSE+), her pre-doctoral contract. Thanks are also due to Junta de Castilla y Leon-FEDER Programme for the Strategic Research Programs for Units of Excellence (Escalera de Excelencia CLU-2O18-04).</t>
  </si>
  <si>
    <t>10.1016/j.foodchem.2023.137044</t>
  </si>
  <si>
    <t>P7HS6</t>
  </si>
  <si>
    <t>WOS:001052354200001</t>
  </si>
  <si>
    <t>Prabhakar, T; Rao, TVM; Maram, B; Chigurukota, D</t>
  </si>
  <si>
    <t>Prabhakar, Telagarapu; Rao, T. V. Madhusudhana; Maram, Balajee; Chigurukota, Dhanunjayarao</t>
  </si>
  <si>
    <t>Exponential gannet firefly optimization algorithm enabled deep learning for diabetic retinopathy detection</t>
  </si>
  <si>
    <t>BIOMEDICAL SIGNAL PROCESSING AND CONTROL</t>
  </si>
  <si>
    <t>Diabetic retinopathy; Gannet optimization algorithm; Firefly optimization algorithm; Pelican optimization algorithm; RoI extraction; Lesion segmentation</t>
  </si>
  <si>
    <t>The diabetes complication which causes various damage to the human eye lead to complete blindness is called diabetic retinopathy. The investigation of the optimization-based Deep Learning (DL) approach is introduced for the detection of diabetic retinopathy using fundus images. Here, the fundus images are pre-processed initially using a median filter and Region of Interest (RoI) extraction, to remove the noise in the image. U-Net is used for lesion segmentation and trained using the introduced Gannet Pelican Optimization Algorithm (GPOA) to identify various types of lesions where GPOA is the integration of the Gannet Optimization Algorithm (GOA) and Pelican Optimization Algorithm (POA). The data augmentation process is carried out using flipping, rotation, shearing, cropping, and translation of fundus images, and the data-augmented fundus image is allowed for a feature extraction process where the image and vector-based features of fundus images are extracted. In addition, Deep Q Network (DQN) is used for the detection of diabetic retinopathy and is trained using the introduced Exponential Gannet Pelican Optimization Algorithm (EGFOA). The EGFOA is the combination of Exponentially Weighted Moving Average (EWMA), Gannet Optimization Algorithm (GOA), and Firefly Optimization Algorithm (FFA). Experimental outcomes achieved a maximum of 91.6% of accuracy, 92.2% of sensitivity, and 91.9% of specificity.</t>
  </si>
  <si>
    <t>[Prabhakar, Telagarapu] GMR Inst Technol, Dept ECE, Vizianagaram 532127, Andhra Pradesh, India; [Rao, T. V. Madhusudhana] Vignans Inst Informat Technol, Dept Comp Sci &amp; Engn, Visakhapatnam, India; [Maram, Balajee] Chandigarh Univ, Dept Comp Sci &amp; Engn, Mohali 140055, Punjab, India; [Chigurukota, Dhanunjayarao] Gokaraju Lailavathi Womens Engn Coll, Dept CSE, Hyderabad, India</t>
  </si>
  <si>
    <t>Chandigarh University</t>
  </si>
  <si>
    <t>Maram, B (corresponding author), Chandigarh Univ, Dept Comp Sci &amp; Engn, Mohali 140055, Punjab, India.</t>
  </si>
  <si>
    <t>maram.e15007@cumail.in</t>
  </si>
  <si>
    <t>1746-8094</t>
  </si>
  <si>
    <t>1746-8108</t>
  </si>
  <si>
    <t>BIOMED SIGNAL PROCES</t>
  </si>
  <si>
    <t>Biomed. Signal Process. Control</t>
  </si>
  <si>
    <t>10.1016/j.bspc.2023.105376</t>
  </si>
  <si>
    <t>Engineering, Biomedical</t>
  </si>
  <si>
    <t>Engineering</t>
  </si>
  <si>
    <t>S2FD2</t>
  </si>
  <si>
    <t>WOS:001069369000001</t>
  </si>
  <si>
    <t>Qin, X; Liu, XY; Wang, J; Chen, H; Shen, XC</t>
  </si>
  <si>
    <t>Qin, Xue; Liu, Xingyue; Wang, Jing; Chen, Hua; Shen, Xing-Can</t>
  </si>
  <si>
    <t>A NIR ratiometric fluorescent probe for the rapid detection of hydrogen sulfide in living cells and zebrafish</t>
  </si>
  <si>
    <t>Hydrogen sulfide probe; Ratiometric fluorescent imaging; Near-infrared fluorescence; Accurate fluorescent imaging; Quantitative detection</t>
  </si>
  <si>
    <t>SYNTHASE; MOLECULE</t>
  </si>
  <si>
    <t>Hydrogen sulfide (H2S) acts as a gas transporter and cell protector and plays a role in a number of disorders and signaling processes. Given that the half-life of H2S in biological systems is between seconds and minutes, the development of rapid and accurate technologies for reliable monitoring H2S levels and dynamics in organisms is critical. However, it is still difficult to design innovative near-infrared fluorescent probes that can quickly and accurately detect H2S. Here, we constructed a novel NIR ratiometric fluorescent probe based on the aldehyde group auxiliary strategy, Cy-H2S, for the quantitative detection and precise imaging of H2S in living cells and zebrafish. Cy-H2S responded quickly (150 s) and was highly sensitive (0.179 &amp; mu;M) to H2S donor. Cy-H2S was further successfully employed to track endogenous H2S fluctuation in HCT116 cells and zebrafish and evaluated the release efficiency of the H2S prodrug in a NIR ratiometric imaging way. Cy-H2S has the potential to be used as a reliable indication of H2S levels in living cells and zebrafish, as well as an innovative and practical instrument for furthering the physiological research of H2S, which will encourage the creation of advanced NIR ratiometric probes for a variety of biological applications.</t>
  </si>
  <si>
    <t>[Qin, Xue; Liu, Xingyue; Wang, Jing; Chen, Hua; Shen, Xing-Can] Guangxi Normal Univ, State Key Lab Chem &amp; Mol Engn Med Resources, Key Lab Chem &amp; Mol Engn Med Resources, Minist Educ China,Collaborat Innovat Ctr Guangxi E, Guilin, Peoples R China</t>
  </si>
  <si>
    <t>Ministry of Education, China; Guangxi Normal University</t>
  </si>
  <si>
    <t>Chen, H; Shen, XC (corresponding author), Guangxi Normal Univ, State Key Lab Chem &amp; Mol Engn Med Resources, Key Lab Chem &amp; Mol Engn Med Resources, Minist Educ China,Collaborat Innovat Ctr Guangxi E, Guilin, Peoples R China.</t>
  </si>
  <si>
    <t>chenhuagnu@gxnu.edu.cn; xcshen@mailbox.gxnu.edu.cn</t>
  </si>
  <si>
    <t>Shen, Xing-Can/N-1105-2018</t>
  </si>
  <si>
    <t>Shen, Xing-Can/0000-0002-7116-6919</t>
  </si>
  <si>
    <t>National Natural Science Foundation of China [22167004, 2017GXNSFGA198004]; Natural Science Foundation of Guangxi Province [2018GXNSFFA281004, 2021-A02]; State Key Laboratory Cultivation Base for Chemistry and Molecular Engineering of Medicinal Resources (CMEMR); [21977022]</t>
  </si>
  <si>
    <t>National Natural Science Foundation of China(National Natural Science Foundation of China (NSFC)); Natural Science Foundation of Guangxi Province(National Natural Science Foundation of Guangxi Province); State Key Laboratory Cultivation Base for Chemistry and Molecular Engineering of Medicinal Resources (CMEMR);</t>
  </si>
  <si>
    <t>This work was supported by the National Natural Science Foundation of China (21977022 and 22167004) , Natural Science Foundation of Guangxi Province (2017GXNSFGA198004 and 2018GXNSFFA281004) , and the State Key Laboratory Cultivation Base for Chemistry and Molecular Engineering of Medicinal Resources (CMEMR 2021-A02) .</t>
  </si>
  <si>
    <t>10.1016/j.talanta.2023.125043</t>
  </si>
  <si>
    <t>Q6UP6</t>
  </si>
  <si>
    <t>WOS:001058858900001</t>
  </si>
  <si>
    <t>Rakhimbekova, A; Seitkamal, K; Kudaibergenov, B; Nazir, F; Pham, T; Blanc, W; Vangelista, L; Tosi, D</t>
  </si>
  <si>
    <t>Rakhimbekova, Aida; Seitkamal, Kuanysh; Kudaibergenov, Baizak; Nazir, Faisal; Pham, Tri; Blanc, Wilfried; Vangelista, Luca; Tosi, Daniele</t>
  </si>
  <si>
    <t>Fiber-optic semi-distributed Fabry-Perot interferometer for low-limit label-free detection of CCL5 cancer biomarker</t>
  </si>
  <si>
    <t>Optical fiber biosensors; Single -mode fibers; Fabry-Perot interferometry; Enhanced Rayleigh backscattering; CCL5; Cancer biomarker detection</t>
  </si>
  <si>
    <t>LINKED-IMMUNOSORBENT-ASSAY; OPTICAL-FIBER; NANOPARTICLES</t>
  </si>
  <si>
    <t>We present an optical fiber label-free biosensor based on a partially stochastic Fabry-Perot interferometer for the detection of CCL5 (CC Chemokine Ligand 5) cancer biomarker. The sensor has a very simple fabrication process, with a splice-and-cleave approach that requires only one splice and a subsequent cleave at the fiber tip. The enhanced backscattering within the Mg-NP fiber paired with the Fresnel reflection at the fiber tip forms a lowfinesse interferometric structure; the inner reflections due to Rayleigh scattering provide an additional layers of phase shifts, forming a semi-distributed interferometer (SDI). The average sensitivity of the SDI sensors has been reported to be 92.5 dB/RIU. Sensors were biofunctionalized for the purpose of detecting CCL5 by means of a silanization process. We report the detection of CCL5 in diluted serum with a sensitivity of 2.947 mRIU for each 10-fold concentration increase and a limit of detection of 17.6 aM.</t>
  </si>
  <si>
    <t>[Rakhimbekova, Aida; Kudaibergenov, Baizak; Tosi, Daniele] Nazarbayev Univ, Sch Engn &amp; Digital Sci, Dept Elect &amp; Comp Engn, Astana, Kazakhstan; [Seitkamal, Kuanysh; Kudaibergenov, Baizak; Vangelista, Luca] Nazarbayev Univ, Sch Med, Dept Biomed Sci, Astana, Kazakhstan; [Nazir, Faisal; Pham, Tri] Nazarbayev Univ, Sch Sci &amp; Humanities, Dept Biol, Astana, Kazakhstan; [Blanc, Wilfried] Univ Cote Azur, INPHYNI, CNRS UMR7010, 17 rue Julien Laupretre, F-06200 Nice, France; [Vangelista, Luca] Univ Pavia, Dept Mol Med, Pavia, Italy; [Tosi, Daniele] Natl Lab Astana, Lab Biosensors &amp; Bioinstruments, Astana, Kazakhstan</t>
  </si>
  <si>
    <t>Nazarbayev University; Nazarbayev University; Nazarbayev University; UDICE-French Research Universities; Universite Cote d'Azur; Centre National de la Recherche Scientifique (CNRS); CNRS - Institute of Physics (INP); University of Pavia</t>
  </si>
  <si>
    <t>Tosi, D (corresponding author), Nazarbayev Univ, Sch Engn &amp; Digital Sci, Dept Elect &amp; Comp Engn, Astana, Kazakhstan.</t>
  </si>
  <si>
    <t>daniele.tosi@nu.edu.kz</t>
  </si>
  <si>
    <t>Nazarbayev University; EPICGuide [091019CRP2117]; M2O-DISK [240919FD3908, 20122022FD4134, 021220FD4451]; [021220FD2551]</t>
  </si>
  <si>
    <t>Nazarbayev University; EPICGuide; M2O-DISK;</t>
  </si>
  <si>
    <t>The research was funded by Nazarbayev University, under grants SMARTER (code: 091019CRP2117) , EPICGuide (code: 240919FD3908) , M2O-DISK (code: 20122022FD4134) , code 021220FD4451, and grant number 021220FD2551.</t>
  </si>
  <si>
    <t>10.1016/j.optlastec.2023.109953</t>
  </si>
  <si>
    <t>S1LG0</t>
  </si>
  <si>
    <t>WOS:001068846700001</t>
  </si>
  <si>
    <t>Rioboo-Legaspi, P; Gonzalez-Lopez, A; Beltran-Sanchez, JF; Cima-Cabal, MD; Garcia-Suarez, MM; Sanchez, AJG; Fernandez-Otero, T; Haro, JG; Costa-Rama, E; Fernandez-Abedul, MT</t>
  </si>
  <si>
    <t>Rioboo-Legaspi, P.; Gonzalez-Lopez, A.; Beltran-Sanchez, J. F.; Cima-Cabal, M. D.; Garcia-Suarez, M. M.; Sanchez, A. J. Garcia; Fernandez-Otero, T.; Haro, J. Garcia; Costa-Rama, E.; Fernandez-Abedul, M. T.</t>
  </si>
  <si>
    <t>Phenol red as electrochemical indicator for highly sensitive quantification of SARS-CoV-2 by loop-mediated isothermal amplification detection</t>
  </si>
  <si>
    <t>Low-cost analysis; Electrochemical detection; Screen-printed electrodes; Phenol red; Isothermal amplification (LAMP); SARS-CoV-2</t>
  </si>
  <si>
    <t>The current COVID-19 pandemic has made patent the need for rapid and cost-effective diagnostic tests, crucial for future infectious outbreaks. Loop-mediated isothermal amplification (LAMP) is a promising and decentralized alternative to qPCR. In this work we have developed a sensitive, fast, and simple innovative methodology for quantification of SARS-CoV-2 RNA copies, combining reverse-transcription LAMP with electrochemical detection. This is based on the oxidation of phenol red (PR), a visual and electroactive LAMP indicator, which oxidation peak potential (E-p) changes with the progress of the LAMP reaction. Using that E-p shift as analytical signal, a calibration curve was obtained for fragment N1 copies of SARS-CoV2 (which provided better results than N or S fragments), with a potential shift of 16.2 mV per order of magnitude, and a practical limit of detection of 21 copies.mu L-1. Moreover, the precision of Ep is excellent (RSD &lt; 2%): 557 +/- 5 mV for negative and 602 +/- 7 mV for positive (2148 N fragment RNA copies.mu L-1.(-1)) LAMP controls. This methodology has been applied to the analysis of nasopharyngeal swab samples, resulting in total concordance with clinical RT-qPCR results. Advances towards fully decentralization have been achieved by designing and fabricating a small portable heater for isothermal procedures, obtaining comparable results to those from a commercial benchtop thermal cycler.</t>
  </si>
  <si>
    <t>[Rioboo-Legaspi, P.; Gonzalez-Lopez, A.; Costa-Rama, E.; Fernandez-Abedul, M. T.] Univ Oviedo, Fac Quim, Dept Quim Fis &amp; Analit, Oviedo, Spain; [Beltran-Sanchez, J. F.; Sanchez, A. J. Garcia; Fernandez-Otero, T.; Haro, J. Garcia] Univ Politecn Cartagena, Dept Tecnol Informac &amp; Comunicac, Murcia, Spain; [Cima-Cabal, M. D.; Garcia-Suarez, M. M.] Univ Int Rioja, Escuela Super Ingn &amp; Tecnol, Logrono, Spain</t>
  </si>
  <si>
    <t>University of Oviedo; Universidad Politecnica de Cartagena; Universidad Internacional de La Rioja (UNIR)</t>
  </si>
  <si>
    <t>Fernandez-Abedul, MT (corresponding author), Univ Oviedo, Fac Quim, Dept Quim Fis &amp; Analit, Oviedo, Spain.;Cima-Cabal, MD (corresponding author), Univ Int Rioja, Escuela Super Ingn &amp; Tecnol, Logrono, Spain.</t>
  </si>
  <si>
    <t>dolores.cima@unir.net; mtfernandeza@uniovi.es</t>
  </si>
  <si>
    <t>Costa-Rama, Estefanía/J-5815-2018</t>
  </si>
  <si>
    <t>Costa-Rama, Estefanía/0000-0002-5357-9269</t>
  </si>
  <si>
    <t>Fondo Supera COVID-19 from Banco Santander; Spanish Government [PID2020-118376RA-I00, PID2020-116329 GB-C22]; European Union [AYUD/2021/51289]; PCTI Program of the Government of the Principality of Asturias [PCTI 2018-2022]; Fundacion Seneca, Region de Murcia, Spain [20889/FPI/18]; UNIR; Ministry of Universities of the Spanish Government [BG20/00027]; CRUE; CSIC</t>
  </si>
  <si>
    <t>Fondo Supera COVID-19 from Banco Santander; Spanish Government(Spanish Government); European Union(European Union (EU)); PCTI Program of the Government of the Principality of Asturias; Fundacion Seneca, Region de Murcia, Spain(Fundacion Seneca); UNIR; Ministry of Universities of the Spanish Government; CRUE; CSIC</t>
  </si>
  <si>
    <t>This work was supported by the project LIFE (Fondo Supera COVID-19 from Banco Santander, CRUE and CSIC) as well as by the Spanish Government (MCIN/AEI/10.13039/501100011033) through the I + D + i projects PID2020-118376RA-I00 and PID2020-116329 GB-C22. The PCTI Program of the Government of the Principality of Asturias and FEDER Program of the European Union (AYUD/2021/51289) and PCTI 2018-2022 (AYUD/2022/33539) also funded this research. This research was also supported under the project 20889/FPI/18 (Fundacion Seneca, Region de Murcia, Spain). UNIR supported also the research, through the collaborative UNIR-UNIOVI project Pneumo. SARS.Detection (2021/2022) . E.C.R. thanks the support of the grant Beatriz Galindo (BG20/00027, Ministry of Universities of the Spanish Government) . Authors would like to acknowledge the technical support from Servicios Cientifico-Te ' cnicos of the University of Oviedo and the Service of Microbiology and Emergency Care of the HUCA.</t>
  </si>
  <si>
    <t>10.1016/j.talanta.2023.124963</t>
  </si>
  <si>
    <t>P6SO7</t>
  </si>
  <si>
    <t>WOS:001051956700001</t>
  </si>
  <si>
    <t>Rodriguez-Ramos, R; Herrera-Herrera, AV; Diaz-Romero, C; Socas-Rodriguez, B; Rodriguez-Delgado, MA</t>
  </si>
  <si>
    <t>Rodriguez-Ramos, Ruth; Herrera-Herrera, Antonio V.; Diaz-Romero, Carlos; Socas-Rodriguez, Barbara; Rodriguez-Delgado, Miguel Angel</t>
  </si>
  <si>
    <t>Eco-friendly approach developed for the microextraction of xenobiotic contaminants from tropical beverages using a camphor-based natural hydrophobic deep eutectic solvent</t>
  </si>
  <si>
    <t>Plastic migrants; Coconut waters; Aloe vera drinks; Deep eutectic solvents; Food safety; Green chemistry</t>
  </si>
  <si>
    <t>In this work, an innovative green strategy has been developed for the analysis of twenty-seven endocrine disruptors, including bisphenols, alkylphenols and alkylphenol ethoxylates, phthalic acid esters and one adipate in tropical beverages. For this purpose, nine natural hydrophobic deep eutectic solvents based on the terpenoids camphor, thymol and menthol at different molar ratios were investigated for the first time as extractants for the liquid-liquid microextraction of the target analytes from coconut waters and Aloe Vera drinks. A mixture of camphor:thymol at molar ratio 1:2 (n/n) was selected as extraction solvent. Determination of the target analytes was carried out by ultra-high performance liquid chromatography coupled to tandem mass spectrometry. After optimisation of the determination and extraction conditions, the methodology was validated achieving good results in terms of linearity, as well as recovery values in the range 75-111% and limits of quantification from 0.137 to 10.08 &amp; mu;g/L. Finally, the developed methodology was applied to the analysis of commercially available samples, finding the presence of diethyl phthalate.</t>
  </si>
  <si>
    <t>[Rodriguez-Ramos, Ruth; Herrera-Herrera, Antonio V.; Socas-Rodriguez, Barbara; Rodriguez-Delgado, Miguel Angel] Univ La Laguna ULL, Fac Ciencias, Unidad Dept Quim Analit, Dept Quim, Avda Astrofis Fco Sanchez S-N, San Cristobal De La Lagun 38206, Spain; [Herrera-Herrera, Antonio V.] Univ La Laguna ULL, Inst Univ Bioorgan Antonio Gonzalez, Avda Astrofis Fco Sanchez 2, San Cristobal De La Lagun 38206, Spain; [Diaz-Romero, Carlos] Univ La Laguna, Dept Ingn Quim &amp; Tecnol Farmaceut, Tenerife, Spain</t>
  </si>
  <si>
    <t>Universidad de la Laguna</t>
  </si>
  <si>
    <t>Socas-Rodriguez, B; Rodriguez-Delgado, MA (corresponding author), Univ La Laguna ULL, Fac Ciencias, Unidad Dept Quim Analit, Dept Quim, Avda Astrofis Fco Sanchez S-N, San Cristobal De La Lagun 38206, Spain.</t>
  </si>
  <si>
    <t>bsocasro@ull.edu.es; mrguez@ull.edu.es</t>
  </si>
  <si>
    <t>Socas- Rodriguez, Barbara/M-1995-2015; RODRIGUEZ-DELGADO, MIGUEL ANGEL/J-9719-2012</t>
  </si>
  <si>
    <t>Socas- Rodriguez, Barbara/0000-0002-8396-933X; RODRIGUEZ-DELGADO, MIGUEL ANGEL/0000-0001-9412-6349</t>
  </si>
  <si>
    <t>Spanish Ministry of Economy, Industry, and Competitiveness [AGL2017-89257-P]; University of La Laguna; Spanish Ministry of Science and Innovation, and Universities [CPP2021-009056]; Innovacion y Sociedad de la Informaci on de la Consejeria de Economia, Conocimiento y Empleo y por el Fondo Social Europeo (FSE); Agencia Canaria de Investigacion, Innovacion y Sociedad de la Informacion de la Consejeria de Economia, Conocimiento y Empleo y por el Fondo Social Europeo (FSE)</t>
  </si>
  <si>
    <t>Spanish Ministry of Economy, Industry, and Competitiveness(Spanish Government); University of La Laguna; Spanish Ministry of Science and Innovation, and Universities(Spanish Government); Innovacion y Sociedad de la Informaci on de la Consejeria de Economia, Conocimiento y Empleo y por el Fondo Social Europeo (FSE); Agencia Canaria de Investigacion, Innovacion y Sociedad de la Informacion de la Consejeria de Economia, Conocimiento y Empleo y por el Fondo Social Europeo (FSE)</t>
  </si>
  <si>
    <t>This work has been supported by the Spanish Ministry of Economy, Industry, and Competitiveness (project AGL2017-89257-P) , as well as the University of La Laguna and the Spanish Ministry of Science, Innovation, and Universities, and the Spanish Ministry of Science and Innovation (project CPP2021-009056) . R.R.-R. would like to thank her FPI fellowship co -financed by the Agencia Canaria de Investigacion, Innovacion y Sociedad de la Informacion de la Consejeria de Economia, Conocimiento y Empleo y por el Fondo Social Europeo (FSE) . Programa Operativo Integrado de Canarias 2014-2020, Eje 3 Tema Prioritario 74 (85%) . Authors would like to acknowledge the use of the Research Support General Service (SEGAI) of the University of La Laguna.</t>
  </si>
  <si>
    <t>10.1016/j.talanta.2023.124932</t>
  </si>
  <si>
    <t>P0AT6</t>
  </si>
  <si>
    <t>WOS:001047359700001</t>
  </si>
  <si>
    <t>Saraiva, BB; Sestito, JMB; Bezerra, RAD; de Oliveira, GLM; da Silva, RC Jr; Machado, RRB; Nakamura, CV; Alfieri, AA; Pozza, MSD</t>
  </si>
  <si>
    <t>Saraiva, Bruna Barnei; Sestito, Julia Maria Branco; Bezerra, Rogerio Aleson Dias; de Oliveira, Gabrielly Lorraynny Martins; da Silva Jr, Ranulfo Combuca; Machado, Rayanne Regina Beltrame; Nakamura, Celso Vataru; Alfieri, Amauri Alcindo; Pozza, Magali Soares dos Santos</t>
  </si>
  <si>
    <t>Reduction of Staphylococcus aureus in vitro and in milk by photodynamic inactivation using riboflavin and curcumin as photosensitizers: Cell damage and effects on product quality</t>
  </si>
  <si>
    <t>JOURNAL OF PHOTOCHEMISTRY AND PHOTOBIOLOGY A-CHEMISTRY</t>
  </si>
  <si>
    <t>Antimicrobial activity; Dairy product; Food preservation; Foodborne bacterial pathogens; Reactive oxygen species; Resistance of microorganisms</t>
  </si>
  <si>
    <t>BLUE-LIGHT; RESISTANCE; CONTAMINATION; EFFICIENCY; BACTERIA; PROFILE</t>
  </si>
  <si>
    <t>Foodborne bacterial pathogens such as Staphylococcus aureus (S. aureus) are a threat due to the progressive resistance of microorganisms to multiple drugs. In this sense, photodynamic therapy (PDT) is an innovative food decontamination technique based on the combination of a photosensitizer compound (PS), light of adequate wavelength, and molecular oxygen. The reactive oxygen species (ROS) produced are responsible for non-specific cell damage and make the development of resistance unlikely. The objective was to determine the cell viability of S. aureus ATCC 25923 submitted to PDT mediated by Riboflavin (RIB) and Curcumin (CUR) in vitro and in fluid milk. The structural damage responsible for the death of the bacteria was investigated. In milk, lighting was tested by two methods: thin layers and constant agitation. The effects of the treatments on the composition, oxidation, and color of the product were also investigated. The blue light emitting diode (LED) inhibits S. aureus even in the absence of PS. CUR and RIB demonstrated synergistic antimicrobial activity, increasing the efficiency of PDT. CUR was more efficient than RIB, inhibiting 7 log CFU/mL at concentrations above 62.50 &amp; mu;g/mL in vitro. PDT caused cell death through oxidation and disruption of the bacterial membrane. Despite the considerable photoinhibition in milk (1.63 log CFU/mL), the physiological environment of this matrix impaired the efficiency of the technique. Both lighting methods reduced the bacteria counts. There was no change in macronutrients composition and protein oxidation. However, light caused lipid peroxidation and PS pigmented the milk. Therefore, PDT is efficient to inhibit bacterial pathogens and can be used as a complement to traditional food preservation technologies.</t>
  </si>
  <si>
    <t>[Saraiva, Bruna Barnei; Sestito, Julia Maria Branco; Bezerra, Rogerio Aleson Dias; Pozza, Magali Soares dos Santos] Univ Estadual Maringa, Dept Anim Sci, Colombo Ave,5790 Univ Campus, BR-87020900 Maringa, PR, Brazil; [de Oliveira, Gabrielly Lorraynny Martins; da Silva Jr, Ranulfo Combuca] Univ Estadual Maringa, Dept Chem, Colombo Ave,5790 Univ Campus, BR-87020900 Maringa, PR, Brazil; [Machado, Rayanne Regina Beltrame; Nakamura, Celso Vataru] Univ Estadual Maringa, Lab Inovacao Tecnolo Desenvolvimento Farmacos &amp; Co, Colombo Ave,5790 Univ Campus, BR-87020900 Maringa, PR, Brazil; [Alfieri, Amauri Alcindo] Univ Estadual Londrina, Inst Nacl Ciencia &amp; Tecnologiapara aCadeia Prod Le, Dept Prevent Vet Med, Celso Garcia Cid Highway,10011 Univ Campus, BR-86057970 Londrina, PR, Brazil</t>
  </si>
  <si>
    <t>Universidade Estadual de Maringa; Universidade Estadual de Maringa; Universidade Estadual de Maringa; Universidade Estadual de Londrina</t>
  </si>
  <si>
    <t>Saraiva, BB (corresponding author), Univ Estadual Maringa, Dept Anim Sci, Colombo Ave,5790 Univ Campus, BR-87020900 Maringa, PR, Brazil.</t>
  </si>
  <si>
    <t>brunabarneisaraiva@gmail.com</t>
  </si>
  <si>
    <t>ELSEVIER SCIENCE SA</t>
  </si>
  <si>
    <t>LAUSANNE</t>
  </si>
  <si>
    <t>PO BOX 564, 1001 LAUSANNE, SWITZERLAND</t>
  </si>
  <si>
    <t>1010-6030</t>
  </si>
  <si>
    <t>1873-2666</t>
  </si>
  <si>
    <t>J PHOTOCH PHOTOBIO A</t>
  </si>
  <si>
    <t>J. Photochem. Photobiol. A-Chem.</t>
  </si>
  <si>
    <t>10.1016/j.jphotochem.2023.115120</t>
  </si>
  <si>
    <t>S6MF5</t>
  </si>
  <si>
    <t>WOS:001072276800001</t>
  </si>
  <si>
    <t>Saravanan, R; Sathish, T; Agbulut, U; Sathyamurthy, R; Sharma, P; Linul, E; Asif, M</t>
  </si>
  <si>
    <t>Saravanan, R.; Sathish, T.; Agbulut, Umit; Sathyamurthy, Ravishankar; Sharma, Prabhakar; Linul, Emanoil; Asif, Mohammad</t>
  </si>
  <si>
    <t>Waste bull bone based reusable and biodegradable heterogeneous catalyst for alternate fuel production from WCO, and investigation of its usability as fuel substitute</t>
  </si>
  <si>
    <t>Waste bull bone; Compression ratio; Exhaust emission; Engine efficiency</t>
  </si>
  <si>
    <t>STRONG BASICITY; HYDROXYAPATITE; DESIGN; POWDER</t>
  </si>
  <si>
    <t>Fast-growing fuel demand by an increase in diesel vehicles and diesel engine applications for various sectors motivates researchers to develop alternate fuels. Though many approaches have been proposed, this investigation is unique by producing alternate fuels from the waste cooking oil (WCO) using a biodegradable, reusable, easy-to-handle, eco-friendly, and heterogeneous catalyst developed to form the waste bull bone and characterized for alternate fuel production from WCO. The zero-waste approach, eco-friendly fuel blends, and low-cost production factors were considered. The preprocessing of WCO was carried out by the bubble washes method, followed by transesterification processing for producing biofuel. The fuel blends were tested with different ratios like 20% to 80% with diesel and short out B20 grade. Further, the blends were prepared with Diethyl ether (DEE) and Ethanol. Total eight fuels (Diesel, B20, B20 + 5 wt% DEE, B20 + 10 wt% DEE, B20 + 5 wt% Ethanol, B20 + 10 wt% Ethanol, B20 + 5 wt% Methanol, and B20 + 10 wt% Methanol) were tested including pure diesel from No load to full load engine condition at two different compression ratios (15:1 &amp; 18:1). The results reveal that B20 + 5 wt% Methanol at 15:1 compression ratio outperformed in terms of brake power of 2.64 kW, indicated power of 6.35 kW, brake thermal efficiency of 33.21%, Indicated thermal efficiency of 67.18%, mechanical efficiency of 59.14%, low brake specific fuel consumption of 0.27 kg/kWh at full load. In conclusion, the heterogeneous catalyst obtained from the waste bull bone can be used in biodiesel production, which ensures the efficient usability of the waste bull bone in the fuel-processing sector.</t>
  </si>
  <si>
    <t>[Saravanan, R.; Sathish, T.] SIMATS, Saveetha Sch Engn, Dept Mech Engn, Chennai, Tamil Nadu, India; [Agbulut, Umit] Duzce Univ, Fac Engn, Dept Mech Engn, TR-81620 Duzce, Turkiye; [Sathyamurthy, Ravishankar] Chandigarh Univ, Univ Ctr Res &amp; Dev, Dept Mech Engn, Mohali, Punjab, India; [Sharma, Prabhakar] Delhi Skill &amp; Entrepreneurship Univ, Delhi 110089, India; [Linul, Emanoil] Politehn Univ Timisoara, Dept Mech &amp; Strength Mat, Timisoara 300222, Romania; [Asif, Mohammad] King Saud Univ, Dept Chem Engn, POB 800, Riyadh 11421, Saudi Arabia</t>
  </si>
  <si>
    <t>Saveetha Institute of Medical &amp; Technical Science; Saveetha School of Engineering; Duzce University; Chandigarh University; Polytechnic University of Timisoara; King Saud University</t>
  </si>
  <si>
    <t>Sathish, T (corresponding author), SIMATS, Saveetha Sch Engn, Dept Mech Engn, Chennai, Tamil Nadu, India.;Agbulut, U (corresponding author), Duzce Univ, Fac Engn, Dept Mech Engn, TR-81620 Duzce, Turkiye.;Linul, E (corresponding author), Politehn Univ Timisoara, Dept Mech &amp; Strength Mat, Timisoara 300222, Romania.</t>
  </si>
  <si>
    <t>saravananrathinasamy81@gmail.com; sathish.sailer@gmail.com; umitagbulut@duzce.edu.tr; raviannauniv23@gmail.com; emanoil.linul@upt.ro; masif@ksu.edu.sa</t>
  </si>
  <si>
    <t>Asif, Mohammad/C-6332-2009; Sathish, T/T-1968-2019; SHARMA, PRABHAKAR/AFS-6314-2022</t>
  </si>
  <si>
    <t>Asif, Mohammad/0000-0003-3196-0074; Sathish, T/0000-0003-4912-5579; SHARMA, PRABHAKAR/0000-0002-7585-6693</t>
  </si>
  <si>
    <t>King Saud University, Riyadh, Saudi Arabia [RSP2023R42]</t>
  </si>
  <si>
    <t>King Saud University, Riyadh, Saudi Arabia(King Saud University)</t>
  </si>
  <si>
    <t>The financial support from the Researchers Supporting Project (RSP2023R42) , King Saud University, Riyadh, Saudi Arabia is appreciated.</t>
  </si>
  <si>
    <t>10.1016/j.fuel.2023.129436</t>
  </si>
  <si>
    <t>Q9DO8</t>
  </si>
  <si>
    <t>WOS:001060453100001</t>
  </si>
  <si>
    <t>Sarkar, MR; Anavatti, SG; Dam, T; Ferdaus, MM; Tahtali, M; Ramasamy, S; Pratama, M</t>
  </si>
  <si>
    <t>Sarkar, Md. Rasel; Anavatti, Sreenatha G.; Dam, Tanmoy; Ferdaus, Md. Meftahul; Tahtali, Murat; Ramasamy, Savitha; Pratama, Mahardhika</t>
  </si>
  <si>
    <t>GATE: A guided approach for time series ensemble forecasting</t>
  </si>
  <si>
    <t>Time series forecasting; RNN; LSTM; Conv-LSTM; Guided network and; Ensemble model</t>
  </si>
  <si>
    <t>DEEP LEARNING-MODEL; NEURAL-NETWORK; REPRESENTATIONS</t>
  </si>
  <si>
    <t>In this article, a new ensemble learning model called GATE is proposed to improve the accuracy and stability of time-series forecasting, which is a crucial aspect of modern engineering practices. Despite the promise of deep learning (DL) models in this area, their performance can be volatile due to the diversity of time series data. To address this, the GATE model combines the strengths of recurrent neural networks (RNN), long short-term memory network (LSTM), and convolution-LSTM (Conv-LSTM) structures and utilizes an unsupervised learning strategy to steer the ensemble output using a guided network. To prevent overfitting in DL models, GATE optimizes the sample loss function and the weight updating function for each individual model within the ensemble structure. A comprehensive evaluation of the proposed GATE method on four real-world datasets is presented. The experimental results unequivocally demonstrate that GATE surpasses state-of-the-art ensemble methods and individual models, exhibiting the best performance in terms of testing errors. Notably, GATE outperforms existing single models in addressing long-term prediction tasks. To validate the effectiveness of GATE, ablation studies is carried out, comparing different ensemble combinations involving two distinct models. Through systematic analysis, these studies provided valuable insights into the performance of various ensemble configurations, further confirming the effectiveness and superiority of the proposed GATE method.</t>
  </si>
  <si>
    <t>[Sarkar, Md. Rasel; Anavatti, Sreenatha G.; Tahtali, Murat] Univ New South Wales, Sch Engn &amp; Informat Technol, Canberra, ACT 2610, Australia; [Dam, Tanmoy] Nanyang Technol Univ, NTU Joint Lab, Singapore 637460, Singapore; [Ferdaus, Md. Meftahul] Univ New Orleans, Dept Comp Sci, New Orleans, LA 70148 USA; [Ramasamy, Savitha] ASTAR, I2R, 1 Fusionopolis Way,21-01 Connexis, Singapore 138632, Singapore; [Pratama, Mahardhika] Univ South Australia, STEM, Adelaide 5095, Australia</t>
  </si>
  <si>
    <t>University of New South Wales Sydney; Nanyang Technological University &amp; National Institute of Education (NIE) Singapore; Nanyang Technological University; University of Louisiana System; University of New Orleans; Agency for Science Technology &amp; Research (A*STAR); A*STAR - Institute for Infocomm Research (I2R); University of South Australia</t>
  </si>
  <si>
    <t>Sarkar, MR (corresponding author), Univ New South Wales, Sch Engn &amp; Informat Technol, Canberra, ACT 2610, Australia.</t>
  </si>
  <si>
    <t>raselbdeee@gmail.com; agsrenat@adfa.edu.au; tanmoydam@yahoo.com; mferdaus@uno.edu; m.tahtali@adfa.edu.au; ramasamy.savitha@gmail.com; Dhika.Pratama@unisa.edu.au</t>
  </si>
  <si>
    <t>Dam, Tanmoy/HKV-5835-2023; Ferdaus, Md Meftahul/G-5708-2015</t>
  </si>
  <si>
    <t>Dam, Tanmoy/0000-0003-3022-0971; Ferdaus, Md Meftahul/0000-0002-8833-2274</t>
  </si>
  <si>
    <t>10.1016/j.eswa.2023.121177</t>
  </si>
  <si>
    <t>R2OZ0</t>
  </si>
  <si>
    <t>WOS:001062806400001</t>
  </si>
  <si>
    <t>Seebunrueng, K; Tamuang, S; Jarujamrus, P; Saengsuwan, S; Patdhanagul, N; Areerob, Y; Sansuk, S; Srijaranai, S</t>
  </si>
  <si>
    <t>Seebunrueng, Ketsarin; Tamuang, Suparb; Jarujamrus, Purim; Saengsuwan, Sayant; Patdhanagul, Nopbhasinthu; Areerob, Yonrapach; Sansuk, Sira; Srijaranai, Supalax</t>
  </si>
  <si>
    <t>Eco-friendly thermosensitive magnetic-molecularly-imprinted polymer adsorbent in dispersive solid-phase microextraction for gas chromatographic determination of organophosphorus pesticides in fruit samples</t>
  </si>
  <si>
    <t>Insecticide; Molecularly imprinted polymers; Thermosensitive adsorbent; Magnetic adsorbent; Gas chromatography; Fruit; Vegetable</t>
  </si>
  <si>
    <t>NANOSPHERES</t>
  </si>
  <si>
    <t>A thermosensitive magnetic-molecularly-imprinted polymer (TMMIP) was successfully prepared in an aqueous medium. The TMMIP was applied as an effective adsorbent in dispersive solid-phase microextraction for the selective enrichment of five organophosphorus pesticides (OPPs; diazinon, fenitrothion, fenthion, parathionethyl, and ethion) before analysis by gas chromatography. The polymerization was performed using mixedvalence iron hydroxide nanoparticles as the magnetic support, N-isopropyl acrylamide as the thermosensitive monomer, ethion as the template, and methacrylic acid as the functional monomer. The adsorption and desorption mechanisms of OPPs depend on their interactions with the adsorbents and solution temperature. Our methodology provides good linearity (0.50-2000 mu g L-1), with a correlation determination of R-2 &gt; 0.9980, low limit of detection (0.25-0.50 mu g L-1), low limit of quantitation (0.50-1.50 mu g L 1), and high precision (%RSD &lt; 7%). The developed method demonstrates excellent applicability for accurately and efficiently determining OPP residuals in fruit and vegetable samples with good recoveries (93-117%).</t>
  </si>
  <si>
    <t>[Seebunrueng, Ketsarin; Tamuang, Suparb; Jarujamrus, Purim; Saengsuwan, Sayant] Ubon Ratchathani Univ, Dept Chem, Fac Sci, Ubon Ratchathani 34190, Thailand; [Seebunrueng, Ketsarin; Tamuang, Suparb; Jarujamrus, Purim; Saengsuwan, Sayant] Ubon Ratchathani Univ, Fac Sci, Ctr Excellence Innovat Chem, Ubon Ratchathani 34190, Thailand; [Jarujamrus, Purim] Ubon Ratchathani Univ, Fac Sci, Nanomat Sci Sensors &amp; Catalysis Problem Based Proj, Ubon Ratchathani 34190, Thailand; [Patdhanagul, Nopbhasinthu] Kasetsart Univ, Fac Sci &amp; Engn, Gen Sci Dept, Sakon Nakhon 47000, Thailand; [Areerob, Yonrapach] King Mongkuts Inst Technol Ladkrabang, Sch Engn, Dept Ind Engn, Bangkok 10520, Thailand; [Sansuk, Sira; Srijaranai, Supalax] Khon Kaen Univ, Fac Sci, Mat Chem Res Ctr, Dept Chem, Khon Kaen 40002, Thailand; [Sansuk, Sira; Srijaranai, Supalax] Khon Kaen Univ, Fac Sci, Ctr Excellence Innovat Chem, Khon Kaen 40002, Thailand</t>
  </si>
  <si>
    <t>Ubon Ratchathani University; Ubon Ratchathani University; Ubon Ratchathani University; Kasetsart University; King Mongkuts Institute of Technology Ladkrabang; Khon Kaen University; Khon Kaen University</t>
  </si>
  <si>
    <t>Seebunrueng, K (corresponding author), Ubon Ratchathani Univ, Dept Chem, Fac Sci, Ubon Ratchathani 34190, Thailand.;Seebunrueng, K (corresponding author), Ubon Ratchathani Univ, Fac Sci, Ctr Excellence Innovat Chem, Ubon Ratchathani 34190, Thailand.</t>
  </si>
  <si>
    <t>ketsarin.s@ubu.ac.th</t>
  </si>
  <si>
    <t>Sansuk, Sira/0000-0001-5691-8775</t>
  </si>
  <si>
    <t>Center of Excellence for Innovation in Chemistry (PERCH-CIC) , Ministry of Higher Education, Science, Research, and Innovation</t>
  </si>
  <si>
    <t>In addition, the Center of Excellence for Innovation in Chemistry (PERCH-CIC) , Ministry of Higher Education, Science, Research, and Innovation, is gratefully acknowledged.</t>
  </si>
  <si>
    <t>10.1016/j.foodchem.2023.137069</t>
  </si>
  <si>
    <t>R2WW8</t>
  </si>
  <si>
    <t>WOS:001063015000001</t>
  </si>
  <si>
    <t>Song, LY; Yang, H; Cheng, S; Zhang, Z; Zhang, LC; Su, RY; Li, YX; Zhan, XJ; Yang, BW; Lin, L; Shi, C</t>
  </si>
  <si>
    <t>Song, Luyi; Yang, Hui; Cheng, Shuai; Zhang, Zhen; Zhang, Lechi; Su, Ruiying; Li, Yuxi; Zhan, Xiangjun; Yang, Baowei; Lin, Lin; Shi, Chao</t>
  </si>
  <si>
    <t>Combination effects of ultrasound and citral nanoemulsion against Shigella flexneri and the preservation effect on fresh-cut carrots</t>
  </si>
  <si>
    <t>FOOD CONTROL</t>
  </si>
  <si>
    <t>Ultrasound; Citral nanoemulsion; Antibacterial activity; Shigella flexneri; Cell membrane; Fresh-cut carrots</t>
  </si>
  <si>
    <t>LISTERIA-MONOCYTOGENES; ANTIBACTERIAL ACTIVITY; ANTIMICROBIAL ACTIVITY; LOADED NANOEMULSIONS; OIL NANOEMULSION; FOODBORNE; INACTIVATION; PATHOGENS; QUALITY; FRUITS</t>
  </si>
  <si>
    <t>This present study evaluated the effect of ultrasound (US), citral nanoemulsion (CLON) and combined treatments on the inactivate effectiveness of Shigella flexneri in phosphate-buffered saline (PBS) and on the surface of fresh-cut carrots. In this study, CLON was produced by ultrasonic nanoemulsification. Results demonstrated that US + CLON treatment significantly (P &lt; 0.05) improved the bactericidal effect against Sh. flexneri, especially 0.15 mg/ mL of CLON combined with US (20 kHz, 345 W/cm(2)) treatment for 9 min decreased the number of Sh. flexneri by 8.55 log CFU/mL. The assay of reactive oxygen species (ROS) and malondialdehyde (MDA) levels indicated that US + CLON aggravated oxidative stress and lipid peroxidation in cell membranes. The leakage of cell constituents (proteins and nucleotide) demonstrated that the permeability and integrity of the cell membrane was significantly (P &lt; 0.05) impaired. Field-emission scanning electron microscopy further showed that US + CLON exacerbates the disruption of the bacteria morphology. Confocal laser scanning microscopic and flow cytometry observed US + CLON treatment enhanced the changes of bacterial cell membrane integrity. Meanwhile, US + CLON was effective in reducing the presence of bacteria on the surface of fresh-cut carrots, and had no negative effects on the quality of fresh-cut carrots in terms of colour, hardness and weight during storage. Overall, this present study revealed ultrasound combined with CLON is a promising and viable cleaning method for improving the microbiological safety of fresh produce.</t>
  </si>
  <si>
    <t>[Song, Luyi; Yang, Hui; Cheng, Shuai; Zhang, Zhen; Zhang, Lechi; Su, Ruiying; Li, Yuxi; Zhan, Xiangjun; Yang, Baowei; Shi, Chao] Northwest A&amp;F Univ, Coll Food Sci &amp; Engn, Yangling 712100, Shaanxi, Peoples R China; [Lin, Lin] Jiangsu Univ, Sch Food &amp; Biol Engn, Zhenjiang 212013, Peoples R China</t>
  </si>
  <si>
    <t>Northwest A&amp;F University - China; Jiangsu University</t>
  </si>
  <si>
    <t>Shi, C (corresponding author), Northwest A&amp;F Univ, Coll Food Sci &amp; Engn, Yangling 712100, Shaanxi, Peoples R China.</t>
  </si>
  <si>
    <t>meilixinong@nwsuaf.edu.cn</t>
  </si>
  <si>
    <t>Lin, Lin/H-9423-2015</t>
  </si>
  <si>
    <t>Lin, Lin/0000-0001-6374-2165</t>
  </si>
  <si>
    <t>National Natural Science Foundation of China [32272445, 31801659]</t>
  </si>
  <si>
    <t>This project is funded under the National Natural Science Foundation of China (32272445 and 31801659) . Meanwhile, we thank Dr. Guoyun Zhang (State Key Laboratory of Crop Stress Biology for Arid Areas, Northwest A &amp; F University, Yangling, China) for FESEM experimental assistance and Ms. Zhenzhen Ma (Crop Biology Innovation Center, College of Agriculture, Northwest A &amp; F University, Yangling, China) for assistance with flow cytometry experiments.</t>
  </si>
  <si>
    <t>0956-7135</t>
  </si>
  <si>
    <t>1873-7129</t>
  </si>
  <si>
    <t>Food Control</t>
  </si>
  <si>
    <t>10.1016/j.foodcont.2023.110069</t>
  </si>
  <si>
    <t>Food Science &amp; Technology</t>
  </si>
  <si>
    <t>S2GN2</t>
  </si>
  <si>
    <t>WOS:001069405100001</t>
  </si>
  <si>
    <t>Thahir, AR; Coskun, M; Kilic, SK; Gungor, VC</t>
  </si>
  <si>
    <t>Thahir, Adam Rizvi; Coskun, Mustafa; Kilic, Sultan Kubra; Gungor, Vehbi Cagri</t>
  </si>
  <si>
    <t>Intelligent traffic light systems using edge flow predictions</t>
  </si>
  <si>
    <t>COMPUTER STANDARDS &amp; INTERFACES</t>
  </si>
  <si>
    <t>Artificial intelligence; Reinforcement learning; Traffic flow; Congestion</t>
  </si>
  <si>
    <t>In this paper, we propose a novel graph-based semi-supervised learning approach for traffic light management in multiple intersections. Specifically, the basic premise behind our paper is that if we know some of the occupied roads and predict which roads will be congested, we can dynamically change traffic lights at the intersections that are connected to the roads anticipated to be congested. Comparative performance evaluations show that the proposed approach can produce comparable average vehicle waiting time and reduce the training/learning time of learning adequate traffic light configurations for all intersections within a few seconds, while a deep learning-based approach can be trained in a few days for learning similar light configurations.</t>
  </si>
  <si>
    <t>[Thahir, Adam Rizvi; Kilic, Sultan Kubra; Gungor, Vehbi Cagri] Abdullah Gul Univ, Elect &amp; Comp Engn, Kayseri, Turkiye; [Coskun, Mustafa] Ankara Univ, Artificial Intelligence &amp; Data Engn, Ankara, Turkiye</t>
  </si>
  <si>
    <t>Abdullah Gul University; Ankara University</t>
  </si>
  <si>
    <t>Coskun, M (corresponding author), Ankara Univ, Artificial Intelligence &amp; Data Engn, Ankara, Turkiye.</t>
  </si>
  <si>
    <t>adam.thahir@agu.edu.tr; coskunmustafa@ankara.edu.tr; sultankubra.kilic@agu.edu.tr; cagri.gungor@agu.edu.tr</t>
  </si>
  <si>
    <t>Coskun, Mustafa/0000-0003-4805-1416</t>
  </si>
  <si>
    <t>Turkish Scientific and Techni-cal Research Council (TUBITAK) TEYDEB Program [3220798]</t>
  </si>
  <si>
    <t>Turkish Scientific and Techni-cal Research Council (TUBITAK) TEYDEB Program(Turkiye Bilimsel ve Teknolojik Arastirma Kurumu (TUBITAK))</t>
  </si>
  <si>
    <t>This work was supported by the Turkish Scientific and Techni-cal Research Council (TUBITAK) TEYDEB Program under Project No: 3220798 and produced from the master thesis [42] .</t>
  </si>
  <si>
    <t>0920-5489</t>
  </si>
  <si>
    <t>1872-7018</t>
  </si>
  <si>
    <t>COMPUT STAND INTER</t>
  </si>
  <si>
    <t>Comput. Stand. Interfaces</t>
  </si>
  <si>
    <t>10.1016/j.csi.2023.103771</t>
  </si>
  <si>
    <t>Computer Science, Hardware &amp; Architecture; Computer Science, Software Engineering</t>
  </si>
  <si>
    <t>O5LZ1</t>
  </si>
  <si>
    <t>WOS:001044236000001</t>
  </si>
  <si>
    <t>Wang, DW; Shan, H; Yin, W; Li, H</t>
  </si>
  <si>
    <t>Wang, Dengwei; Shan, Hai; Yin, Wang; Li, Hao</t>
  </si>
  <si>
    <t>Defect engineering of single-atom catalysts in biomass conversion</t>
  </si>
  <si>
    <t>Single-atom catalyst; Defect engineering; Biomass; Heterogeneous catalysis</t>
  </si>
  <si>
    <t>LEVULINIC ACID; TRANSFER HYDROGENATION; GAMMA-VALEROLACTONE; HIGHLY EFFICIENT; SURFACE-DEFECTS; STABLE CATALYST; CARBON; OXIDATION; SITES; HYDRODEOXYGENATION</t>
  </si>
  <si>
    <t>Single-atom catalysts (SACs) have attracted intensive attention due to their highest atom utilization, especially for expensive noble metal catalysts. This article provides a comprehensive review of defect engineering in the preparation of SACs. A unique view of the synergy of single atoms and defects during biomass conversion reactions is presented. The role of defects on SACs in biomass conversion reactions is discussed. The adsorption activation mechanism, local promotion mechanism, active site renewal mechanism, and selective recognition mechanism of defects are proposed and explained. Through the classification and in-depth analysis of typical biomass conversion reactions using SACs, the promising potential of defect engineering in broader biomass upgrading is illustrated. It is hoped that this paper provides guidance for the rational design of SACs and their application in a wide range of systematic biomass conversions.</t>
  </si>
  <si>
    <t>[Wang, Dengwei; Shan, Hai; Li, Hao] Hebei Univ Technol, Sch Chem Engn &amp; Technol, Natl Local Joint Engn Lab Energy Conservat Chem Pr, Tianjin Key Lab Chem Proc Safety, 8 Guangrong Rd, Tianjin 300000, Peoples R China; [Yin, Wang] Fuzhou Univ, Int Joint Lab Thermochem Convers Biomass, Engn Res Ctr React Distillat Technol, Coll Chem Engn, Fuzhou 350108, Fujian, Peoples R China</t>
  </si>
  <si>
    <t>Hebei University of Technology; Fuzhou University</t>
  </si>
  <si>
    <t>Li, H (corresponding author), Hebei Univ Technol, Sch Chem Engn &amp; Technol, Natl Local Joint Engn Lab Energy Conservat Chem Pr, Tianjin Key Lab Chem Proc Safety, 8 Guangrong Rd, Tianjin 300000, Peoples R China.;Yin, W (corresponding author), Fuzhou Univ, Int Joint Lab Thermochem Convers Biomass, Engn Res Ctr React Distillat Technol, Coll Chem Engn, Fuzhou 350108, Fujian, Peoples R China.</t>
  </si>
  <si>
    <t>wangyin@fzu.edu.cn; hglh@hebut.edu.cn</t>
  </si>
  <si>
    <t>National Natural Science Foundation of China [22108056]; Natural Science Foundation of Hebei Province [B2020202004]; China Postdoctoral Science Foundation [2022M720985]; Postdoctoral Science Foundation of Hebei Province [B2022003020]</t>
  </si>
  <si>
    <t>National Natural Science Foundation of China(National Natural Science Foundation of China (NSFC)); Natural Science Foundation of Hebei Province(Natural Science Foundation of Hebei Province); China Postdoctoral Science Foundation(China Postdoctoral Science Foundation); Postdoctoral Science Foundation of Hebei Province</t>
  </si>
  <si>
    <t>Financial support is acknowledged from the National Natural Science Foundation of China (22108056), the Natural Science Foundation of Hebei Province (B2020202004), the China Postdoctoral Science Foundation (2022M720985), and the Postdoctoral Science Foundation of Hebei Province (B2022003020).</t>
  </si>
  <si>
    <t>10.1016/j.fuel.2023.129439</t>
  </si>
  <si>
    <t>R5SN3</t>
  </si>
  <si>
    <t>WOS:001064950500001</t>
  </si>
  <si>
    <t>Wang, ZQ; Li, HY; Huang, WM; Duan, SQ; Yan, Y; Zeng, Z; Fang, ZF; Li, C; Hu, B; Wu, WJ; Lan, XG; Liu, YT</t>
  </si>
  <si>
    <t>Wang, Ziqi; Li, Hongyu; Huang, Weimin; Duan, Songqi; Yan, Yue; Zeng, Zhen; Fang, Zhengfeng; Li, Cheng; Hu, Bin; Wu, Wenjuan; Lan, Xiguo; Liu, Yuntao</t>
  </si>
  <si>
    <t>Landscapes of the main components, metabolic and microbial signatures, and their correlations during pile-fermentation of Tibetan tea</t>
  </si>
  <si>
    <t>Tibetan tea; Pile-fermentation; Metabolites; Microbiota; Aspergillus; Theabrownins</t>
  </si>
  <si>
    <t>PU-ERH TEA; DARK TEA; THEABROWNIN; INHIBITION; CHEMISTRY; INFUSION; QUALITY; PROFILE</t>
  </si>
  <si>
    <t>Microbial fermentation, a key step in Tibetan tea production, plays a pivotal role in forming the tea's unique quality. In our study, we mapped out the landscapes of major components, metabolomic signatures, and microbial features of Tibetan tea using component content determination, untargeted metabolomic analysis, and ITS and 16S rRNA sequencing. The results reveal that theabrownin content demonstrated a consistent growth trend post-fermentation, increasing from 41.96 &amp; PLUSMN; 1.64 mg/g to 68.75 &amp; PLUSMN; 2.58 mg/g. However, the content of epigallocatechin gallate (EGCG) significantly dwindled from 80.02 &amp; PLUSMN; 0.51 mg/g to 8.12 &amp; PLUSMN; 0.07 mg/g. Additionally, 518 metabolites were pinpointed as pivotal to the metabolic variation induced by microbial fermentation. The microbiome analysis exhibited a considerable shift in the microbiota signature, with Aspergillus emerging as the dominant microorganism. To conclude, these findings offer novel perspectives for enhancing the quality of Tibetan tea and abbreviating fermentation time through the regulation of microbiota structure.</t>
  </si>
  <si>
    <t>[Wang, Ziqi; Li, Hongyu; Huang, Weimin; Duan, Songqi; Yan, Yue; Zeng, Zhen; Fang, Zhengfeng; Li, Cheng; Hu, Bin; Liu, Yuntao] Sichuan Agr Univ, Coll Food Sci, Yaan 625014, Peoples R China; [Wu, Wenjuan] Sichuan Agr Univ, Coll Sci, Yaan 625014, Peoples R China; [Lan, Xiguo] Sichuan Yingtai Tea Ind Co Ltd, Yaan 625200, Peoples R China</t>
  </si>
  <si>
    <t>Sichuan Agricultural University; Sichuan Agricultural University</t>
  </si>
  <si>
    <t>Zeng, Z; Liu, YT (corresponding author), Sichuan Agr Univ, Coll Food Sci, Yaan 625014, Peoples R China.</t>
  </si>
  <si>
    <t>zengzhen201304@163.com; nutritionlab@sicau.edu.cn</t>
  </si>
  <si>
    <t>Duan, Songqi/0000-0002-0822-5883</t>
  </si>
  <si>
    <t>Ya'an Science and Technology Program Project [22SXHZ0042]; [202110626036]</t>
  </si>
  <si>
    <t>Ya'an Science and Technology Program Project;</t>
  </si>
  <si>
    <t>This work was supported by the Ya'an Science and Technology Program Project (202110626036 and 22SXHZ0042) .</t>
  </si>
  <si>
    <t>10.1016/j.foodchem.2023.136932</t>
  </si>
  <si>
    <t>Q0WP1</t>
  </si>
  <si>
    <t>WOS:001054808800001</t>
  </si>
  <si>
    <t>Wei, YL; Zheng, LX; Li, LY; Liu, HN; Huang, YF; Fan, LQ; Wu, JH</t>
  </si>
  <si>
    <t>Wei, Yue-Lin; Zheng, Long-Xin; Li, Lu-Yang; Liu, Hai-Ning; Huang, Yun-Fang; Fan, Le-Qing; Wu, Ji-Huai</t>
  </si>
  <si>
    <t>Facile construction of Ag/AgCl/WO3 ternary plasmonic nanocomposite with promoted photocatalytic property</t>
  </si>
  <si>
    <t>MATERIALS RESEARCH BULLETIN</t>
  </si>
  <si>
    <t>Heterojunction; Ternary photocatalyst; Localized surface plasmon resonance; Ag/AgCl/WO3</t>
  </si>
  <si>
    <t>MALACHITE GREEN; COMPOSITE; HETEROJUNCTION; ENHANCEMENT; EFFICIENT; DEGRADATION; OXIDATION; WATER; BR</t>
  </si>
  <si>
    <t>A novel Ag/AgCl/WO3 (AAW) ternary nanocomposite with various mole ratios were constructed through a two-step approach involving solvothermal and in-situ photo-reduction technology. As-synthesized products were systematically studied with various characterization. The photocatalytic behaviors of the composites were appraised through degrading the malachite green (MG) pollutant with the illumination of visible light. It was found that the removal efficiency of MG for the champion AAW was 11.8 times as the single WO3 catalyst with excellent cycling stability. The promoted properties of as-synthesized products were mainly related to the enhanced visible light absorption by the Ag-induced localized surface plasmon resonance (LSPR) function and the suppressed recombination rate of photoinduced charge carries by heterojunction. Furthermore, a plausible photocatalytic mechanism concerning the electrons/holes transfer and separation process upon the AAW com-posites was also proposed in view of the heterojunction.</t>
  </si>
  <si>
    <t>[Wei, Yue-Lin; Li, Lu-Yang; Fan, Le-Qing; Wu, Ji-Huai] Huaqiao Univ, Coll Mat Sci &amp; Engn, Xiamen 361021, Peoples R China; [Zheng, Long-Xin; Huang, Yun-Fang] Huaqiao Univ, Coll Chem Engn, Xiamen 361021, Peoples R China; [Wei, Yue-Lin; Zheng, Long-Xin; Li, Lu-Yang; Huang, Yun-Fang; Fan, Le-Qing; Wu, Ji-Huai] Huaqiao Univ, Engn Res Ctr Environm Friendly Funct Mat, Minist Educ, Xiamen 361021, Peoples R China; [Liu, Hai-Ning] Chinese Acad Sci, Qinghai Inst Salt Lakes, Key Lab Comprehens &amp; Highly Efficient Utilizat Sal, Qinghai Prov Key Lab Resources &amp; Chem Salt Lakes, Xining 81008, Qinghai, Peoples R China</t>
  </si>
  <si>
    <t>Huaqiao University; Huaqiao University; Huaqiao University; Chinese Academy of Sciences; Qinghai Institute of Salt Lakes, CAS</t>
  </si>
  <si>
    <t>Huang, YF (corresponding author), Huaqiao Univ, Coll Chem Engn, Xiamen 361021, Peoples R China.;Huang, YF (corresponding author), Huaqiao Univ, Engn Res Ctr Environm Friendly Funct Mat, Minist Educ, Xiamen 361021, Peoples R China.</t>
  </si>
  <si>
    <t>huangyf@hqu.edu.cn</t>
  </si>
  <si>
    <t>WU, Jihuai/0000-0002-9820-1382</t>
  </si>
  <si>
    <t>Na-tional Natural Science Foundation of China [U20A20150, U1705256]; Natural Science Foundation of Fujian Province [2023J01133]</t>
  </si>
  <si>
    <t>Na-tional Natural Science Foundation of China(National Natural Science Foundation of China (NSFC)); Natural Science Foundation of Fujian Province(Natural Science Foundation of Fujian Province)</t>
  </si>
  <si>
    <t>The authors gratefully acknowledge the financial support from Na-tional Natural Science Foundation of China (no. U20A20150, U1705256) . And the Natural Science Foundation of Fujian Province (2023J01133) .</t>
  </si>
  <si>
    <t>0025-5408</t>
  </si>
  <si>
    <t>1873-4227</t>
  </si>
  <si>
    <t>MATER RES BULL</t>
  </si>
  <si>
    <t>Mater. Res. Bull.</t>
  </si>
  <si>
    <t>10.1016/j.materresbull.2023.112501</t>
  </si>
  <si>
    <t>Materials Science, Multidisciplinary</t>
  </si>
  <si>
    <t>Materials Science</t>
  </si>
  <si>
    <t>S1JE1</t>
  </si>
  <si>
    <t>WOS:001068792100001</t>
  </si>
  <si>
    <t>Wen, XJ; Cheng, H; Zhang, WL; You, LJ; Li, JM</t>
  </si>
  <si>
    <t>Wen, Xiaojun; Cheng, Huan; Zhang, Weilong; You, Lijun; Li, Jumei</t>
  </si>
  <si>
    <t>Multifunctional Ni(OH)(2)/Ag composites for ultrasensitive SERS detection and efficient photocatalytic degradation of ciprofloxacin and methylene blue</t>
  </si>
  <si>
    <t>SERS; Recyclable sensing; Photocatalytic degradation; In-situ monitoring; Organic pollutants</t>
  </si>
  <si>
    <t>GRAPHENE OXIDE</t>
  </si>
  <si>
    <t>To enable the widespread application of surface-enhanced Raman scattering (SERS) technique in practical sensing of organic pollutants, it is essential to develop a reliable SERS substrate that offers both high sensitivity and reusability. In this study, we employed a simple and rapid in-situ deposition method to coat Ag nanoparticles onto flower-like Ni(OH)2 spheres, resulting in the formation of Ni(OH)2/Ag composites with excellent photocatalytic performance and SERS activity. These composites were used as a promising SERS analysis tool for effective detection of organic pollutants, including ciprofloxacin hydrochloride (CIP) and methylene blue (MB). Notably, the composites exhibited outstanding detection limits of 10-8 M for MB and 10-7 M for CIP, respectively, and showed a strong linear relationship between SERS intensities and the logarithmic concentration (R2 &amp; GE; 0.97). Moreover, under simulated sunlight irradiation, the Ni(OH)2/Ag composites efficiently degraded MB and CIP molecules within a short period of 120 min for MB and 130 min for CIP. This demonstrated their practical reusability, as evidenced by their consistent performance over five cycles of SERS sensing. These findings underscore the significant potential of these composites for SERS-based detection of trace pollutants and ecological restoration through photocatalytic reactions in the future.</t>
  </si>
  <si>
    <t>[Wen, Xiaojun; Cheng, Huan; Zhang, Weilong; Li, Jumei] Wuhan Inst Technol, Sch Chem &amp; Environm Engn, Key Lab Novel Biomass based Environm &amp; Energy Mat, Wuhan 430205, Peoples R China; [You, Lijun] Fuzhou Univ, Coll Biol Sci &amp; Engn, Fuzhou 350116, Peoples R China</t>
  </si>
  <si>
    <t>Wuhan Institute of Technology; Fuzhou University</t>
  </si>
  <si>
    <t>Li, JM (corresponding author), Wuhan Inst Technol, Sch Chem &amp; Environm Engn, Key Lab Novel Biomass based Environm &amp; Energy Mat, Wuhan 430205, Peoples R China.</t>
  </si>
  <si>
    <t>jumeili2006@163.com</t>
  </si>
  <si>
    <t>li, jumei/0000-0001-9914-3957</t>
  </si>
  <si>
    <t>National Natural Science Foundation of China [21976142, 51601080]; Innovative Team Program of Natural Science Foundation of Hubei Province [2021CFA032]; Innovation Project of Key Laboratory of Novel Biomass-based Environmental and Energy Materials in Petroleum and Chemical Industry [2022BEEA03]; Graduate Innovative Fund of Wuhan Institute of Technology, China [CX2022421]</t>
  </si>
  <si>
    <t>National Natural Science Foundation of China(National Natural Science Foundation of China (NSFC)); Innovative Team Program of Natural Science Foundation of Hubei Province; Innovation Project of Key Laboratory of Novel Biomass-based Environmental and Energy Materials in Petroleum and Chemical Industry; Graduate Innovative Fund of Wuhan Institute of Technology, China</t>
  </si>
  <si>
    <t>The authors acknowledge the financial support from the National Natural Science Foundation of China (21976142, 51601080) , the Innovative Team Program of Natural Science Foundation of Hubei Province (2021CFA032) , the Innovation Project of Key Laboratory of Novel Biomass-based Environmental and Energy Materials in Petroleum and Chemical Industry (2022BEEA03) and Graduate Innovative Fund of Wuhan Institute of Technology (CX2022421) , China.</t>
  </si>
  <si>
    <t>10.1016/j.talanta.2023.125140</t>
  </si>
  <si>
    <t>S5ZP6</t>
  </si>
  <si>
    <t>WOS:001071947800001</t>
  </si>
  <si>
    <t>Wu, G; Hu, L; Mao, XL; Xing, YH; Wang, F</t>
  </si>
  <si>
    <t>Wu, Gang; Hu, Liang; Mao, Xuelin; Xing, Yongheng; Wang, Feng</t>
  </si>
  <si>
    <t>A data fusion framework based on heterogeneous information network embedding for trigger-action programming in IoT</t>
  </si>
  <si>
    <t>Internet of Things; Trigger-action programming; Heterogeneous information network; embedding; Artificial Intelligence of Things</t>
  </si>
  <si>
    <t>Trigger-action programming (TAP) in the Internet of Things (IoT) enables users to easily customize the desired behaviors of connected entities, such as smart devices and online services, by creating trigger-action rules, also known as recipes. An example of such a rule is If Sunset, Then Turn on lights. As potential trigger-action combinations grow exponentially, there has been significant interest in automatically generating recipes based on users' natural language instead of relying on manual creation. In this article, we present TAPFuser, an IoT data fusion framework designed to encode natural language and recipes, aiming to map human demand and recipes using a heterogeneous information network (HIN) embedding approach. Firstly, we divide TAP data into machine and human levels based on their sources. We then model these two levels of data as an IoT-HIN and employ HIN embedding techniques to learn vector representations of nodes, which is beneficial for recipe recommendation. To enhance the adaptive capabilities of TAPFuser, we propose a specific metagraph-guided random walk method that captures the level-aware heterogeneity of the IoT-HIN. Finally, we formulate the mapping between natural language generated by the human level and recipes generated by the machine level as a multi-label classification problem, where each node represents a natural language description, and the label corresponds to the category of the entity included in the recipe. We conducted multi-label classification experiments using the IFTTT dataset, and the results demonstrate the effectiveness of our proposed framework.</t>
  </si>
  <si>
    <t>Jilin Univ, Coll Comp Sci &amp; Technol, Minist Educ, Changchun 130012, Peoples R China; Jilin Univ, Engn Res Ctr Network Technol &amp; Applicat Software, Minist Educ, Changchun 130012, Peoples R China</t>
  </si>
  <si>
    <t>Jilin University; Jilin University</t>
  </si>
  <si>
    <t>Wang, F (corresponding author), 2699 Qianjin St, Changchun, Peoples R China.</t>
  </si>
  <si>
    <t>wugang17@mails.jlu.edu.cn; hul@jlu.edu.cn; maoxl18@mails.jlu.edu.cn; xingyh18@mails.jlu.edu.cn; wangfeng12@mails.jlu.edu.cn</t>
  </si>
  <si>
    <t>Wang, Feng/0000-0002-0732-7343</t>
  </si>
  <si>
    <t>Science and Technology Development Plan of Jilin Province of China [2017YFA0604500]; National Key Ramp;D Plan of China [2019FGWTZC001]; Project of Jilin Province Development and Reform Commission, China; [20220101115JC]</t>
  </si>
  <si>
    <t>Science and Technology Development Plan of Jilin Province of China; National Key Ramp;D Plan of China; Project of Jilin Province Development and Reform Commission, China;</t>
  </si>
  <si>
    <t>This work is funded by the Science and Technology Development Plan of Jilin Province of China under Grant 20220101115JC, National Key R &amp; D Plan of China under Grant No. 2017YFA0604500, and by Project of Jilin Province Development and Reform Commission, China No. 2019FGWTZC001.</t>
  </si>
  <si>
    <t>10.1016/j.eswa.2023.121065</t>
  </si>
  <si>
    <t>Q6VI6</t>
  </si>
  <si>
    <t>WOS:001058878100001</t>
  </si>
  <si>
    <t>Xiao, JL; Xia, YH</t>
  </si>
  <si>
    <t>Xiao, Jianglong; Xia, Yonghui</t>
  </si>
  <si>
    <t>Spatiotemporal dynamics in a diffusive predator-prey model with multiple Allee effect and herd behavior</t>
  </si>
  <si>
    <t>Turing instability; Hopf bifurcation; Steady state bifurcation; Multiple Allee effect; Herd behavior; Predator-prey</t>
  </si>
  <si>
    <t>TURING-HOPF BIFURCATION; PATTERN-FORMATION; PACK SIZE; SYSTEM; INSTABILITY</t>
  </si>
  <si>
    <t>In this paper, we investigated a diffusive predator-prey model with multiple Allee effect, herd behavior. Moreover, we consider the quadratic mortality on predator species. We found that the dynamics of system near the positive equilibria is quite rich. We are more concerned with the spatial dynamics near the positive equilibrium. The necessary conditions for Turing instability occurring are obtained. And the stability and direction of Hopf and steady state bifurcations are explored by using the normal form method. Furthermore, some numerical simulations are presented to support our theoretical analysis. We found that Allee effect does not alter the local stability of the boundary equilibrium and the transcritical bifurcation occurs at the highest intensity of Allee effect. The biomass conversion rate does affect the stability of the system and the occurrence of Turing instability. This indicates that the biomass conversion rate is essentially significant for the predator-prey system, and we can control the biological conversion rate to achieve the coexistence of the predator and prey. Finally, we summarize our findings in the conclusion.&amp; COPY; 2023 Elsevier Inc. All rights reserved.</t>
  </si>
  <si>
    <t>[Xiao, Jianglong; Xia, Yonghui] Zhejiang Normal Univ, Sch Math Sci, Jinhua 321004, Peoples R China</t>
  </si>
  <si>
    <t>Zhejiang Normal University</t>
  </si>
  <si>
    <t>Xia, YH (corresponding author), Zhejiang Normal Univ, Sch Math Sci, Jinhua 321004, Peoples R China.</t>
  </si>
  <si>
    <t>jianglongxiao@zjnu.edu.cn; yhxia@zjnu.cn</t>
  </si>
  <si>
    <t>National Natural Science Foundation of China [11671176, 11931016]</t>
  </si>
  <si>
    <t>We acknowledge the support from the National Natural Science Foundation of China (No. 11671176 and 11931016) .</t>
  </si>
  <si>
    <t>10.1016/j.jmaa.2023.127569</t>
  </si>
  <si>
    <t>O6UR5</t>
  </si>
  <si>
    <t>WOS:001045139700001</t>
  </si>
  <si>
    <t>Xu, CL; Wang, WD; Zhang, Z; Jiang, DP; Strzep, A; Zheng, WX; Xu, B; Kou, HM; Xu, J; Su, LB; Ma, FK</t>
  </si>
  <si>
    <t>Xu, Chonglei; Wang, Wudi; Zhang, Zhen; Jiang, Dapeng; Strzep, Adam; Zheng, Wanxin; Xu, Bin; Kou, Huamin; Xu, Jun; Su, Liangbi; Ma, Fengkai</t>
  </si>
  <si>
    <t>Continuous-wave orange laser at 605.98 nm based on a diode-pumped Pr, Gd:SrF2 crystal</t>
  </si>
  <si>
    <t>Visible laser; Spectral properties; Pr3+</t>
  </si>
  <si>
    <t>JUDD-OFELT ANALYSIS; STIMULATED-EMISSION; VISIBLE LASER; SPECTROSCOPY; OPERATION; SRF2; RED; ABSORPTION; IONS; CAF2</t>
  </si>
  <si>
    <t>Orange laser source at 605.98 nm corresponding to 3H4 &amp; RARR; 1D2 optical transition of the Pr3+ ions in Pr:Y2SiO5 crystal is very crucial for quantum information experiments, which was only provided by dye laser in previos experiments. Although optical parametric oscillators (OPOs) or frequency doubling may be utilized in these years, high-power laser diodes are not yet accessible at this wavelength, and neither have appropriate output powers nor frequency stability. In this work, Pr:SrF2 and Pr,Gd:SrF2 single crystals were grown by TGT method and the spectroscopic investigation was carried out systematically. By co-doping Gd3+ ions into Pr:SrF2 single crystal, the intensity of orange emission at about 606 nm is strengthened while the red emission is suppressed. The first demonstration of all-solid-state continuous-wave orange laser at this specific wavelength was first re-ported in Pr3+ doped SrF2 crystal, to the best of our knowledge. Moreover, by using an un-doped YAG etalon for wavelength tuning, the orange emission of Pr,Gd:SrF2 laser showed certain wavelength tunability, which in-dicates Pr,Gd:SrF2 crystal could be promising for generation of ultrashort pulse laser in visible region.</t>
  </si>
  <si>
    <t>[Xu, Chonglei; Zhang, Zhen; Jiang, Dapeng; Kou, Huamin; Su, Liangbi] Chinese Acad Sci, Shanghai Inst Ceram, State Key Lab High Performance Ceram &amp; Superfine M, Shanghai 201899, Peoples R China; [Xu, Chonglei; Zhang, Zhen; Jiang, Dapeng; Kou, Huamin; Su, Liangbi] Univ Chinese Acad Sci, Ctr Mat Sci &amp; Optoelect Engn, Beijing 100049, Peoples R China; [Zheng, Wanxin; Xu, Bin] Xiamen Univ, Sch Elect Sci &amp; Engn, Xiamen 361005, Peoples R China; [Wang, Wudi; Xu, Jun] Tongji Univ, Inst Adv Study, Sch Phys Sci &amp; Engn, Shanghai 200092, Peoples R China; [Ma, Fengkai] Jinan Univ, Dept Optoelect Engn, Guangzhou 510632, Peoples R China; [Strzep, Adam] Polish Acad Sci, Inst Low Temp &amp; Struct Res, Okolna 2, PL-50433 Wroclaw, Poland</t>
  </si>
  <si>
    <t>Chinese Academy of Sciences; Shanghai Institute of Ceramics, CAS; Chinese Academy of Sciences; University of Chinese Academy of Sciences, CAS; Xiamen University; Tongji University; Jinan University; Polish Academy of Sciences; Institute of Low Temperature &amp; Structure Research</t>
  </si>
  <si>
    <t>Su, LB (corresponding author), Chinese Acad Sci, Shanghai Inst Ceram, State Key Lab High Performance Ceram &amp; Superfine M, Shanghai 201899, Peoples R China.;Su, LB (corresponding author), Univ Chinese Acad Sci, Ctr Mat Sci &amp; Optoelect Engn, Beijing 100049, Peoples R China.;Xu, B (corresponding author), Xiamen Univ, Sch Elect Sci &amp; Engn, Xiamen 361005, Peoples R China.</t>
  </si>
  <si>
    <t>xubin@xmu.edu.cn; suliangbi@mail.sic.ac.cn</t>
  </si>
  <si>
    <t>National Key Research and Development Program of China [2022YFB3605702]; National Natural Science Foundation of China [61925508, 62005302, 62275224]; Science and Technology Commission of Shanghai Municipality [20501110300, 20520750200]; CAS Project for Young Scientists in Basic Research [YSBR-024]; International Partnership Program of Chinese Academy of Sciences [121631KYSB20200039]</t>
  </si>
  <si>
    <t>National Key Research and Development Program of China; National Natural Science Foundation of China(National Natural Science Foundation of China (NSFC)); Science and Technology Commission of Shanghai Municipality(Science &amp; Technology Commission of Shanghai Municipality (STCSM)); CAS Project for Young Scientists in Basic Research; International Partnership Program of Chinese Academy of Sciences</t>
  </si>
  <si>
    <t>This work has been financially supported by the National Key Research and Development Program of China (2022YFB3605702) , National Natural Science Foundation of China (61925508, 62005302, 62275224) , Science and Technology Commission of Shanghai Municipality (20501110300, 20520750200) . This work was also supported by CAS Project for Young Scientists in Basic Research (YSBR-024) and International Partnership Program of Chinese Academy of Sciences (121631KYSB20200039) .</t>
  </si>
  <si>
    <t>10.1016/j.optlastec.2023.109768</t>
  </si>
  <si>
    <t>R7DU6</t>
  </si>
  <si>
    <t>WOS:001065929900001</t>
  </si>
  <si>
    <t>Yang, J; Guo, SQ; Zeng, XF; Bai, WD; Sun, BG; Zhang, YY</t>
  </si>
  <si>
    <t>Yang, Juan; Guo, Siqi; Zeng, Xiaofang; Bai, Weidong; Sun, Baoguo; Zhang, Yuyu</t>
  </si>
  <si>
    <t>Synthesis of taste active gamma-glutamyl peptides with pea protein hydrolysate and their taste mechanism via in silico study</t>
  </si>
  <si>
    <t>BITTER TASTE; BACILLUS-AMYLOLIQUEFACIENS; ENZYMATIC-SYNTHESIS; AMINO-ACIDS; KOKUMI; IDENTIFICATION; GLUTAMINASE</t>
  </si>
  <si>
    <t>Pea (Pisum sativum L.) protein hydrolysate (PPH) has a bitter taste, which has limited its use in food industry..-Glutamylation is used to debitter PPH. Results showed that the bitterness of PPH was decreased significantly due to the formation of.-glutamyl peptides, including 16 gamma-[Glu]( n=1/2)-amino acids (AAs) and 8 newly discovered.-glutamyl tripeptides (gamma-Glu-Asn-Phe,gamma-Glu-Leu-Val,gamma-Glu-Leu-Tyr,gamma-Glu-Gly-Leu,gamma-Glu-Gly-Phe,gamma-Glu-Gly-Tyr,gamma-Glu-Val-Val, and gamma-Glu-Gln-Tyr). Their total production concentrations were 27.25 mu mol/L and 77.76 mu mol/L, respectively. The.-Glu-AA-AAs presented an umami-enhancing, salty-enhancing, and kokumi taste when their concentration reached 1.67 +/- 0.20 similar to 2.07 +/- 0.20, 1.65 +/- 0.25 similar to 2.29 +/- 0.45 and 0.68 +/- 0.19 similar to 1.03 +/- 0.22 mmol/L, respectively. The.-Glu-AA-AAs exhibited a kokumi taste by entering the Venus flytrap (VFT) of the calcium-sensing receptor and interacting with Ser147, Ala168, and Ser170.gamma-Glu-AA-AAs can enhance the umaminess of Monosodium Glutamate (MSG) as they can enter the binding pocket of the taste receptor type 1 subunit 3 (T1R3)-MSG complex.</t>
  </si>
  <si>
    <t>[Yang, Juan; Guo, Siqi; Zeng, Xiaofang; Bai, Weidong] Zhongkai Univ Agr &amp; Engn, Acad Contemporary Agr Engn Innovat, Coll Light Ind &amp; Food Sci, Guangdong Prov Key Lab Lingnan Specialty Food Sci, Guangzhou 510225, Peoples R China; [Yang, Juan; Sun, Baoguo; Zhang, Yuyu] Beijing Technol &amp; Business Univ, Key Lab Geriatr Nutr &amp; Hlth, Minist Educ, Beijing 100048, Peoples R China</t>
  </si>
  <si>
    <t>Zhongkai University of Agriculture &amp; Engineering; Beijing Technology &amp; Business University</t>
  </si>
  <si>
    <t>Bai, WD (corresponding author), Zhongkai Univ Agr &amp; Engn, Acad Contemporary Agr Engn Innovat, Coll Light Ind &amp; Food Sci, Guangdong Prov Key Lab Lingnan Specialty Food Sci, Guangzhou 510225, Peoples R China.;Zhang, YY (corresponding author), Beijing Technol &amp; Business Univ, Key Lab Geriatr Nutr &amp; Hlth, Minist Educ, Beijing 100048, Peoples R China.</t>
  </si>
  <si>
    <t>whitebai2001@163.com; zhangyuyu@btbu.edu.cn</t>
  </si>
  <si>
    <t>Guangdong Basic and Applied Basic Research Foundation [BJJWZYJH01201910011025]; Beijing Outstanding Young Scientist Program; [2023A1515010934]</t>
  </si>
  <si>
    <t>Guangdong Basic and Applied Basic Research Foundation; Beijing Outstanding Young Scientist Program;</t>
  </si>
  <si>
    <t>Acknowledgments The authors are grateful for the financial support by the Guangdong Basic and Applied Basic Research Foundation [2023A1515010934] , and the Beijing Outstanding Young Scientist Program (BJJWZYJH01201910011025) .</t>
  </si>
  <si>
    <t>10.1016/j.foodchem.2023.136988</t>
  </si>
  <si>
    <t>P9BV4</t>
  </si>
  <si>
    <t>WOS:001053564000001</t>
  </si>
  <si>
    <t>Yu, RM; Yu, HS; Sun, W; Akhtar, N</t>
  </si>
  <si>
    <t>Yu, Ruiming; Yu, Hongshan; Sun, Wei; Akhtar, Naveed</t>
  </si>
  <si>
    <t>Color phase order coding and interleaved phase unwrapping for three-dimensional shape measurement with few projected pattern</t>
  </si>
  <si>
    <t>3D shape measurement; Phase jump error; Phase order error; Color phase order coding; Interleaved phase unwrapping</t>
  </si>
  <si>
    <t>DIGITAL FRINGE PROJECTION; GRAY-CODE; FOURIER-TRANSFORM; PROFILOMETRY; COMPENSATION; ALGORITHM; FREQUENCY; ROBUST</t>
  </si>
  <si>
    <t>Fringe projection profilometry (FPP) is widely used in 3D measurement of static scenes due to its high precision and contactless. Phase unwrapping is the key step of FPP, which converts wrapped phase into the absolute phase. However, the traditional temporal phase unwrapping (TPU) faces the limitation of a large number of projections and produces periodic errors, which affects the speed and accuracy of the 3D measurement. To address that, we propose a color phase order coding (CPOC) and an interleaved phase unwrapping method (IPU). Firstly, the proposed CPOC method can globally encode 36 periodic stripes using only two patterns, which considerably improves the coding efficiency. Subsequently, an IPU method is proposed to bypass the adverse effects of edge errors. Using the initial wrapped phase, additional three wrapped phases can be constructed, and the phase unwrapping region can be delineated by locating the jump edges of the four wrapped phases followed by phase unwrapping. Since the unstable jump region of the wrapped phase and the incorrect phase order information is not utilized in our approach, the effects of phase order and wrapped phase jump errors are avoided. Experimental results show that our method considerably reduces the number of projected stripes without affecting the measurement accuracy as compared to the conventional TPU method. The results also ascertain the versatility and robustness of the proposed method in complex measurement environments.</t>
  </si>
  <si>
    <t>[Yu, Ruiming; Yu, Hongshan; Sun, Wei] Hunan Univ, Quanzhou Inst Ind Design &amp; Machine Intelligence In, Coll Elect &amp; Informat Engn, Natl Engn Lab Robot Visual Percept &amp; Control Techn, Changsha, Peoples R China; [Akhtar, Naveed] Univ Western Australia, Comp Sci &amp; Software Engn, Perth, WA 2720, Australia</t>
  </si>
  <si>
    <t>Hunan University; University of Western Australia</t>
  </si>
  <si>
    <t>Yu, HS (corresponding author), Hunan Univ, Quanzhou Inst Ind Design &amp; Machine Intelligence In, Coll Elect &amp; Informat Engn, Natl Engn Lab Robot Visual Percept &amp; Control Techn, Changsha, Peoples R China.</t>
  </si>
  <si>
    <t>yuhongshancn@hotmail.com</t>
  </si>
  <si>
    <t>NSFC [61973106, U1913202, 2021JJ10024]; Natural Science Fund of Hunan Province [2022JJ40100, 2021C062L]; Project of Talent Innovation and Sharing Alliance of Quanzhou City [2022GK2014]; Key Research and Development Project of Science and the Technology Plan of Hunan Province; [U2013203]</t>
  </si>
  <si>
    <t>NSFC(National Natural Science Foundation of China (NSFC)); Natural Science Fund of Hunan Province; Project of Talent Innovation and Sharing Alliance of Quanzhou City; Key Research and Development Project of Science and the Technology Plan of Hunan Province;</t>
  </si>
  <si>
    <t>This work was supported by the NSFC (U2013203, 61973106, U1913202) ; the Natural Science Fund of Hunan Province (2021JJ10024, 2022JJ40100) ; the Project of Talent Innovation and Sharing Alliance of Quanzhou City under Grant 2021C062L; the Key Research and Development Project of Science and the Technology Plan of Hunan Province under Grant 2022GK2014.</t>
  </si>
  <si>
    <t>10.1016/j.optlastec.2023.109842</t>
  </si>
  <si>
    <t>Q1CV1</t>
  </si>
  <si>
    <t>WOS:001054973400001</t>
  </si>
  <si>
    <t>Zhang, CH; Wu, T; He, S; Zhang, CY; Fu, B</t>
  </si>
  <si>
    <t>Zhang, Chenghong; Wu, Tong; He, Shi; Zhang, Congyu; Fu, Bo</t>
  </si>
  <si>
    <t>Multiplexed dual combs in a bidirectional nanotube-mode-locked fiber laser</t>
  </si>
  <si>
    <t>Mode-locking; Fiber laser; Dual-comb; Single-cavity</t>
  </si>
  <si>
    <t>SPECTROSCOPY</t>
  </si>
  <si>
    <t>Dual-comb systems generated from a single cavity are compelling options for scientific and technical applications, owing to the naturally high coherence in the same cavity. We reported on a multiplexed dual-comb system in a bidirectional mode-locked fiber laser based on carbon nanotubes. A pair of frequency combs with different repetition rates in opposite directions was achieved at the 1.5-&amp; mu;m band simultaneously, composing a single-cavity dual-comb system. The repetition rate was 9.99 MHz and the repetition rate difference was tunable from 9 to 24 Hz. The overlapped spectra of two combs enabled simple dual-comb spectroscopy, where the spectrum with wide bandwidth up to 8 nm was mapped to the frequency domain of interferograms without correction or post-signal process. The multiplexed dual-comb system was realized by increasing the pump power and tuning the polarization state. The two beat notes generated in one interference period could both map spectral information. Such kind of multiplexed dual-comb system offers a novel tool for studying the spectral evolution of solitons and optimizing channel-multiplexed applications.</t>
  </si>
  <si>
    <t>[Zhang, Chenghong; Wu, Tong; He, Shi; Zhang, Congyu; Fu, Bo] Beihang Univ, Sch Instrumentat &amp; Optoelect Engn, Beijing 100191, Peoples R China; [Fu, Bo] Beihang Univ, Sch Engn Med, Key Lab Big Data Based Precis Med, Minist Ind &amp; Informat Technol, Beijing 100191, Peoples R China</t>
  </si>
  <si>
    <t>Beihang University; Beihang University</t>
  </si>
  <si>
    <t>Fu, B (corresponding author), Beihang Univ, Sch Instrumentat &amp; Optoelect Engn, Beijing 100191, Peoples R China.</t>
  </si>
  <si>
    <t>fubo10@buaa.edu.cn</t>
  </si>
  <si>
    <t>Fu, Bo/0000-0003-1409-2666</t>
  </si>
  <si>
    <t>National Natural Science Foun-dation of China; College Students' Innovative En-trepreneurial Training Plan Program; Fundamental Research Funds for the Central Universities; [62071016]</t>
  </si>
  <si>
    <t>National Natural Science Foun-dation of China(National Natural Science Foundation of China (NSFC)); College Students' Innovative En-trepreneurial Training Plan Program; Fundamental Research Funds for the Central Universities(Fundamental Research Funds for the Central Universities);</t>
  </si>
  <si>
    <t>This work was supported by the National Natural Science Foun-dation of China (grant 62071016) , College Students' Innovative En-trepreneurial Training Plan Program, and the Fundamental Research Funds for the Central Universities.</t>
  </si>
  <si>
    <t>10.1016/j.optlastec.2023.109865</t>
  </si>
  <si>
    <t>P9PW3</t>
  </si>
  <si>
    <t>WOS:001053936100001</t>
  </si>
  <si>
    <t>Zhu, HR; Lei, Y; Yu, PF; Li, CX; Yao, B; Yang, S; Lu, YD; Peng, HP</t>
  </si>
  <si>
    <t>Zhu, Haoran; Lei, Yun; Yu, Pengfei; Li, Chuanxian; Yao, Bo; Yang, Shuang; Lu, Yingda; Peng, Haoping</t>
  </si>
  <si>
    <t>Novel high-precision wax molecular diffusion coefficient correlation based on the diffusion laboratory apparatus coupled with differential scanning calorimeter</t>
  </si>
  <si>
    <t>Wax molecules; Diffusion coefficient; Correlation; Laboratory apparatus; Differential scanning calorimeter</t>
  </si>
  <si>
    <t>DEPOSITION CHARACTERISTICS; SOLIDS DEPOSITION; COLD FLOW; MIXTURES; OIL; PIPELINES; ANALOGY; SINGLE; MODEL</t>
  </si>
  <si>
    <t>Wax molecular diffusion coefficient is a crucial factor determining the wax deposition rate of waxy crude oil, but the calculation accuracy of the traditional Hayduk-Minhas and Wilke-Chang relations is unclear. The Couette wax deposition experiments of Changqing crude oil under different operating conditions (oil temperature, wall temperature, rotation speed and deposition duration) were carry out and find the traditional Hayduk-Minhas relationship will underestimate the wax molecular diffusion coefficient. To increase the calculation accuracy of wax molecular diffusion coefficient, a newly-developed diffusion laboratory apparatus coupled with the Differential Scanning Calorimeter (DSC) were utilized to evaluate the diffusion coefficient of C16, C18, C20, C22, C24 in n-alkane solutions at different temperatures (10, 15, 20, 25, 30,35, and 40 degrees C). Based on the experimental results, a novel high-precision correlation was put forward and the calculated results are in good agreement with the experimental results, the average relative error is within 3.0 %. The applied solvent of the n-alkane solutions is mineral oil and it has a complex composition. Therefore, the developed correlation can be used to evaluate the wax molecular diffusion coefficient in the real crude oil. The application of the new relationship will lead to more accurate wax deposition calculations.</t>
  </si>
  <si>
    <t>[Zhu, Haoran; Lei, Yun; Yu, Pengfei; Peng, Haoping] Changzhou Univ, Jiangsu Key Lab Oil &amp; Gas Storage &amp; Transportat Te, Changzhou 213164, Jiangsu, Peoples R China; [Li, Chuanxian; Yao, Bo] China Univ Petr, Coll Pipeline &amp; Civil Engn, Qingdao 266580, Shandong, Peoples R China; [Yang, Shuang] Xian Shiyou Univ, Coll Petr Engn, Xian 710065, Shanxi, Peoples R China; [Lu, Yingda] Univ Texas Austin, Dept Petr &amp; Geosyst Engn, Austin, TX 78712 USA</t>
  </si>
  <si>
    <t>Changzhou University; China University of Petroleum; Xi'an Shiyou University; University of Texas System; University of Texas Austin</t>
  </si>
  <si>
    <t>Yu, PF (corresponding author), Changzhou Univ, Jiangsu Key Lab Oil &amp; Gas Storage &amp; Transportat Te, Changzhou 213164, Jiangsu, Peoples R China.;Yao, B (corresponding author), China Univ Petr, Coll Pipeline &amp; Civil Engn, Qingdao 266580, Shandong, Peoples R China.</t>
  </si>
  <si>
    <t>yupengfei@cczu.edu.cn; ybcy2013@sina.com</t>
  </si>
  <si>
    <t>Lu, Yingda/0000-0002-7469-117X; Zhu, Haoran/0009-0003-4036-5135</t>
  </si>
  <si>
    <t>National Natural Science Foundation of China [52174057]; Jiangsu Key Laboratory of Oil-gas Storage and Transportation Technology [CDYQCY202305]; Science and Technology Project of Changzhou City [CJ20210136]</t>
  </si>
  <si>
    <t>National Natural Science Foundation of China(National Natural Science Foundation of China (NSFC)); Jiangsu Key Laboratory of Oil-gas Storage and Transportation Technology; Science and Technology Project of Changzhou City</t>
  </si>
  <si>
    <t>The authors thank the financial support from the National Natural Science Foundation of China (Grant No. 52174057) , Jiangsu Key Laboratory of Oil-gas Storage and Transportation Technology (CDYQCY202305) and Science and Technology Project of Changzhou City (Grant No. CJ20210136) .</t>
  </si>
  <si>
    <t>10.1016/j.fuel.2023.129452</t>
  </si>
  <si>
    <t>R0WS4</t>
  </si>
  <si>
    <t>WOS:001061638400001</t>
  </si>
  <si>
    <t>Idrissi, MJ; Alami, H; El Mahdaouy, A; El Mekki, A; Oualil, S; Yartaoui, Z; Berrada, I</t>
  </si>
  <si>
    <t>Idrissi, Meryem Janati; Alami, Hamza; El Mahdaouy, Abdelkader; El Mekki, Abdellah; Oualil, Soufiane; Yartaoui, Zakaria; Berrada, Ismail</t>
  </si>
  <si>
    <t>Fed-ANIDS: Federated learning for anomaly-based network intrusion detection systems</t>
  </si>
  <si>
    <t>Network security and privacy; Federated learning; Network intrusion detection; Anomaly detection; Autoencoders</t>
  </si>
  <si>
    <t>As computer networks and interconnected systems continue to gain widespread adoption, ensuring cybersecu-rity has become a prominent concern for organizations, regardless of their scale or size. Meanwhile, centralized machine learning-based Anomaly Detection (AD) methods have shown promising results in improving the accuracy and efficiency of Network Intrusion Detection Systems (NIDS). However, new challenges arise such as privacy concerns and regulatory restrictions that must be tackled. Federated Learning (FL) has emerged as a solution that allows distributed clients to collaboratively train a shared model while preserving the privacy of their local data. In this paper, we propose Fed-ANIDS, a NIDS that leverages AD and FL to address the privacy concerns associated with centralized models. To detect intrusions, we compute an intrusion score based on the reconstruction error of normal traffic using various AD models, including simple autoencoders, variational autoencoders, and adversarial autoencoders. We thoroughly evaluate Fed-ANIDS using various settings and popular datasets, including USTC-TFC2016, CIC-IDS2017, and CSE-CIC-IDS2018. The proposed method demonstrates its effectiveness by achieving high performance in terms of different metrics while preserving the data privacy of distributed clients. Our findings highlight that autoencoder-based models outperform other generative adversarial network-based models, achieving high detection accuracy coupled with fewer false alarms. In addition, the FL framework (FedProx), which is a generalization and re-parametrization of the standard method for FL (FedAvg), achieves better results. The code is available at</t>
  </si>
  <si>
    <t>[Idrissi, Meryem Janati; Alami, Hamza; El Mekki, Abdellah; Berrada, Ismail] Mohammed VI Polytech Univ, Sch Comp Sci, Ben Guerir 43150, Morocco; [El Mahdaouy, Abdelkader; Oualil, Soufiane; Yartaoui, Zakaria] Mohammed VI Polytech Univ, Modeling Simulat &amp; Data Anal, Ben Guerir 43150, Morocco; [Yartaoui, Zakaria] Natl Moroccan Comp Emergency Response Team MaCert, Rabat, Morocco</t>
  </si>
  <si>
    <t>Mohammed VI Polytechnic University; Mohammed VI Polytechnic University</t>
  </si>
  <si>
    <t>Idrissi, MJ (corresponding author), Mohammed VI Polytech Univ, Sch Comp Sci, Ben Guerir 43150, Morocco.</t>
  </si>
  <si>
    <t>Meryem.Janati@um6p.ma; hamza.alami@um6p.ma; abdelkader.mahdaouy@um6p.ma; abdelkader.mahdaouy@um6p.ma; soufiane.oualil@um6p.ma; zakaria.yartaoui@um6p.ma; ismail.berrada@um6p.ma</t>
  </si>
  <si>
    <t>Janati Idrissi, Meryem/JAH-6014-2023</t>
  </si>
  <si>
    <t>Janati Idrissi, Meryem/0009-0004-8066-5439; EL MAHDAOUY, Abdelkader/0000-0003-4281-2472</t>
  </si>
  <si>
    <t>DEC 30</t>
  </si>
  <si>
    <t>10.1016/j.eswa.2023.121000</t>
  </si>
  <si>
    <t>P6JM7</t>
  </si>
  <si>
    <t>WOS:001051719400001</t>
  </si>
  <si>
    <t>Li, J; Zhang, XB; Ma, B; Qin, C; Wang, CP</t>
  </si>
  <si>
    <t>Li, Jian; Zhang, Xiaobo; Ma, Bin; Qin, Chuan; Wang, Chunpeng</t>
  </si>
  <si>
    <t>Reversible PRNU anonymity for device privacy protection based on data hiding</t>
  </si>
  <si>
    <t>Photo Response Non-Uniformity (PRNU); Device anonymization; Integer wavelet transform (IWT); Biometric recognition; Reversible data hiding (RDH)</t>
  </si>
  <si>
    <t>IDENTIFICATION; VIDEO; IRIS</t>
  </si>
  <si>
    <t>In this paper, we propose a method of protecting a device from being identified with the images captured by it. This method can suppress the device-related fingerprint, i.e., PRNU, in an image via modifying it in the domain of integer wavelet transform. In addition, we embed the suppressed PRNU into the image using reversible data hiding to achieve a perfect recovery of the original image. This is beneficial to solve the problems of device privacy leakage and terminal server identity authentication. Extensive experiments on MICHE-I and VISION datasets show that the proposed method makes up for the shortcomings of existing techniques and has strong scalability.</t>
  </si>
  <si>
    <t>[Li, Jian; Zhang, Xiaobo; Ma, Bin; Wang, Chunpeng] Qilu Univ Technol, Shandong Comp Sci Ctr, Key Lab Comp Power Network &amp; Informat Secur, Minist Educ,Natl Supercomp Ctr Jinan,Shandong Acad, Jinan, Peoples R China; [Li, Jian; Ma, Bin; Wang, Chunpeng] Shandong Fundamental Res Ctr Comp Sci, Shandong Prov Key Lab Comp Networks, Jinan, Peoples R China; [Qin, Chuan] Univ Shanghai Sci &amp; Technol, Sch Opt Elect &amp; Comp Engn, Shanghai 200093, Peoples R China; [Zhang, Xiaobo] Shandong Univ, Sch Qilu Transportat, Jinan 250002, Shandong, Peoples R China</t>
  </si>
  <si>
    <t>Qilu University of Technology; University of Shanghai for Science &amp; Technology; Shandong University</t>
  </si>
  <si>
    <t>Ma, B (corresponding author), Qilu Univ Technol, Shandong Comp Sci Ctr, Key Lab Comp Power Network &amp; Informat Secur, Minist Educ,Natl Supercomp Ctr Jinan,Shandong Acad, Jinan, Peoples R China.;Ma, B (corresponding author), Shandong Fundamental Res Ctr Comp Sci, Shandong Prov Key Lab Comp Networks, Jinan, Peoples R China.</t>
  </si>
  <si>
    <t>Ljian_20@163.com; 1799142812@qq.com; sddxmb@126.com; qin@usst.edu.cn; mpeng1122@163.com</t>
  </si>
  <si>
    <t>Qin, Chuan/0000-0002-0370-4623; Li, Jian/0000-0002-5182-2798</t>
  </si>
  <si>
    <t>Shandong Provincial Natural Science Foundation [ZR2023ME235, 62272255]; National Natural Science Foundation of China [2021YFC3340602]; National key research and development program of China [ZR2022LZH011]; Shandong Provincial Natural Science Foundation Innovation and Development Joint Fund [2022TSGC2485]; Ability Improvement Project of Science and Technology SMES in Shandong Province [2020GXRC056]; Project of Jinan Research Leader Studio [2020-K-142]; Ministry of Housing and Urban -Rural Development [2020B05]; Shandong Province Housing and Urban -Rural Construction Science and Technology Plan Project; Shandong Provincial Department of Transportation science and technology project [2022KJ124]; Project of Jinan Introducing Innovation Team [HZKY20220482]; Project of Jinan City-School Integration Development; Youth Innovation Team of Colleges and Universities in Shandong Province [2020-Z2-1]; Ministry of Education [JNSX2021030]; [ZR2020MF054]; [202228016]; [2019-S7-1]</t>
  </si>
  <si>
    <t>Shandong Provincial Natural Science Foundation(Natural Science Foundation of Shandong Province); National Natural Science Foundation of China(National Natural Science Foundation of China (NSFC)); National key research and development program of China; Shandong Provincial Natural Science Foundation Innovation and Development Joint Fund; Ability Improvement Project of Science and Technology SMES in Shandong Province; Project of Jinan Research Leader Studio; Ministry of Housing and Urban -Rural Development; Shandong Province Housing and Urban -Rural Construction Science and Technology Plan Project; Shandong Provincial Department of Transportation science and technology project; Project of Jinan Introducing Innovation Team; Project of Jinan City-School Integration Development; Youth Innovation Team of Colleges and Universities in Shandong Province; Ministry of Education; ; ;</t>
  </si>
  <si>
    <t>This work was partially supported by Shandong Provincial Natural Science Foundation (ZR2020MF054 and ZR2023ME235) ; National Natural Science Foundation of China (62272255) ; National key research and development program of China (2021YFC3340602) ; Shandong Provincial Natural Science Foundation Innovation and Development Joint Fund (ZR2022LZH011) ; Ability Improvement Project of Science and Technology SMES in Shandong Province (2022TSGC2485) ; Project of Jinan Research Leader Studio (2020GXRC056) ; Ministry of Housing and Urban -Rural Development (2020-K-142) ; Shandong Province Housing and Urban -Rural Construction Science and Technology Plan Project (2019-S7-1and 2020-Z2-1) ; Shandong Provincial Department of Transportation science and technology project (2020B05) ; Project of Jinan Introducing Innovation Team (202228016) ; Project of Jinan City-School Integration Development (JNSX2021030) ; Youth Innovation Team of Colleges and Universities in Shandong Province (2022KJ124) ; The Chunhui Plan  Cooperative Scientific Research Project of Ministry of Education (HZKY20220482) .</t>
  </si>
  <si>
    <t>10.1016/j.eswa.2023.121017</t>
  </si>
  <si>
    <t>Q7SU9</t>
  </si>
  <si>
    <t>WOS:001059493800001</t>
  </si>
  <si>
    <t>Men, J; Zhao, CM</t>
  </si>
  <si>
    <t>Men, Jinkun; Zhao, Chunmeng</t>
  </si>
  <si>
    <t>An adaptive imbalance modified online broad learning system-based fault diagnosis for imbalanced chemical process data stream</t>
  </si>
  <si>
    <t>Fault diagnosis; Imbalance chemical process data streams; Broad learning system</t>
  </si>
  <si>
    <t>CONVOLUTIONAL NEURAL-NETWORK; SMOTE; CLASSIFICATION; OPTIMIZATION; CHALLENGES; SETS</t>
  </si>
  <si>
    <t>Modern chemical process industry is becoming larger and more complicated to achieve a higher level of technical functionality. There is less tolerance for functional degeneration, productivity retrogression, and safety hazards, which significantly leads to an ever-increasing demand on detecting any potential faults as early as possible. In reality, chemical process data are continuous generated with imbalanced fault patterns, which leads to the fault diagnosis models failing to assign the same attention to minority fault patterns as the majority and further leads to the lack of generalization ability. In the present study, a novel adaptive imbalance modified online broad learning system (AIM-OBLS) is developed to promote fault diagnosis in the contexts of imbalanced chemical process data streams. The proposed AIM-OBLS is developed on a flat linear network, which can excavate potential information efficiently in an incremental manner. An adaptive imbalance modified method combined with the Niche technique, oversampling technique, and manifold regularization is presented for imbalanced data streams modification. The advantages of the proposed AIM-OBLS are demonstrated on two widely used industrial datasets. Experimental results indicate that AIM-OBLS can effectively deal with the imbalance chemical process data streams. The performance of AIM-OBLS is competitive in terms of both diagnosis accuracy and time consumption.</t>
  </si>
  <si>
    <t>[Men, Jinkun] South China Univ Technol, Sch Mech &amp; Automot Engn, Guangzhou 510640, Peoples R China; [Zhao, Chunmeng] South China Univ Technol, Sch Elect &amp; Informat Engn, Guangzhou 510640, Peoples R China</t>
  </si>
  <si>
    <t>South China University of Technology; South China University of Technology</t>
  </si>
  <si>
    <t>Men, J (corresponding author), South China Univ Technol, Sch Mech &amp; Automot Engn, Guangzhou 510640, Peoples R China.</t>
  </si>
  <si>
    <t>jinkunmen@126.com</t>
  </si>
  <si>
    <t>Men, JinKun/0000-0003-0146-0650; Zhao, Chunmeng/0009-0001-3673-2866</t>
  </si>
  <si>
    <t>China Scholarship Council [202206150061]</t>
  </si>
  <si>
    <t>China Scholarship Council(China Scholarship Council)</t>
  </si>
  <si>
    <t>This study was supported by the China Scholarship Council (202206150061).</t>
  </si>
  <si>
    <t>10.1016/j.eswa.2023.121159</t>
  </si>
  <si>
    <t>R0DX5</t>
  </si>
  <si>
    <t>WOS:001061141400001</t>
  </si>
  <si>
    <t>Nezhad, EH; Ebrahimi, R; Ghanbari, M</t>
  </si>
  <si>
    <t>Nezhad, Esmaeil Haddadian; Ebrahimi, Reza; Ghanbari, Mahmood</t>
  </si>
  <si>
    <t>Fuzzy Multi-objective allocation of photovoltaic energy resources in unbalanced network using improved manta ray foraging optimization algorithm</t>
  </si>
  <si>
    <t>Single-phase Photovoltaic Resources; Fuzzy Multi-objective Allocation; Fuzzy Decision Making Method; Inertia Weight Decreasing Strategy; Improved Manta Ray Foraging Optimization</t>
  </si>
  <si>
    <t>RENEWABLE DISTRIBUTED GENERATION; DISTRIBUTION-SYSTEM; OPTIMAL LOCATION; LOSS REDUCTION; POWER; PLACEMENT; WIND; RECONFIGURATION; INTEGRATION</t>
  </si>
  <si>
    <t>In this paper, multi-objective allocation of photovoltaic (PV) energy resources (MO-APVER) in unbalanced 33 -bus distribution network is performed widely with objective of minimizing energy losses, improving reliability and reducing the unbalanced voltage considering the variable load for a 24-hour period. The problem is defined as a multi-objective optimization model based on the fuzzy decision-making method (FDMM) and decision variables include the location and size of PV sources as well as the network phase number for single-phase PV distribution, which is optimally, determined using multi-objective improved manta ray foraging optimization (MOIMRFO) algorithm. The conventional MRFO is inspired with hunting behavior of the manta ray and its performance is improved in local and global exploration using an inertia weight decreasing strategy. The sim-ulations are performed in different cases of distributing the single-phase PVs on different phases of the network as constant phase, unplanned and optimal. The results show that the non-optimal and unplanned distribution of the PVs in the network phases has increased the voltage unbalance although reduced the energy losses and slightly improved the reliability, while the optimal case based on the MOIMRFO has significantly reduced the voltage unbalance in addition to reducing the energy losses and improving the reliability. Also, the MO-APVER compared to the single-objective (SO) has achieved a compromise between different objectives without any violation. Moreover, the superiority of the proposed optimization algorithm is confirmed in SO-and MO-APVER in achieving to the better values of the objectives in comparison with the conventional multi-objective MRFO, particle swarm optimization (PSO) and grey wolf optimizer (GWO) algorithms.</t>
  </si>
  <si>
    <t>[Nezhad, Esmaeil Haddadian; Ebrahimi, Reza; Ghanbari, Mahmood] Islamic Azad Univ, Dept Elect Engn, Gorgan Branch, Gorgan, Iran</t>
  </si>
  <si>
    <t>Islamic Azad University</t>
  </si>
  <si>
    <t>Ebrahimi, R (corresponding author), Islamic Azad Univ, Dept Elect Engn, Gorgan Branch, Gorgan, Iran.</t>
  </si>
  <si>
    <t>e.haddadiannezhad@gorganiau.ac.ir; reza.ebrahimi@iau.ac.ir; ma.ghanbari@iau.ac.ir</t>
  </si>
  <si>
    <t>ghanbari, mahmood/AAX-8739-2021</t>
  </si>
  <si>
    <t>ghanbari, mahmood/0000-0003-3286-5474; Ebrahimi, Reza/0000-0001-8091-503X</t>
  </si>
  <si>
    <t>10.1016/j.eswa.2023.121048</t>
  </si>
  <si>
    <t>P7ZZ0</t>
  </si>
  <si>
    <t>WOS:001052829800001</t>
  </si>
  <si>
    <t>Qin, HW; Wang, YA; Ma, XQ; Wang, J; Jiang, C</t>
  </si>
  <si>
    <t>Qin, Hongwu; Wang, Yanan; Ma, Xiuqin; Wang, Jin; Jiang, Chen</t>
  </si>
  <si>
    <t>A Euclidean Distance-based parameter reduction algorithm for interval-valued fuzzy soft sets</t>
  </si>
  <si>
    <t>Soft set; Interval-valued fuzzy soft set; Euclidean distance; Parameter reduction</t>
  </si>
  <si>
    <t>DECISION-MAKING</t>
  </si>
  <si>
    <t>Parameter reduction is a crucial procedure for enhancing the effectiveness of decision-making processes in the theory of interval-valued fuzzy soft set, which is a developing and excellent mathematical tool for processing blurry data. However, there exist severe gaps in the existing literatures. That is, the existing parameter reduction algorithms for interval-valued fuzzy soft sets have high computational complexity and low success rate of finding reduction. By considering these gaps, this study firstly develops the notions of the mean degree of membership and Euclidean distance between parameters. And then a new Euclidean Distance-based parameter reduction algorithm for interval-valued fuzzy soft set is proposed. In addition, we compare our proposed algorithm with the existing parameter reduction algorithms in terms of computational complexity and success rate of finding reduction on 35 randomly generated data sets and a real-life application of Five-Star Hotels evaluation. Through the comparison results, it is clear that our approach has the lower computational complexity and higher success rate of finding reduction. Consequently, our method which is substantiated on the validity and superiority is a good solution for parameter reduction of interval-valued fuzzy soft sets.</t>
  </si>
  <si>
    <t>[Qin, Hongwu; Wang, Yanan; Ma, Xiuqin; Wang, Jin; Jiang, Chen] Northwest Normal Univ, Coll Comp Sci &amp; Engn, Lanzhou 730070, Peoples R China</t>
  </si>
  <si>
    <t>Northwest Normal University - China</t>
  </si>
  <si>
    <t>Ma, XQ (corresponding author), Northwest Normal Univ, Coll Comp Sci &amp; Engn, Lanzhou 730070, Peoples R China.</t>
  </si>
  <si>
    <t>qinhongwu@nwnu.edu.cn; 2018221819@nwnu.edu.cn; maxiuqin@nwnu.edu.cn; 20188221622@nwnu.edu.cn; 2019221863@nwnu.edu.cn</t>
  </si>
  <si>
    <t>National Natural Science Foundation of China [61662067, 21JR7RA115]; Gansu Provincial Natural Science Foundation of China; [62162055]</t>
  </si>
  <si>
    <t>National Natural Science Foundation of China(National Natural Science Foundation of China (NSFC)); Gansu Provincial Natural Science Foundation of China;</t>
  </si>
  <si>
    <t>This work was supported by the National Natural Science Foundation of China (Nos. 62162055, 61662067) and the Gansu Provincial Natural Science Foundation of China (No. 21JR7RA115) .</t>
  </si>
  <si>
    <t>10.1016/j.eswa.2023.121106</t>
  </si>
  <si>
    <t>P8YU0</t>
  </si>
  <si>
    <t>WOS:001053483400001</t>
  </si>
  <si>
    <t>Zhang, Y; Jia, RS; Yang, R; Sun, HM</t>
  </si>
  <si>
    <t>Zhang, Ying; Jia, Rui-Sheng; Yang, Rui; Sun, Hong-Mei</t>
  </si>
  <si>
    <t>DSNet: A vehicle density estimation network based on multi-scale sensing of vehicle density in video images</t>
  </si>
  <si>
    <t>Vehicle density estimation; Density sensing; Region -aware loss; Feature enhancement</t>
  </si>
  <si>
    <t>It is one of the hot topics in the field of computer vision to estimate the density of vehicles on the road by using UAV equipped camera. Because the vehicle scale in video images is variable, the scene is complex and the change of vehicle density has strong randomness, the estimation results of vehicle density obtained by the existing methods have large errors. To solve these problems, this paper proposes a vehicle density estimation network based on multi-scale sensing of vehicle density (DSNet). The network adaptively senses the vehicle density in video images through an innovatively designed density sensing module and generates feature maps with different densities. Combined with the context information extracted from the network, the appropriate weight for each density-specific feature map is generated. By fusing the feature maps with different weights to enhance the feature of vehicle. Finally, the enhanced feature map is further refined to obtain a high-resolution density map. In addition, to solve the problem of the global counting loss (LC) that the global estimation results are good but the local estimation errors exist, we design and add the new region-aware loss (LG) to enhance the local feature extraction ability of the network and improve the robustness of the network. Experimental results show that the GAME of DSNet on the VisDrone 2019 dataset and DETRAC dataset is reduced to 5.45 and 6.07, respectively. Compared with the current state-of-the-art vehicle density estimation methods, DSNet achieves higher accuracy in the vehicle density estimation tasks of different scenes.</t>
  </si>
  <si>
    <t>[Zhang, Ying; Jia, Rui-Sheng; Yang, Rui; Sun, Hong-Mei] Shandong Univ Sci &amp; Technol, Coll Comp Sci &amp; Engn, Qingdao 266590, Peoples R China</t>
  </si>
  <si>
    <t>Shandong University of Science &amp; Technology</t>
  </si>
  <si>
    <t>Jia, RS; Sun, HM (corresponding author), Shandong Univ Sci &amp; Technol, Coll Comp Sci &amp; Engn, Qingdao 266590, Peoples R China.</t>
  </si>
  <si>
    <t>jrs716@163.com; shm0221@163.com</t>
  </si>
  <si>
    <t>Humanities and Social Science Fund of the Ministry of Education of the People's Republic of China [21YJAZH077]; Natural Science Foundation of Shandong Province [ZR2022ME091]</t>
  </si>
  <si>
    <t>Humanities and Social Science Fund of the Ministry of Education of the People's Republic of China; Natural Science Foundation of Shandong Province(Natural Science Foundation of Shandong Province)</t>
  </si>
  <si>
    <t>The authors are grateful for collaborative funding support from the Humanities and Social Science Fund of the Ministry of Education of the People's Republic of China (21YJAZH077) and the Natural Science Foundation of Shandong Province (ZR2022ME091) .</t>
  </si>
  <si>
    <t>10.1016/j.eswa.2023.121020</t>
  </si>
  <si>
    <t>P5UR4</t>
  </si>
  <si>
    <t>WOS:001051330600001</t>
  </si>
  <si>
    <t>Guo, PH; Zhu, JJ</t>
  </si>
  <si>
    <t>Guo, Penghui; Zhu, Jianjun</t>
  </si>
  <si>
    <t>Capacity reservation for humanitarian relief: A logic-based Benders decomposition method with subgradient cut</t>
  </si>
  <si>
    <t>EUROPEAN JOURNAL OF OPERATIONAL RESEARCH</t>
  </si>
  <si>
    <t>Humanitarian logistics; Capacity reservation; Deprivation cost; Two-stage stochastic programming; Logic-based Benders decomposition</t>
  </si>
  <si>
    <t>MACHINE SCHEDULING PROBLEM; DISASTER PREPAREDNESS; FACILITY LOCATION; LINEAR-PROGRAMS; OPTION CONTRACT; NETWORK DESIGN; SUPPLY CHAINS; MODEL; PROCUREMENT; LOGISTICS</t>
  </si>
  <si>
    <t>Prepositioning of relief supplies has been widely addressed to cover the demands of humanitarian emergencies. However, cost inefficiency, item type limitation, and damage risk make solely relying on prepositioning unrealistic. We develop two-stage stochastic models that incorporate prepositioning, physical capacity reservation, and production capacity reservation for reactive procurement. As an alternative to the traditional physical capacity reservation, the production capacity reservation is inspired by the practice of the automotive industry, garment industry, etc. for manufacturing personal protective equipment during the pandemic. Our models minimize the supply-side monetary costs and the demand-side social impacts, i.e., deprivation costs. The discretized deprivation cost function is introduced to handle the nonlinear deprivation cost function. The hierarchical nature of our stochastic models motivates us to utilize the logic-based Benders decomposition (LBBD). Our Benders master problem contains one set of nonbinary integer variables for prepositioning inventory and another set of continuous variables for estimating the second-stage costs, which differs from the existing LBBD works that typically contain binary and continuous variables in the master problem. Hence, a new type of logic-based Benders optimality cut, namely logic-based subgradient cut, is first introduced. To compute the cutting coefficients efficiently, heuristics that can lead to almost optimal solutions is developed. We also develop warm-start cutting planes, namely wait-and-see cuts and expected-value cuts, to help with better upper bounds and lower bounds. Extensive numerical results followed by a case study validate the efficiency of the solution method, the value of incorporating stochasticity, and the superiority of the capacity reservation. &amp; COPY; 2023 Elsevier B.V. All rights reserved.</t>
  </si>
  <si>
    <t>[Guo, Penghui; Zhu, Jianjun] Nanjing Univ Aeronaut &amp; Astronaut, Coll Econ &amp; Management, Nanjing 211106, Peoples R China</t>
  </si>
  <si>
    <t>Nanjing University of Aeronautics &amp; Astronautics</t>
  </si>
  <si>
    <t>Zhu, JJ (corresponding author), Nanjing Univ Aeronaut &amp; Astronaut, Coll Econ &amp; Management, Nanjing 211106, Peoples R China.</t>
  </si>
  <si>
    <t>guopenghui@outlook.com; zhujianjun@nuaa.edu.cn</t>
  </si>
  <si>
    <t>National Natural Science Foun-dation of China (NSFC) [72071106]</t>
  </si>
  <si>
    <t>National Natural Science Foun-dation of China (NSFC)(National Natural Science Foundation of China (NSFC))</t>
  </si>
  <si>
    <t>This work was supported by the National Natural Science Foun-dation of China (NSFC) [Grant number 72071106] . We appreciate the editor and the reviewers for their valuable suggestions, which improved the quality of this paper greatly. We also appreciate Freepik from Flaticon.com for providing the icons used in Fig. 1.</t>
  </si>
  <si>
    <t>0377-2217</t>
  </si>
  <si>
    <t>1872-6860</t>
  </si>
  <si>
    <t>EUR J OPER RES</t>
  </si>
  <si>
    <t>Eur. J. Oper. Res.</t>
  </si>
  <si>
    <t>DEC 16</t>
  </si>
  <si>
    <t>10.1016/j.ejor.2023.06.006</t>
  </si>
  <si>
    <t>P3DZ6</t>
  </si>
  <si>
    <t>WOS:001049493600001</t>
  </si>
  <si>
    <t>Avinash, LS; Mishra, A</t>
  </si>
  <si>
    <t>Avinash, Lagudu S.; Mishra, Anumita</t>
  </si>
  <si>
    <t>Enhancing biogas production in anaerobic digestion of MSW with addition of bio-solids and various moisture sources</t>
  </si>
  <si>
    <t>Municipal solid waste; Biogas yield; Anaerobic digestion; Sludge; Moisture content; Field capacity</t>
  </si>
  <si>
    <t>METHANE PRODUCTION; LEACHATE RECIRCULATION; ORGANIC FRACTION; WASTE DEGRADATION; POTENTIAL BMP; CO-DIGESTION; FOOD WASTE; LANDFILL; REFUSE; WATER</t>
  </si>
  <si>
    <t>This study aimed to investigate the influence of moisture content on the anaerobic digestion of municipal solid waste (MSW) with the addition of leachate, tap water, wastewater, and sewage sludge. To accomplish this, ten sets of batch experiments were conducted to examine the impact of these various moisture sources on the rate of degradation, indicated by cumulative biogas yield, volatile solids (VS) and total solids (TS) removal. The addition of sludge with leachate and wastewater to MSW resulted in biogas yields that were approximately 30 % higher than the biogas yield from MSW and wastewater alone. Based on the observations of VS removal, it was observed that the addition of sludge degraded about half of the substrate. Therefore, it was observed that the addition of 10 % sludge with leachate and wastewater to MSW provides the best outcomes. The lowest biogas yield was observed with the mixing of tap water with MSW. Further, it was determined that the optimal moisture content for MSW degradation should be greater than 75 % of field capacity (FC). The cumulative biogas yield decreased by more than 50 % when the moisture contents decreased from 100 % to 50 % of FC. The reduction in biogas production at low moisture contents is attributed to limited mass transfer, and the hydrolysis rate also slightly decreases with an increase in total solids. The kinetic study was also carried out using the first order, modified Gompertz, Transference, and Logistic models, and the predicted cumulative biogas yield was compared with the experimental data. The modified Gompertz and Logistic models showed the best fit (R2 &amp; GE; 0.994) with the experimental data for all the sets. The sludge, leachate, and wastewater are produced in large quantities in developing countries, and this study may provide a possible utilization strategy of these wastes for accelerated degradation of MSW.</t>
  </si>
  <si>
    <t>[Avinash, Lagudu S.; Mishra, Anumita] Indian Inst Technol Roorkee, Dept Civil Engn, Roorkee 247667, India</t>
  </si>
  <si>
    <t>Indian Institute of Technology System (IIT System); Indian Institute of Technology (IIT) - Roorkee</t>
  </si>
  <si>
    <t>Mishra, A (corresponding author), Indian Inst Technol Roorkee, Dept Civil Engn, Roorkee 247667, India.</t>
  </si>
  <si>
    <t>ls_avinash@ce.iitr.ac.in; anumita.mishra@ce.iitr.ac.in</t>
  </si>
  <si>
    <t>Ministry of Human Resource Development; Government of India</t>
  </si>
  <si>
    <t>The authors thank the Ministry of Human Resource Development and the Government of India for funding the Doctoral Fellowship of the first author. This research work was supported by and carried out at the Indian Institute of Technology in Roorkee, India.</t>
  </si>
  <si>
    <t>DEC 15</t>
  </si>
  <si>
    <t>10.1016/j.fuel.2023.129414</t>
  </si>
  <si>
    <t>R5BJ4</t>
  </si>
  <si>
    <t>WOS:001064498800001</t>
  </si>
  <si>
    <t>Ayala-Torres, R; Otero, E</t>
  </si>
  <si>
    <t>Ayala-Torres, Rosamar; Otero, Ernesto</t>
  </si>
  <si>
    <t>Seasonal dissolved oxygen depletion in bottom waters may be linked to bioluminescence in a shallow Caribbean bay</t>
  </si>
  <si>
    <t>REGIONAL STUDIES IN MARINE SCIENCE</t>
  </si>
  <si>
    <t>Hypoxia; Anoxia; Coastal inlets; Embayment; Caribbean; Bioluminescent bays</t>
  </si>
  <si>
    <t>BAHIA-FOSFORESCENTE; PUERTO-RICO; LA PARGUERA; DEAD ZONES; HYPOXIA; PHYTOPLANKTON; IMPACT; CONSEQUENCES; DYNAMICS; PATTERNS</t>
  </si>
  <si>
    <t>Worldwide, coastal areas are susceptible to low dissolved oxygen (DO) concentrations due to anthro-pogenic activities. In the Caribbean, some regions are experiencing extreme incidences of hypoxia and anoxia, jeopardizing biodiversity in these ecosystems. Nonetheless, limited information about these dissolved oxygen fluctuations is available. Using continuous and discrete approaches, the temporal and spatial patterns of DO were examined at Bahia Fosforescente (BF) in southwestern Puerto Rico during 2018. The principal aim was to evaluate whether hypoxic/anoxic conditions are sustained, linked to rainfall, and correspond to bioluminescence fluctuations at BF. An oxycline below 3-m depth was found, reaching hypoxia/anoxia during the wet season when calmer winds dominate and achieve high bioluminescence levels. These results may suggest the incoming of nutrients and organic carbon during the wet season, favoring the development of near-bottom anoxic conditions and benthic nutrient fluxes that favor the growth of bioluminescent plankton such as Pyrodinium bahamense. DO levels in BF might be influenced by changes in climate patterns, which may profoundly affect local planktonic species, impacting the development of bioluminescent natural events and, thus, the local tourism activities that evolve around these natural events.&amp; COPY; 2023 Elsevier B.V. All rights reserved.</t>
  </si>
  <si>
    <t>[Ayala-Torres, Rosamar; Otero, Ernesto] Univ Puerto Rico Mayaguez, Dept Marine Sci, POB 9000, Mayaguez, PR 00681 USA</t>
  </si>
  <si>
    <t>University of Puerto Rico; University of Puerto Rico Mayaguez</t>
  </si>
  <si>
    <t>Ayala-Torres, R (corresponding author), Univ Puerto Rico Mayaguez, Dept Marine Sci, POB 9000, Mayaguez, PR 00681 USA.</t>
  </si>
  <si>
    <t>rosamar.ayala@upr.edu</t>
  </si>
  <si>
    <t>EcoElectrica, L.P. Outreach Program to University of Puerto Rico, Mayaguez</t>
  </si>
  <si>
    <t>Thanks to Luis Rodriguez for his invaluable assistance during sampling and SCUBA diving. Also, we thank the personnel and students from the Department of Marine Science, UPRM, for their help during samplings. This effort was in large part funded through EcoElectrica, L.P. Outreach Program to University of Puerto Rico, Mayaguez.</t>
  </si>
  <si>
    <t>2352-4855</t>
  </si>
  <si>
    <t>REG STUD MAR SCI</t>
  </si>
  <si>
    <t>Reg. Stud. Mar. Sci.</t>
  </si>
  <si>
    <t>10.1016/j.rsma.2023.103139</t>
  </si>
  <si>
    <t>Ecology; Marine &amp; Freshwater Biology</t>
  </si>
  <si>
    <t>Environmental Sciences &amp; Ecology; Marine &amp; Freshwater Biology</t>
  </si>
  <si>
    <t>R5MT1</t>
  </si>
  <si>
    <t>WOS:001064798500001</t>
  </si>
  <si>
    <t>Chen, HY; Liu, QM; Cao, SY</t>
  </si>
  <si>
    <t>Chen, Hongyi; Liu, Qiming; Cao, Shiyue</t>
  </si>
  <si>
    <t>Y Carbon-coated iron selenide derived from double-framework as an advance anode for Na-ion battery</t>
  </si>
  <si>
    <t>JOURNAL OF COLLOID AND INTERFACE SCIENCE</t>
  </si>
  <si>
    <t>Metal-organic framework; Covalent-organic framework; N-doped carbon; Na-ion battery</t>
  </si>
  <si>
    <t>ELECTRODE MATERIALS; COMPOSITE; CHALLENGES; MOF</t>
  </si>
  <si>
    <t>Owing to the desirable nano-morphology, controllable structure, and ease of preparation, metal-organic frameworks (MOFs) are widely used as the precursors for electrodes in Na-ion battery (NIB). However, MOF structures are prone to fracture and collapse during the reactions. Additionally, MOF-derived electrodes often exhibit a high expansion rate, which negatively impacts the long cyclic capability of NIBs. Herein, we employed a stable covalent-organic framework (COF) as a protective coating for the first time to preserve the MOF structure. A shuttle-like iron selenide (Fe3Se4) coated with N-doped carbon (NC) was synthesized using a simple hydrothermal method, surface coating, and subsequent selenizing process. Due to its large specific surface area and well-developed porosity, the double-framework derived Fe3Se4/NC electrode provides abundant active sites for Na+ storage. The COF and COF-derived NC protect the structure of Fe3Se4/NC during synthesis and cyclic process, respectively. The high conductivity of the NC coating enhances the electron/ion conductivity of Fe3Se4/ NC, thereby beneficial the rate performance. As the material anode for NIB, the Fe3Se4/NC electrode exhibits a high initial charging/discharging capacity (425.7/478.4 mAh center dot g (-1) with an initial Coulombic efficiency of 89.0 %), excellent rate performance (333.5 mAh center dot g (-1) at 12 A center dot g (-1)), long-durable cycle capability (290.8 mAh center dot g (-1) after 1000 cycles at 8 A center dot g (-1)) and fast charging ability (143 s). This work provides a novel strategy of COF on MOF to prepare high-performance electrode materials for NIB.</t>
  </si>
  <si>
    <t>[Chen, Hongyi; Liu, Qiming; Cao, Shiyue] Wuhan Univ, Sch Phys &amp; Technol, Key Lab Artificial Microand Nanostruct, Minist Educ, Wuhan 430072, Peoples R China</t>
  </si>
  <si>
    <t>Wuhan University</t>
  </si>
  <si>
    <t>Liu, QM (corresponding author), Wuhan Univ, Sch Phys &amp; Technol, Key Lab Artificial Microand Nanostruct, Minist Educ, Wuhan 430072, Peoples R China.</t>
  </si>
  <si>
    <t>qmliu@whu.edu.cn</t>
  </si>
  <si>
    <t>National Nature Science Foundation of Jiangsu Province [BK20221259]</t>
  </si>
  <si>
    <t>National Nature Science Foundation of Jiangsu Province</t>
  </si>
  <si>
    <t>This work was financially supported by the National Nature Science Foundation of Jiangsu Province (BK20221259) . We thank the Core Fa-cility of Wuhan University for characteristic analysis.</t>
  </si>
  <si>
    <t>0021-9797</t>
  </si>
  <si>
    <t>1095-7103</t>
  </si>
  <si>
    <t>J COLLOID INTERF SCI</t>
  </si>
  <si>
    <t>J. Colloid Interface Sci.</t>
  </si>
  <si>
    <t>10.1016/j.jcis.2023.07.126</t>
  </si>
  <si>
    <t>Q9TI9</t>
  </si>
  <si>
    <t>WOS:001060865200001</t>
  </si>
  <si>
    <t>Chen, Y; Yin, JY; Jiang, S; Zhu, XQ; Lei, Y; Xu, X; Gao, YF</t>
  </si>
  <si>
    <t>Chen, Yu; Yin, Junying; Jiang, Sen; Zhu, Xuequan; Lei, Yue; Xu, Xin; Gao, Yunfang</t>
  </si>
  <si>
    <t>Poly-1,3-dioxolane anchoring graphitic carbon nitride to achieve high-energy-density solid-state Li metal batteries</t>
  </si>
  <si>
    <t>Solid-state Li metal batteries; Poly-1; Silane coupling agent; Solid-state electrolyte interphase; 3-dioxolane</t>
  </si>
  <si>
    <t>HIGH IONIC-CONDUCTIVITY; POLYMER ELECTROLYTES; MECHANICAL-PROPERTIES; RECHARGEABLE LITHIUM; SOLVATION</t>
  </si>
  <si>
    <t>Solid-state Li metal batteries (SSLMBs) are promising solutions for the next-generation energy storage devices with high energy densities and safety. Accordingly, the advanced solid-state electrolytes are further needed to address the challenges-low ionic conductivity, poor interfacial compatibility and uncontrollably Li dendrites, boosting the electrochemical and safety performances of SSLMBs. Herein, a flexible and rigid strategy is proposed to enhance the electrochemical and mechanical properties of polyethylene oxide (PEO)-based elec-trolytes. Specifically, the flexible poly-1,3-dioxolane (poly-DOL) and rigid graphitic carbon nitride (g-C3N4) are coordinated by a coupling reaction to prepare g-C3N4-poly-DOL, which is further employed as the filler for the PEO matrix to fabricate a composite polymer electrolyte g-C3N4-pDOL-PEO. The flexible poly-DOL and rigid g-C3N4 together endow the PEO-based electrolyte with good interfacial stability, high ion-conductivity and strong mechanical strength. Consequently, the Li/g-C3N4-pDOL-PEO/LiFePO4 cell delivers high cyclability with a ca-pacity retention ratio of 89.7 % after 150 cycles and an average Coulombic efficiency over 99.9 %, and, the Li/g-C3N4-pDOL-PEO/Li cell can stably cycle beyond 300 h at 0.2 mAh cm-2 with small polarization (13 mV). The flexible and rigid strategy coupling the polymer with the filler provides an effective electrolyte design for high-performance SSLMBs.</t>
  </si>
  <si>
    <t>[Chen, Yu] Foshan Univ, Sch Mat Sci &amp; Hydrogen Energy, Foshan 528000, Guangdong, Peoples R China; [Chen, Yu; Yin, Junying] Binzhou Univ, Coll Chem Engn &amp; Safety, Engn Res Ctr Ind Wastewater Treatment &amp; Reuse Shan, Binzhou Key Lab Appl Electrochem, Binzhou 256603, Peoples R China; [Yin, Junying; Jiang, Sen; Lei, Yue; Xu, Xin; Gao, Yunfang] Zhejiang Univ Technol, Coll Chem Engn, State Key Lab Breeding Base Green Chem Synth Techn, Hangzhou 310014, Peoples R China; [Zhu, Xuequan] Sunyes Shanshan Adv Mat Technol Quzhou Co Ltd, Quzhou 324012, Peoples R China</t>
  </si>
  <si>
    <t>Foshan University; Binzhou University; Zhejiang University of Technology</t>
  </si>
  <si>
    <t>Yin, JY (corresponding author), Binzhou Univ, Coll Chem Engn &amp; Safety, Engn Res Ctr Ind Wastewater Treatment &amp; Reuse Shan, Binzhou Key Lab Appl Electrochem, Binzhou 256603, Peoples R China.;Yin, JY; Gao, YF (corresponding author), Zhejiang Univ Technol, Coll Chem Engn, State Key Lab Breeding Base Green Chem Synth Techn, Hangzhou 310014, Peoples R China.</t>
  </si>
  <si>
    <t>junyingyin@bzu.edu.cn; gaoyf@zjut.edu.cn</t>
  </si>
  <si>
    <t>Natural Science Foundation of Shandong Province [ZR2019QEM003]; Key R amp; D Program of Zhejiang [2022C01033]</t>
  </si>
  <si>
    <t>Natural Science Foundation of Shandong Province(Natural Science Foundation of Shandong Province); Key R amp; D Program of Zhejiang</t>
  </si>
  <si>
    <t>This work was financially supported by Natural Science Foundation of Shandong Province (ZR2019QEM003) and Key R &amp; D Program of Zhejiang (2022C01033) . The authors would like to thank the Shiyanjia lab ( www.shiyanjia.com ) for XPS tests.</t>
  </si>
  <si>
    <t>10.1016/j.jcis.2023.08.075</t>
  </si>
  <si>
    <t>S2RF3</t>
  </si>
  <si>
    <t>WOS:001069686800001</t>
  </si>
  <si>
    <t>Cheng, AC; Peng, XF; Chen, WZ; Tseng, DY; Tan, ZG; Liu, HJ; Qin, ZH; Ballantyne, R; Liu, CH</t>
  </si>
  <si>
    <t>Cheng, Ann-Chang; Peng, Xianfeng; Chen, Wenzhen; Tseng, Deng-Yu; Tan, Zhigang; Liu, Haijun; Qin, Zonghua; Ballantyne, Rolissa; Liu, Chun-Hung</t>
  </si>
  <si>
    <t>Dietary probiotic Aspergillus niger preparation improves the growth performance, health status, and gut microbiota of white shrimp, Penaeus vannamei</t>
  </si>
  <si>
    <t>AQUACULTURE</t>
  </si>
  <si>
    <t>Aspergillus niger; Immunological booster; Probiotic; Growth performance; White shrimp</t>
  </si>
  <si>
    <t>LITOPENAEUS-VANNAMEI; PROPHENOLOXIDASE SYSTEM; DISEASE RESISTANCE; IMMUNE-RESPONSES; AQUACULTURE; CHITOSAN; QUALITY</t>
  </si>
  <si>
    <t>Aspergillus niger is a unique fungus with benefits that can help improve the performance of terrestrial and aquatic animals. However, studies on the use of A. niger on aquatic animal species are limited. The present study investigated the effects of A. niger preparation as a dietary supplement on growth, gut microbiota, and immune response of white shrimp, Penaeus vannamei. The experiment was conducted over a 56-day trial period, with shrimps fed a control diet, and three diets containing three doses of A. niger preparation 0.5, 1 and 1.5 g (kg diet)-1) designated as P500, P1000 and P1500, respectively. The results showed that increasing concentrations of A. niger preparation led to higher weight gain and final weight in shrimp. Moreover, increasing levels of A. niger preparation of P1000 and P1500 reduced the mortality rate of shrimp challenged with Vibrio parahaemolyticus. In A. niger groups, PA, RBs, PO and LYS activities of shrimp significantly increased compared to the control group. Microbial analysis revealed significantly higher Vibrio-like counts in the gut of shrimp fed the control diet than in all A. niger-supplemented diets. Shewanella belonging to the dominant phylum Proteobacteria was highly expressed in the microbiota of shrimp fed P1000 diet. Meanwhile, Vibrio was relatively abundant in the control group. Unique genera, such as JGI0000069P2 and Marinicella, promoted bioremediation activities, while Halobacteriovorax aided in the elimination of V. parahaemolyticus infection in shrimp. Notably, a symbiotic relationship between Shewanella and Halobacteriovorax bacteria in the gut jointly boosted the immune responses of shrimp in defense against V. parahaemolyticus infection. These findings suggest that the A. niger preparation, due to its beneficial effects, could potentially be included in the diet to promote growth and a healthy intestinal microbiota, while also serving as a prophylactic treatment and immunological booster for shrimp.</t>
  </si>
  <si>
    <t>[Cheng, Ann-Chang] Natl Kaohsiung Univ Sci &amp; Technol, Dept &amp; Grad Inst Aquaculture, Kaohsiung 811, Taiwan; [Peng, Xianfeng; Chen, Wenzhen; Tan, Zhigang; Liu, Haijun; Qin, Zonghua] Guangzhou Insighter Biotechnol Co Ltd, Guangzhou 510664, Peoples R China; [Tseng, Deng-Yu] Natl Univ Tainan, Dept Biol Sci &amp; Technol, Tainan 700, Taiwan; [Ballantyne, Rolissa] Natl Pingtung Univ Sci &amp; Technol, Dept Trop Agr &amp; Int Cooperat, Pingtung 912, Taiwan; [Liu, Chun-Hung] Natl Pingtung Univ Sci &amp; Technol, Dept Aquaculture, Pingtung 912, Taiwan</t>
  </si>
  <si>
    <t>National Kaohsiung University of Science &amp; Technology; National University Tainan; National Pingtung University Science &amp; Technology; National Pingtung University Science &amp; Technology</t>
  </si>
  <si>
    <t>Liu, CH (corresponding author), Natl Pingtung Univ Sci &amp; Technol, Dept Aquaculture, Pingtung 912, Taiwan.</t>
  </si>
  <si>
    <t>chliu@mail.npust.edu.tw</t>
  </si>
  <si>
    <t>Guangzhou Insighter Biotechnology Co., Ltd.</t>
  </si>
  <si>
    <t>The study was funded by Guangzhou Insighter Biotechnology Co., Ltd.</t>
  </si>
  <si>
    <t>0044-8486</t>
  </si>
  <si>
    <t>1873-5622</t>
  </si>
  <si>
    <t>Aquaculture</t>
  </si>
  <si>
    <t>10.1016/j.aquaculture.2023.739988</t>
  </si>
  <si>
    <t>Fisheries; Marine &amp; Freshwater Biology</t>
  </si>
  <si>
    <t>R1VI9</t>
  </si>
  <si>
    <t>WOS:001062284200001</t>
  </si>
  <si>
    <t>Chi, Y; Yang, H; Shi, CY; Yang, B; Bai, XC; Li, Q</t>
  </si>
  <si>
    <t>Chi, Yong; Yang, Hang; Shi, Chenyu; Yang, Ben; Bai, Xianchao; Li, Qi</t>
  </si>
  <si>
    <t>Comparative transcriptome and gene co-expression network analysis identifies key candidate genes associated with resistance to summer mortality in the Pacific oyster (Crassostrea gigas)</t>
  </si>
  <si>
    <t>Crassostrea gigas; Summer mortality; RNA-Seq; WGCNA; Hub gene</t>
  </si>
  <si>
    <t>C-TYPE LECTIN; INFECTION; SURVIVAL; PROTEIN; IMPROVEMENT; FIBRONECTIN; METABOLISM; CLEARANCE; TOLERANCE; SELECTION</t>
  </si>
  <si>
    <t>The global oyster industry is severely hampered by frequent outbreaks of summer massive mortalities. Selective breeding of disease-resistant broodstock is considered as a key strategy to address this problem, and markerassisted selection programs would help develop oyster lines that are resistance to summer mortality. However, there is currently a need to identify candidate genes associated with disease resistance and to develop molecular markers based on these genes. To identify candidate genes associated with summer mortality resistance, we selected three most resistant and three most susceptible oyster families and compared their basal transcriptomes. A total of 59 families were tested in two sites, and there were significant differences in summer survival among families of different genetic backgrounds. Principal component analysis showed that there was significant clustering of different resistant families, suggesting that the molecular mechanisms underlying the development of resistance characteristics in different resistant families may be similar. Interestingly, transcriptome results showed that the highly expressed genes in resistant families were mainly associated with innate immunity, especially some pattern recognition receptors, including C-type lectins, fibrinogen-related proteins and scavenger receptors. Some transient receptor potential family genes showed differential expression in the both resistant and susceptible families, which may be related to the thermal tolerance of oysters. Notably, some genes related to antioxidant responses and detoxification were highly expressed in resistant families, such as glutathione S-transferase and Cytochrome P450, suggesting that oysters with summer mortality resistance may have greater antioxidant and detoxification capacities. In addition, weighted gene co-expression network analysis (WGCNA) identified three modules that were significantly positively associated with summer survival. The network map of key modules allows us to identify a series of hub genes, such as PEAR1, MCT12, RPL23, TRPM2, MFAP4, TLN1, SCARF1, GAL9 and ACOD. Overall, our study provides new insight into summer mortality resistance by employing comparative transcriptome and WGCNA, and the genes identified in this study should be further investigated for use in marker-assisted selection breeding programs.</t>
  </si>
  <si>
    <t>[Chi, Yong; Yang, Hang; Shi, Chenyu; Yang, Ben; Bai, Xianchao; Li, Qi] Ocean Univ China, Key Lab Mariculture, Minist Educ, Qingdao 266003, Peoples R China; [Li, Qi] Qingdao Natl Lab Marine Sci &amp; Technol, Lab Marine Fisheries Sci &amp; Food Prod Proc, Qingdao 266237, Peoples R China</t>
  </si>
  <si>
    <t>Ocean University of China; Laoshan Laboratory</t>
  </si>
  <si>
    <t>Li, Q (corresponding author), Ocean Univ China, Key Lab Mariculture, Minist Educ, Qingdao 266003, Peoples R China.</t>
  </si>
  <si>
    <t>qili66@ouc.edu.cn</t>
  </si>
  <si>
    <t>National Key R amp; D Program of China [2022YFD2400305]; Earmarked Fund for Agriculture Seed Improvement Project of Shandong Province [2021ZLGX03, 2022LZGCQY010, 2020LZGC016]; China Agriculture Research System Project [CARS-49]</t>
  </si>
  <si>
    <t>National Key R amp; D Program of China; Earmarked Fund for Agriculture Seed Improvement Project of Shandong Province; China Agriculture Research System Project</t>
  </si>
  <si>
    <t>This research was supported by grants from the National Key R &amp; D Program of China (2022YFD2400305) , Earmarked Fund for Agriculture Seed Improvement Project of Shandong Province (2021ZLGX03, 2022LZGCQY010 and 2020LZGC016) , and China Agriculture Research System Project (CARS-49) .</t>
  </si>
  <si>
    <t>10.1016/j.aquaculture.2023.739922</t>
  </si>
  <si>
    <t>P4WQ5</t>
  </si>
  <si>
    <t>WOS:001050685400001</t>
  </si>
  <si>
    <t>Dai, P; Li, DY; Sui, J; Kong, J; Meng, XH; Luan, S</t>
  </si>
  <si>
    <t>Dai, Ping; Li, Dongyan; Sui, Juan; Kong, Jie; Meng, Xianhong; Luan, Sheng</t>
  </si>
  <si>
    <t>Prediction of meat yield in the Pacific whiteleg shrimp Penaeus vannamei</t>
  </si>
  <si>
    <t>Body measurements; Genetic correlation; Heritability; Meat yield; Penaeus vannamei</t>
  </si>
  <si>
    <t>TILAPIA OREOCHROMIS-NILOTICUS; FRESH-WATER PRAWN; GENETIC-PARAMETERS; BODY-WEIGHT; FILLET TRAITS; LITOPENAEUS-VANNAMEI; QUALITY TRAITS; GROWTH; HERITABILITY; STRAINS</t>
  </si>
  <si>
    <t>Meat yield, the percentage of net meat weight, is considered to be an important target trait for genetic improvement in the Pacific whiteleg shrimp Penaeus vannamei. The development of nondestructive methods for predicting meat yield in live shrimp holds great promise. With the objective of improving meat yield more efficiently in whiteleg shrimp, this study established prediction models for meat yield and net meat weight from body measurements (weight, height, length and width), and estimated genetic parameters for these traits. Forty full-sib families were produced and used for a 60-day growth-out test, and then 1560 shrimp were harvested for measurements. Individual meat yield ranged from 44.38% to 59.20%. Multiple linear regression models for meat yield and net meat weight were constructed through stepwise regression analysis. Models assumed for both traits shared the same independent variables (body weight, body length, total abdominal segment length and the third abdominal segment width), but the prediction accuracy reached 0.991 for net meat weight and only 0.450 for meat yield. Heritability estimates of observed (0.231 &amp; PLUSMN; 0.059) and predicted (0.222 &amp; PLUSMN; 0.057) meat yield were significantly lower than those of observed and predicted net meat weight (0.653 &amp; PLUSMN; 0.108) and most of body traits (0.494 &amp; PLUSMN; 0.094-0.656 &amp; PLUSMN; 0.108) (P &lt; 0.05). Genetic correlations of meat yield with other body traits were mainly moderate (0.370 &amp; PLUSMN; 0.165-0.641 &amp; PLUSMN; 0.124), and lower than those for predicted meat yield (0.844 &amp; PLUSMN; 0.066-0.910 &amp; PLUSMN; 0.039) and those for net meat weight (&gt; 0.95). Our results indicate that simple body traits of whiteleg shrimp can be used to accurately predict net meat weight, but not meat yield. Without slaughter, still, relatively accurate meat yield can be indirectly obtained by measuring body weight and predicting net meat weight from body measurements. Although heritability of meat yield is not high, genetic improvement through direct selection on it is feasible.</t>
  </si>
  <si>
    <t>[Dai, Ping; Sui, Juan; Kong, Jie; Meng, Xianhong; Luan, Sheng] Chinese Acad Fishery Sci, Yellow Sea Fisheries Res Inst, State Key Lab Mariculture Biobreeding &amp; Sustainabl, Qingdao 266071, Shandong, Peoples R China; [Dai, Ping; Sui, Juan; Kong, Jie; Meng, Xianhong; Luan, Sheng] Lab Marine Fisheries Sci &amp; Food Prod Proc, Laoshan Lab, Qingdao 266237, Shandong, Peoples R China; [Li, Dongyan] Shanghai Ocean Univ, Shanghai, Peoples R China</t>
  </si>
  <si>
    <t>Chinese Academy of Fishery Sciences; Yellow Sea Fisheries Research Institute, CAFS; Laoshan Laboratory; Shanghai Ocean University</t>
  </si>
  <si>
    <t>Luan, S (corresponding author), Chinese Acad Fishery Sci, Yellow Sea Fisheries Res Inst, State Key Lab Mariculture Biobreeding &amp; Sustainabl, Qingdao 266071, Shandong, Peoples R China.</t>
  </si>
  <si>
    <t>luansheng@ysfri.ac.cn</t>
  </si>
  <si>
    <t>National Key Research and Development Program of China [2021YFD1200805, 2022YFD2400202]; Central Public -interest Scientific Institution Basal Research Fund, YSFRI, CAFS [20603022023001]; Science and Technology Innovation Team project of Chinese Academy of Fishery Sciences [2020TD26]; China Agriculture Research System [CARS -48]; Scientific Research Project of Academician Innovation platform in Hainan Province [YSPTZX202104]; Litopenaeus vannamei Breeding Center of the Hengxing [2021E05032]</t>
  </si>
  <si>
    <t>National Key Research and Development Program of China; Central Public -interest Scientific Institution Basal Research Fund, YSFRI, CAFS; Science and Technology Innovation Team project of Chinese Academy of Fishery Sciences; China Agriculture Research System; Scientific Research Project of Academician Innovation platform in Hainan Province; Litopenaeus vannamei Breeding Center of the Hengxing</t>
  </si>
  <si>
    <t>This work was financially supported by National Key Research and Development Program of China (2021YFD1200805 and 2022YFD2400202) , Central Public -interest Scientific Institution Basal Research Fund, YSFRI, CAFS (20603022023001) , Science and Technology Innovation Team project of Chinese Academy of Fishery Sciences (2020TD26) , China Agriculture Research System (CARS -48) , Scientific Research Project of Academician Innovation platform in Hainan Province (YSPTZX202104) , and Litopenaeus vannamei Breeding Center of the Hengxing (2021E05032) .</t>
  </si>
  <si>
    <t>10.1016/j.aquaculture.2023.739914</t>
  </si>
  <si>
    <t>P7UG7</t>
  </si>
  <si>
    <t>WOS:001052681000001</t>
  </si>
  <si>
    <t>Diblik, J; Halfarova, H; Safarik, J</t>
  </si>
  <si>
    <t>Diblik, Josef; Halfarova, Hana; Safarik, Jan</t>
  </si>
  <si>
    <t>Two-parameters formulas for general solution to planar weakly delayed linear discrete systems with multiple delays, equivalent non-delayed systems, and conditional stability</t>
  </si>
  <si>
    <t>APPLIED MATHEMATICS AND COMPUTATION</t>
  </si>
  <si>
    <t>General solution; Discrete system; Multiple delay; Weakly delayed system; Equivalent non-delayed system; Pasting of solutions; Conditional stability</t>
  </si>
  <si>
    <t>Weakly delayed planar linear discrete systems with multiple delays n-ary sumation ������ ������(������+ 1) = ������������(������) + ������=1 ������������������(������- ������������), ������= 0,1,... are considered where ������1, ������2, ... , ������������are fixed integers, ������, ������1, ... , ������������are nonzero 2 x 2 real constant matrices and ������ &amp; COLRATIO; {-������������,-������������ + 1, ... } &amp; RARR; R2. Formulas for general solutions are found and simplified, equivalent non-delayed planar linear discrete systems are constructed and conditional stability is analyzed. Results are illustrated by examples.</t>
  </si>
  <si>
    <t>[Diblik, Josef; Halfarova, Hana; Safarik, Jan] Brno Univ Technol, Fac Civil Engn, Dept Math &amp; Descript Geometry, Brno, Czech Republic</t>
  </si>
  <si>
    <t>Brno University of Technology</t>
  </si>
  <si>
    <t>Diblik, J (corresponding author), Brno Univ Technol, Fac Civil Engn, Dept Math &amp; Descript Geometry, Brno, Czech Republic.</t>
  </si>
  <si>
    <t>diblik.j@fce.vutbr.cz; halfarova.h@fce.vutbr.cz; safarik.j@fce.vutbr.cz</t>
  </si>
  <si>
    <t>Faculty of Civil Engineering, Brno University of Technology [FAST-S-20-6294]</t>
  </si>
  <si>
    <t>Faculty of Civil Engineering, Brno University of Technology</t>
  </si>
  <si>
    <t>This work has been supported by the grant of Faculty of Civil Engineering, Brno University of Technology (research project No. FAST-S-20-6294) .</t>
  </si>
  <si>
    <t>0096-3003</t>
  </si>
  <si>
    <t>1873-5649</t>
  </si>
  <si>
    <t>APPL MATH COMPUT</t>
  </si>
  <si>
    <t>Appl. Math. Comput.</t>
  </si>
  <si>
    <t>10.1016/j.amc.2023.128270</t>
  </si>
  <si>
    <t>R3HK4</t>
  </si>
  <si>
    <t>WOS:001063293600001</t>
  </si>
  <si>
    <t>Ellison, C; Abdelsayed, V; Smith, MW</t>
  </si>
  <si>
    <t>Ellison, Candice; Abdelsayed, Victor; Smith, Mark W.</t>
  </si>
  <si>
    <t>Analysis of char structure and composition from microwave and conventional pyrolysis/gasification of low and middle rank coals</t>
  </si>
  <si>
    <t>Microwave gasification; Coal type; Char structure; Char composition; Low rank coal</t>
  </si>
  <si>
    <t>DIELECTRIC-PROPERTIES; ASSISTED PYROLYSIS; GASIFICATION; EVOLUTION; BIOMASS</t>
  </si>
  <si>
    <t>The structure and composition of residual coal char after pyrolysis dictates its reactivity towards gasification. The nature of the char is a result of the parent coal composition and structure as well as the reaction conditions during pyrolysis. Further, due to the unique characteristics of selective dielectric heating, char development during microwave CO2 gasification may differ from conventional thermal gasification, and little is known about the effect of microwave heating on the char structure development. In this work the heating method used is compared (microwave vs conventional thermal) to generate char samples from four different coal types. These coal chars generated by pyrolysis and gasification were characterized by ultimate analysis, surface area analysis, X-ray diffraction (XRD), scanning electron microscopy (SEM), Fourier-transform infrared spectroscopy (FTIR), and dielectric characterization to investigate the chemical and structural differences between microwave- and conventionally-generated chars. The results reveal notable chemical and structural differences between the chars from microwave and conventional pyrolysis and gasification. In general, the conventional chars had greater pore structure development as seen by higher specific surface areas compared to microwave chars, possibly due to rapid thermal collapse of coal pore structure. Microwave pyrolysis chars had greater ordering of the carbon crystal structure for low-ash coals, while graphitization was inhibited for coals with high ash percentage yield. The observations from this study highlight the differences in char characteristics from microwave and conventional pyrolysis and gasification, which can aid microwave gasifier design, implementation, and integration for efficient syngas production and coal ash utilization.</t>
  </si>
  <si>
    <t>[Ellison, Candice] USDA ARS, Eastern Reg Res Ctr, 600 East Mermaid Lane, Wyndmoor, PA 19038 USA; [Abdelsayed, Victor; Smith, Mark W.] Natl Energy Technol Lab, 3610 Collins Ferry Rd, Morgantown, WV 26507 USA; [Abdelsayed, Victor] NETL Support Contractor, 3610 Collins Ferry Rd, Morgantown, WV 26507 USA</t>
  </si>
  <si>
    <t>United States Department of Agriculture (USDA); United States Department of Energy (DOE); National Energy Technology Laboratory - USA</t>
  </si>
  <si>
    <t>Ellison, C (corresponding author), USDA ARS, Eastern Reg Res Ctr, 600 East Mermaid Lane, Wyndmoor, PA 19038 USA.</t>
  </si>
  <si>
    <t>candice.ellison@usda.gov</t>
  </si>
  <si>
    <t>Ellison, Candice/0000-0002-8214-5646</t>
  </si>
  <si>
    <t>10.1016/j.fuel.2023.129301</t>
  </si>
  <si>
    <t>P2GV0</t>
  </si>
  <si>
    <t>WOS:001048884300001</t>
  </si>
  <si>
    <t>Fang, C; Gopalan, S; Yu, JX; Naidu, R</t>
  </si>
  <si>
    <t>Fang, Cheng; Gopalan, Saianand; Yu, Jingxian; Naidu, Ravi</t>
  </si>
  <si>
    <t>Unveiling microplastics from zippers: Characterisation and visualisation through Raman imaging analysis</t>
  </si>
  <si>
    <t>SCIENCE OF THE TOTAL ENVIRONMENT</t>
  </si>
  <si>
    <t>Zipper; Microplastic; Imaging analysis; Raman; SEM; Titanium oxide</t>
  </si>
  <si>
    <t>Microplastics have emerged as a global concern due to the increased plastic contamination found in a variety of sources. Herein we unveil microplastics released from plastic zippers that can generally be found in our clothes and textiles. We first employ a scanning electron microscope (SEM) to visualise the scratches developed on the zipper teeth and the derived particles. We then use Raman imaging to identify and simultaneously visualise the plastics from the chemical or molecular spectrum window. Based on hundreds to thousands of spectra, rather than a single spectrum or even a single peak that works as just a pixel in the image, imaging analysis can significantly increase the signal-to-noise ratio. Furthermore, the non-uniform distribution of components or multi-components can also be effectively imaged to avoid the possible bias from the single-spectrum analysis. The challenge to convert the hundreds to thousands of spectra of a hyperspectral matrix to an image is also discussed, and chemometrics is adopted and recommended to further improve the signal-to-noise ratio. The co ingredient of titanium oxide in the zipper teeth/sewing lines is also effectively identified by Raman imaging. Based on the effective characterisation, we estimate that up to-410 microplastics could be potentially released during each time of on-off zipping, although the variation can be expected and depends on several other factors. This study reminds us to be aware of the potential contamination derived from similar types of microplastic sources in our daily lives.</t>
  </si>
  <si>
    <t>[Fang, Cheng; Gopalan, Saianand; Naidu, Ravi] Univ Newcastle, Global Ctr Environm Remediat GCER, Callaghan, NSW 2308, Australia; [Fang, Cheng; Gopalan, Saianand; Naidu, Ravi] Univ Newcastle, Cooperat Res Ctr Contaminat Assessment &amp; Remediat, Callaghan, NSW 2308, Australia; [Yu, Jingxian] Guilin Univ Technol, Coll Chem &amp; Bioengn, Guilin 541004, Guangxi, Peoples R China</t>
  </si>
  <si>
    <t>University of Newcastle; University of Newcastle; Guilin University of Technology</t>
  </si>
  <si>
    <t>Fang, C (corresponding author), Univ Newcastle, Global Ctr Environm Remediat GCER, Callaghan, NSW 2308, Australia.</t>
  </si>
  <si>
    <t>cheng.fang@newcastle.edu.au</t>
  </si>
  <si>
    <t>CRC CARE; University of Newcastle, Australia</t>
  </si>
  <si>
    <t>CRC CARE(Australian GovernmentDepartment of Industry, Innovation and ScienceCooperative Research Centres (CRC) Programme); University of Newcastle, Australia</t>
  </si>
  <si>
    <t>The authors appreciate the funding support from CRC CARE and the University of Newcastle, Australia. For the Raman measurements and SEM, we also acknowledge the use and support of the South Australian node of Microscopy Australia (formerly known as AMMRF) at Flinders University, South Australia.</t>
  </si>
  <si>
    <t>0048-9697</t>
  </si>
  <si>
    <t>1879-1026</t>
  </si>
  <si>
    <t>SCI TOTAL ENVIRON</t>
  </si>
  <si>
    <t>Sci. Total Environ.</t>
  </si>
  <si>
    <t>10.1016/j.scitotenv.2023.166235</t>
  </si>
  <si>
    <t>Environmental Sciences</t>
  </si>
  <si>
    <t>Environmental Sciences &amp; Ecology</t>
  </si>
  <si>
    <t>R8KR2</t>
  </si>
  <si>
    <t>WOS:001066795600001</t>
  </si>
  <si>
    <t>Gayo, P; Berbel, C; Korozi, E; Zerolo, R; Manchado, M</t>
  </si>
  <si>
    <t>Gayo, Patricia; Berbel, Concha; Korozi, Evangelia; Zerolo, Ricardo; Manchado, Manuel</t>
  </si>
  <si>
    <t>Assessment of body shape variation using Elliptic Fourier descriptors and ellipse fitting estimators and their genetic estimates in the flatfish Senegalese sole</t>
  </si>
  <si>
    <t>Senegalese sole; Shape; Ellipticity; Heritability; EFDs</t>
  </si>
  <si>
    <t>FLUCTUATING ASYMMETRY; SKELETAL ANOMALIES; QUANTITATIVE-EVALUATION; ROOT SHAPE; L.; HERITABILITY; MORPHOLOGY; TRAITS; LARVAL; KAUP</t>
  </si>
  <si>
    <t>Body shape is an important morphological trait in aquaculture. This study investigates the use of Elliptic Fourier descriptors (EFDs) analysis and ellipse fitting estimators to assess shape variation in Senegalese sole and their genetic variance components. A total of 2271 fish were individually photographed and body contours reconstructed using 20 Elliptic Fourier harmonics. Principal component analysis identified four symmetric components that explained the 68.6% of the total variation. They were mainly related to the adjustment of the body to an ellipse (PC1s and PC3s) and caudal fin morphological features (PC2s, PC3s, PC4s). Moreover, four asymmetric components related to caudal fin (PC1a, PC2a, PC3a) and head orientation (PC4a) that explained 24.5% of the total variation were also found. In addition to EFDs, body perimeter and five ellipse fitting estimators including the maximum body height to caudal peduncle height ratio (MBH/CPH), body aspect ratio (AR), ellipticity (ELL), AR from theoretical ellipse (ARe) and solidity (SOL) were calculated. PC1s was strongly correlated with ARe, AR and ELL (&gt;= 0.75), PC2s with SOL (-0.79) and PC3s with AR and ELL (0.48-0.49). Males appeared more elliptic than females as revealed by all ellipse descriptors with a tendency to caudal fins with obtuse angles (PC3a) and heads orientated toward the abdominal cavity (PC4a). Overall, heritabilities for symmetric components were higher than for asymmetric. Heritabilities for body ellipse fitting estimators including PC1s were high or very high with the highest values for AR (0.80) and ARe (0.78) for body and whole-body, respectively. Heritability for MBH/CPH was high (0.51) with low genetic correlation with other morphological traits. Heritabilities for symmetrical and asymmetrical features of caudal fin were moderate or low and indirect selection using other highly correlated traits such as PC2s through SOL and PC3a through PC4a or PC1s would facilitate progress in the selection. Perimeter showed a moderate heritability and it was more genetically correlated with growth than shape-related traits. The data provided represent a valuable tool to assess body shape in sole and in the design of genetic breeding programs in Senegalese sole.</t>
  </si>
  <si>
    <t>[Gayo, Patricia; Berbel, Concha; Manchado, Manuel] IFAPA Ctr El Toruno, Junta Andalucia,Camino Tiro Pichon S N, El Puerto De Santa Maria 11500, Cadiz, Spain; [Korozi, Evangelia] Agr Univ Athens, Dept Crop Sci, Lab Gen &amp; Agr Microbiol, Iera Odos 75, Athens 11855, Greece; [Zerolo, Ricardo] CUPIMAR, Ctra Carraca S N,Salina San Juan Bautista, San Fernando, Cadiz, Spain; [Manchado, Manuel] IFAPA Ctr El Toruno, Camino Tiro Pichon S N, El Puerto de Santa Maria 11500, Cadiz, Spain</t>
  </si>
  <si>
    <t>Agricultural University of Athens</t>
  </si>
  <si>
    <t>Manchado, M (corresponding author), IFAPA Ctr El Toruno, Junta Andalucia,Camino Tiro Pichon S N, El Puerto De Santa Maria 11500, Cadiz, Spain.;Manchado, M (corresponding author), IFAPA Ctr El Toruno, Camino Tiro Pichon S N, El Puerto de Santa Maria 11500, Cadiz, Spain.</t>
  </si>
  <si>
    <t>manuel.manchado@juntadeandalucia.es</t>
  </si>
  <si>
    <t>Manchado, Manuel/M-8379-2015</t>
  </si>
  <si>
    <t>Manchado, Manuel/0000-0002-4584-4878</t>
  </si>
  <si>
    <t>MCIU/AEI/FEDER, UE [RTA2017-00054-C03-01]; EU H2020 research [817992]; CDTI [PCI2020-111994]; MCIN/AEI/; EU NextGener-ationEU/PRTR; AEI</t>
  </si>
  <si>
    <t>MCIU/AEI/FEDER, UE; EU H2020 research; CDTI(Spanish Government); MCIN/AEI/; EU NextGener-ationEU/PRTR; AEI</t>
  </si>
  <si>
    <t>This work is funded by MCIU/AEI/FEDER, UE, code RTA2017-00054-C03-01, project EU H2020 research grant agreement 817992 ERANET-BLUEBIO COFUND Bestbrood code PCI2020-111994 funded by CDTI, MCIN/AEI/10.13039/501100011033 and EU NextGener-ationEU/PRTR. PGL is granted with a predoctoral scholarship funded by AEI.</t>
  </si>
  <si>
    <t>10.1016/j.aquaculture.2023.739948</t>
  </si>
  <si>
    <t>P7WM4</t>
  </si>
  <si>
    <t>WOS:001052739000001</t>
  </si>
  <si>
    <t>Haslegrave, J</t>
  </si>
  <si>
    <t>Haslegrave, John</t>
  </si>
  <si>
    <t>Monitoring edge-geodetic sets: Hardness and graph products</t>
  </si>
  <si>
    <t>DISCRETE APPLIED MATHEMATICS</t>
  </si>
  <si>
    <t>Edge monitoring; Geodetic problem; Shortest path; Cartesian product; Strong product; Computational complexity</t>
  </si>
  <si>
    <t>NUMBER</t>
  </si>
  <si>
    <t>Foucaud, Krishna and Ramasubramony Sulochana recently introduced the concept of monitoring edge-geodetic sets in graphs, and a related graph invariant. These are sets of vertices such that the removal of any edge changes the distance between some pair of vertices in the set. They studied the minimum possible size of such a set in a given graph, which we call the monitoring edge-geodetic number.We show that the decision problem for the monitoring edge-geodetic number is NP-complete. We also give best-possible upper and lower bounds for the Cartesian and strong products of two graphs. These bounds establish the exact value in many cases, including many new examples of graphs whose only monitoring edge-geodetic set is the whole vertex set.&amp; COPY; 2023 The Author(s). Published by Elsevier B.V. This is an open access article under the CC BY license (http://creativecommons.org/licenses/by/4.0/).</t>
  </si>
  <si>
    <t>[Haslegrave, John] Univ Oxford, Math Inst, Oxford, England</t>
  </si>
  <si>
    <t>University of Oxford</t>
  </si>
  <si>
    <t>Haslegrave, J (corresponding author), Univ Oxford, Math Inst, Oxford, England.</t>
  </si>
  <si>
    <t>j.haslegrave@cantab.net</t>
  </si>
  <si>
    <t>Haslegrave, John/0000-0002-9991-7120</t>
  </si>
  <si>
    <t>European Research Council under the European Union's Horizon 2020 research and innovation programme [883810]; European Research Council (ERC) [883810] Funding Source: European Research Council (ERC)</t>
  </si>
  <si>
    <t>European Research Council under the European Union's Horizon 2020 research and innovation programme(European Research Council (ERC)); European Research Council (ERC)(European Research Council (ERC)Spanish Government)</t>
  </si>
  <si>
    <t>Research supported by the European Research Council under the European Union's Horizon 2020 research and innovation programme (grant agreement no. 883810) .</t>
  </si>
  <si>
    <t>0166-218X</t>
  </si>
  <si>
    <t>1872-6771</t>
  </si>
  <si>
    <t>DISCRETE APPL MATH</t>
  </si>
  <si>
    <t>Discret Appl. Math.</t>
  </si>
  <si>
    <t>10.1016/j.dam.2023.06.033</t>
  </si>
  <si>
    <t>O6JK2</t>
  </si>
  <si>
    <t>hybrid, Green Submitted</t>
  </si>
  <si>
    <t>WOS:001044846000001</t>
  </si>
  <si>
    <t>He, H; Xiao, H; Liu, CR; Li, YY; Li, DJ; Li, MK; Liu, Y</t>
  </si>
  <si>
    <t>He, Hao; Xiao, He; Liu, Chenrui; Li, Yuyao; Li, Dejian; Li, Mengke; Liu, Yun</t>
  </si>
  <si>
    <t>Efficient degradation of tetracycline with N-rGO/CuO catalysts under high salinity condition via persulfate activation dominated by non-radical pathways</t>
  </si>
  <si>
    <t>SEPARATION AND PURIFICATION TECHNOLOGY</t>
  </si>
  <si>
    <t>High salt environment; Persulfate activation; Singlet oxygen; Electron transfer; Wastewater treatment</t>
  </si>
  <si>
    <t>GRAPHENE OXIDE; OXIDATIVE-DEGRADATION; ENHANCED ACTIVATION; WATER-TREATMENT; WASTE-WATER; PEROXYMONOSULFATE; REMOVAL; OXYGEN; REDUCTION; CARBON</t>
  </si>
  <si>
    <t>The degradation of organic pollutants under high-salt conditions is significant for the resource utilization and environmental remediation. In this work, nitrogen-doped graphene supported copper oxide (N-rGO/CuO, NGC) was synthesized to activate persulfate (PS) for tetracycline (TC) degradation. The TC removal rate reached 97% within 90 min and the catalyst showed high resistance to saline ions. Dual catalytic effects of N and Cu sites on NGC significantly improved the PS activation and the TC oxidation by dominated non-radical reactions involving 1O2 and electron transfer. The dopped N provided more active sites for PS activation and promoted the generation of 1O2. Besides, the CuO loaded on nitrogen-doped graphene enhanced the adsorption of PS and reinforced the oxidative degradation of TC by accelerating electron transfer. Moreover, the successful COD removal from real high salinity wastewater demonstrated that PS activation on NGC is a promising method for treating organic pollutants under high-salt environment.</t>
  </si>
  <si>
    <t>[He, Hao; Xiao, He; Liu, Chenrui; Li, Yuyao; Li, Dejian; Li, Mengke; Liu, Yun] Xiangtan Univ, Coll Environm &amp; Resources, Dept Environm Sci &amp; Engn, Xiangtan 411105, Peoples R China</t>
  </si>
  <si>
    <t>Xiangtan University</t>
  </si>
  <si>
    <t>Liu, Y (corresponding author), Xiangtan Univ, Coll Environm &amp; Resources, Dept Environm Sci &amp; Engn, Xiangtan 411105, Peoples R China.</t>
  </si>
  <si>
    <t>liuyunscut@163.com</t>
  </si>
  <si>
    <t>National Natural Science Foundation of China, China [42177231]; Postgraduate Sci-entific Research Innovation Project of Hunan Province, China [CX20210650]</t>
  </si>
  <si>
    <t>National Natural Science Foundation of China, China(National Natural Science Foundation of China (NSFC)); Postgraduate Sci-entific Research Innovation Project of Hunan Province, China</t>
  </si>
  <si>
    <t>The authors appreciate the support of the National Natural Science Foundation of China, China (No. 42177231) and the Postgraduate Sci-entific Research Innovation Project of Hunan Province, China (CX20210650) .</t>
  </si>
  <si>
    <t>1383-5866</t>
  </si>
  <si>
    <t>1873-3794</t>
  </si>
  <si>
    <t>SEP PURIF TECHNOL</t>
  </si>
  <si>
    <t>Sep. Purif. Technol.</t>
  </si>
  <si>
    <t>10.1016/j.seppur.2023.124936</t>
  </si>
  <si>
    <t>Engineering, Chemical</t>
  </si>
  <si>
    <t>S4BQ9</t>
  </si>
  <si>
    <t>WOS:001070642100001</t>
  </si>
  <si>
    <t>Huang, XY; Xia, H; Liu, YK; Miyombo, ME</t>
  </si>
  <si>
    <t>Huang, Xue-ying; Xia, Hong; Liu, Yong-kuo; Miyombo, Miyombo Ernest</t>
  </si>
  <si>
    <t>Improved fault diagnosis method of electric gate valve in nuclear power plant</t>
  </si>
  <si>
    <t>ANNALS OF NUCLEAR ENERGY</t>
  </si>
  <si>
    <t>Electric gate valve; Fault diagnosis; Fault degree evaluation; CEEMDAN; Bi-LSTM</t>
  </si>
  <si>
    <t>The vibration signal (VS) analysis and acoustic emission signal (AES) analysis methods are the common effective diagnostic methods in valve fault diagnosis (FD)(Classify fault types). However, these two methods are disadvantaged by the surrounding environment and noise signals produced during acquisition. To obtain an improved FD effect of an electric gate valve (EGV) in nuclear power plant, the two previous methods are ameliorated by a noise reduction processing, then the signal feature extraction is performed. The FD and degree evaluation are carried out for the common fault types of the EGV taken as object. In this paper, three-phase unbalanced faults (Acquisition of VS), packing damage faults (Acquisition of VS) and internal leakage faults (Acquisition of AES) are taken as examples. The Complete Ensemble Empirical Mode Decomposition with Adaptive Noise (CEEMDAN) algorithm composed with Fast Fourier Transform (FFT) and the SAEU3H series digital acoustic emission detection system (SAEU3H SDAEDS) are used to noise reduction and extraction of parameters of the VS and AES, respectively. Then, the extracted feature parameters are brought into the Bi-directional Long Short-Term Memory (Bi-LSTM) deep neural network for FD and fault degree evaluation (Assess the severity of failure occurrences). The experimental results show that the method adopted in this paper has high FD accuracy and low fault evaluation error.</t>
  </si>
  <si>
    <t>[Huang, Xue-ying; Xia, Hong; Liu, Yong-kuo; Miyombo, Miyombo Ernest] Harbin Engn Univ, Fundamental Sci Nucl Safety &amp; Simulat Technol Lab, Harbin 150001, Peoples R China; [Miyombo, Miyombo Ernest] Radiat Protect Author, P Box 50002,Explorat House, Lusaka 50002, Zambia</t>
  </si>
  <si>
    <t>Harbin Engineering University</t>
  </si>
  <si>
    <t>Huang, XY (corresponding author), Harbin Engn Univ, Fundamental Sci Nucl Safety &amp; Simulat Technol Lab, Harbin 150001, Peoples R China.</t>
  </si>
  <si>
    <t>National Natural Science Foundations of China [51379046, U21B2083]; National Defense Science and Technology Industry Nuclear Power Technology Innovation Center Fund [HDLCXZX-2021-ZH-019]; Fundamental Research Funds for the Central Universities [3072021GIP1503]</t>
  </si>
  <si>
    <t>National Natural Science Foundations of China(National Natural Science Foundation of China (NSFC)); National Defense Science and Technology Industry Nuclear Power Technology Innovation Center Fund; Fundamental Research Funds for the Central Universities(Fundamental Research Funds for the Central Universities)</t>
  </si>
  <si>
    <t>This research work was funded by the National Natural Science Foundations of China (Grant No. 51379046 and U21B2083), the National Defense Science and Technology Industry Nuclear Power Technology Innovation Center Fund (HDLCXZX-2021-ZH-019), the Fundamental Research Funds for the Central Universities (3072021GIP1503)</t>
  </si>
  <si>
    <t>0306-4549</t>
  </si>
  <si>
    <t>1873-2100</t>
  </si>
  <si>
    <t>ANN NUCL ENERGY</t>
  </si>
  <si>
    <t>Ann. Nucl. Energy</t>
  </si>
  <si>
    <t>10.1016/j.anucene.2023.109996</t>
  </si>
  <si>
    <t>Nuclear Science &amp; Technology</t>
  </si>
  <si>
    <t>R0VZ4</t>
  </si>
  <si>
    <t>WOS:001061619400001</t>
  </si>
  <si>
    <t>Jiang, W; Fu, BJ; Gao, GY; Lv, YH; Wang, C; Sun, SQ; Wang, K; Schuler, S; Shu, ZG</t>
  </si>
  <si>
    <t>Jiang, Wei; Fu, Bojie; Gao, Guangyao; Lv, Yihe; Wang, Cong; Sun, Siqi; Wang, Kai; Schueler, Stefan; Shu, Zhongguo</t>
  </si>
  <si>
    <t>Exploring spatial-temporal driving factors for changes in multiple ecosystem services and their relationships in West Liao River Basin, China</t>
  </si>
  <si>
    <t>Social-ecological system; Dynamic change; Ecosystem service relationship; Driving factor; Path analysis</t>
  </si>
  <si>
    <t>YIELD</t>
  </si>
  <si>
    <t>Ecosystem services (ES) are the direct and indirect benefits people obtain from ecosystems, serving as a bridge linking ecological systems and social-economic systems. The quantitative assessment of the dynamic changes in ES and their relationships and the identification of the driving forces behind them have recently become a research hotspot. However, several research gaps remain challenging, such as the lack of an analytical framework for selecting relevant driving factors and the need for an innovative approach that integrally estimates the impacts of driving factors on the changes in ES and the relationships between ES. In this study, we modify the social-ecological system framework as the analytical basis and suggest a series of principles for selecting relevant driving factors, we then adopt the path analysis model to simultaneously and consistently quantify the contributions of driving factors to ES changes and their relationships. Using the West Liao River Basin (WLRB) as a case study, the results show the spatial-temporal variations in three ES and six driving factors from 2000 to 2020, divided into four periods. The estimation of path analysis model confirm two hypotheses that different driving factors exerted differential effects on changes in multiple ES in four periods for the whole WLRB and in three subbasins for the period 2015-2020. In addition, the path analysis exhibits the quantitative relationships between food production, water yield, and soil conservation, which vary temporally and spatially in different periods and different sub-basins. The identification of driving factors is helpful for supporting policy-making to construct a coupled self-adjusted social-ecological for the benefit of the public.</t>
  </si>
  <si>
    <t>[Jiang, Wei; Fu, Bojie; Gao, Guangyao; Lv, Yihe; Wang, Cong; Sun, Siqi; Wang, Kai; Shu, Zhongguo] Chinese Acad Sci, Res Ctr Ecoenvironm Sci, State Key Lab Urban &amp; Reg Ecol, 18 Shuangqing Rd, Beijing 100085, Peoples R China; [Schueler, Stefan] Georg August Univ Gottingen, Funct Agrobiodivers, Grisebachstr 6, D-37077 Gottingen, Germany</t>
  </si>
  <si>
    <t>Chinese Academy of Sciences; Research Center for Eco-Environmental Sciences (RCEES); University of Gottingen</t>
  </si>
  <si>
    <t>Jiang, W (corresponding author), Chinese Acad Sci, Res Ctr Ecoenvironm Sci, State Key Lab Urban &amp; Reg Ecol, 18 Shuangqing Rd, Beijing 100085, Peoples R China.</t>
  </si>
  <si>
    <t>weijiang@rcees.ac.cn</t>
  </si>
  <si>
    <t>Key Science and Technology Special Program of Inner Mongolia Autonomous Region [2021ZD0015]</t>
  </si>
  <si>
    <t>Key Science and Technology Special Program of Inner Mongolia Autonomous Region</t>
  </si>
  <si>
    <t>This study was supported by the Key Science and Technology Special Program of Inner Mongolia Autonomous Region (2021ZD0015) .</t>
  </si>
  <si>
    <t>10.1016/j.scitotenv.2023.166716</t>
  </si>
  <si>
    <t>S4GQ2</t>
  </si>
  <si>
    <t>WOS:001070772200001</t>
  </si>
  <si>
    <t>Kummamuru, NB; Watson, G; Ciocarlan, RG; Verbruggen, SW; Cool, P; Van der Voort, P; Perreault, P</t>
  </si>
  <si>
    <t>Kummamuru, Nithin B.; Watson, Geert; Ciocarlan, Radu-George; Verbruggen, Sammy W.; Cool, Pegie; Van der Voort, Pascal; Perreault, Patrice</t>
  </si>
  <si>
    <t>Accelerated methane storage in clathrate hydrates using mesoporous (Organo-) silica materials</t>
  </si>
  <si>
    <t>Methane; Clathrate; Mesoporous (organo-) silica; Kinetics</t>
  </si>
  <si>
    <t>GAS HYDRATE; ACTIVATED CARBON; POROUS-MEDIA; TEMPERATURE-DEPENDENCE; CRYSTALLIZATION KINETICS; SECONDARY PROCESS; PHASE-EQUILIBRIA; WATER-MOLECULES; PARTICLE-SIZE; LIQUID WATER</t>
  </si>
  <si>
    <t>Methane (CH4) clathrate hydrates have gained much attention in the ever-growing search for novel energy storage methods; however, they are currently limited due to their poor water-to-hydrate conversions and slow formation kinetics. To surmount these bottlenecks, significant research has been centered on the design of novel methods (porous media). In this vein, the present work explores two hydrophobic mesoporous solids, an alkyl grafted mesoporous silica (SBA-15 C8) and a periodic mesoporous organosilica (Ring-PMO), in their ability to promote CH4 clathrates. Both materials have shown to facilitate CH4 clathrate formation at mild operating conditions (6 MPa and 269-276 K). The study revealed that the maximal CH4 storage capacities are strongly linked to the critical/optimal quantity of water in the system which was determined to be at 130% and 200% of the pore volume for SBA-15 C8 and Ring-PMO, respectively. Up to 90% and 95% of the maximum water-to hydrate conversions were achieved in 90 min at the lowest experimental temperature and critical water content for SBA-15 C8 and Ring-PMO, respectively. At these conditions, SBA-15 C8 and Ring-PMO showed a maximum gas uptake of 98.2 and 101.2 mmol CH4/mol H2O, respectively. Both the materials exhibited no chemical or morphological changes post-clathrate formations (characterized using FT-IR, N2 sorption, XRD, and TEM), inferring their viability as clathrate promoters for multiple cycles. An integrated multistep model was considered adequate for representing the hydrate crystallization kinetics and fits well with the experimental kinetic data with a low average absolute deviation in water-to-hydrate conversions among the three distinct kinetic models analyzed. Overall, the results from this study demonstrate hydrophobic porous materials as effective promoters of CH4 clathrates, which could make clathrate-based CH4 storage and transport technology industrially viable.</t>
  </si>
  <si>
    <t>[Kummamuru, Nithin B.; Verbruggen, Sammy W.] Univ Antwerp, Dept Biosci Engn, Sustainable Energy Air &amp; Water Technol DuEL, Groenenborgerlaan 171, B-2020 Antwerp, Belgium; [Watson, Geert; Van der Voort, Pascal] Univ Ghent, Ctr Ordered Mat Organometall &amp; Catalysis COMOC, Dept Chem, Krijgslaan 281-S3, B-9000 Ghent, Belgium; [Ciocarlan, Radu-George; Cool, Pegie] Univ Antwerp, Dept Chem, Lab Adsorpt &amp; Catalysis, Univ pl 1, B-2610 Antwerp, Belgium; [Verbruggen, Sammy W.] Univ Antwerp, NANOlab Ctr Excellence, Groenenborgerlaan 171, B-2020 Antwerp, Belgium; [Perreault, Patrice] Univ Antwerp, Fac Sci, Inst Milieu &amp; Duurzame Ontwikkeling IMDO, Campus Groenenborger Bldg V 612,Gronenborgerlaan 1, B-2020 Antwerp, Belgium; [Perreault, Patrice] Univ Antwerp, BlueApp, Olieweg 97, B-2020 Antwerp, Belgium</t>
  </si>
  <si>
    <t>University of Antwerp; Ghent University; University of Antwerp; University of Antwerp; University of Antwerp; University of Antwerp</t>
  </si>
  <si>
    <t>Kummamuru, NB (corresponding author), Univ Antwerp, Dept Biosci Engn, Sustainable Energy Air &amp; Water Technol DuEL, Groenenborgerlaan 171, B-2020 Antwerp, Belgium.</t>
  </si>
  <si>
    <t>NithinBharadwaj.Kummamuru@uantwerpen.be</t>
  </si>
  <si>
    <t>Kummamuru, Nithin Bharadwaj/L-2255-2018</t>
  </si>
  <si>
    <t>Kummamuru, Nithin Bharadwaj/0000-0003-2989-3079</t>
  </si>
  <si>
    <t>VLAIO for Moonshot funding [HBC.2019.0110, HBC.2021.0254]; UGent [BOFBAS2020000401]</t>
  </si>
  <si>
    <t>VLAIO for Moonshot funding; UGent</t>
  </si>
  <si>
    <t>All authors acknowledge VLAIO for Moonshot funding (ARCLATH, n ? HBC.2019.0110, ARCLATH2, n ? HBC.2021.0254) . PVDV acknowledges UGent for BOFBAS2020000401 for the funding of the XRD diffractometer.</t>
  </si>
  <si>
    <t>10.1016/j.fuel.2023.129403</t>
  </si>
  <si>
    <t>Q7PS7</t>
  </si>
  <si>
    <t>WOS:001059413200001</t>
  </si>
  <si>
    <t>Li, HR; Zhang, YC; Dai, GL; Zhaxi, CR; Wang, Y; Wang, SF</t>
  </si>
  <si>
    <t>Li, Haoran; Zhang, Yicheng; Dai, Gaole; Zhaxi, Ciren; Wang, Yi; Wang, Shufang</t>
  </si>
  <si>
    <t>Identification and quantification of compounds with Angiotensin-converting enzyme inhibitory activity in licorice by UPLC-MS</t>
  </si>
  <si>
    <t>Licorice; UPLC-QTOF-MS; Angiotensin converting enzyme inhibitor; Active constituents; Aggregation -induced emission; Quantification</t>
  </si>
  <si>
    <t>BIOACTIVE CONSTITUENTS; TRITERPENE SAPONINS; INJURY; ROOTS; ACE; PROTECTS; PATHWAY</t>
  </si>
  <si>
    <t>Licorice is a famous medicine-food herb for treating cardiovascular diseases in many compound prescriptions. Angiotensin-converting enzyme (ACE) is a key target of cardiovascular diseases. Despite its significance, there is limited scientific investigation regarding the ACE inhibitory effects of licorice. In this study, we used an activityguided approach with an aggregation-induced emission (AIE) fluorescent probe to identify compounds with ACEinhibitory activity in licorice. Nine components of licorice were found to have ACE inhibitory activity, in which 46 compounds were identified by using UPLC-QTOF-MS. Seven active compounds were found in this study. Among them, licochalcone B had best ACE inhibitory activity (IC50 = 0.24 &amp; mu;M). Finally, an UPLC-Q-MS method was established to quantify the five major active compounds in three batches of licorice. The findings of this study offer valuable insights into the potential of licorice as a source of ACE inhibitors and its relevance in the development of related products.</t>
  </si>
  <si>
    <t>[Li, Haoran; Zhang, Yicheng; Dai, Gaole; Zhaxi, Ciren; Wang, Yi; Wang, Shufang] Zhejiang Univ, Coll Pharmaceut Sci, Key Lab Adv Drug Delivery Syst Zhejiang Prov, Hangzhou 310058, Peoples R China; [Wang, Shufang] Zhejiang Univ, Innovat Ctr Translat Pharm, Jinhua Inst, Jinhua 321016, Peoples R China; [Wang, Shufang] Zhejiang Univ, Coll Pharmaceut Sci, 866 Yuhangtang Rd, Hangzhou 310058, Peoples R China</t>
  </si>
  <si>
    <t>Zhejiang University; Zhejiang University; Zhejiang University</t>
  </si>
  <si>
    <t>Wang, SF (corresponding author), Zhejiang Univ, Coll Pharmaceut Sci, 866 Yuhangtang Rd, Hangzhou 310058, Peoples R China.</t>
  </si>
  <si>
    <t>wangsf@zju.edu.cn</t>
  </si>
  <si>
    <t>Research and Development Program of China [82274088]; National Natural Science Foundation of China [LY22H280003]; Natural Science Foundation of Zhejiang Province; [2021YFC1712905]</t>
  </si>
  <si>
    <t>Research and Development Program of China(National High Technology Research and Development Program of China); National Natural Science Foundation of China(National Natural Science Foundation of China (NSFC)); Natural Science Foundation of Zhejiang Province(Natural Science Foundation of Zhejiang Province);</t>
  </si>
  <si>
    <t>This work was supported by the grants from the National Key Research and Development Program of China (Grant No. 2021YFC1712905) , The National Natural Science Foundation of China (Grant No. 82274088) was obtained by Dr. Shufang Wang, and the Natural Science Foundation of Zhejiang Province (Grant No. LY22H280003).r Research and Development Program of China (Grant No. 2021YFC1712905) , The National Natural Science Foundation of China (Grant No. 82274088) was obtained by Dr. Shufang Wang, and the Natural Science Foundation of Zhejiang Province (Grant No. LY22H280003) .</t>
  </si>
  <si>
    <t>10.1016/j.foodchem.2023.136962</t>
  </si>
  <si>
    <t>Q3DT7</t>
  </si>
  <si>
    <t>WOS:001056359600001</t>
  </si>
  <si>
    <t>Li, M; Guo, F; Xiao, L; Wang, YB; Zhang, YJ; Bo, XJ; Liu, TT</t>
  </si>
  <si>
    <t>Li, Mian; Guo, Fei; Xiao, Lan; Wang, Yibin; Zhang, Yingjie; Bo, Xiangjie; Liu, Tingting</t>
  </si>
  <si>
    <t>Synthesis of three-dimensional (3D) hierarchically porous iron-nickel nanoparticles encapsulated in boron and nitrogen-codoped porous carbon nanosheets for accelerated water splitting</t>
  </si>
  <si>
    <t>Porous carbon nanosheets; Boron doping; Nitrogen doping; FeNi nanocrystalline; Hydrogen evolution reaction; Oxygen evolution reaction</t>
  </si>
  <si>
    <t>EFFICIENT; GRAPHENE; ELECTROCATALYST; CATALYSTS; DESIGN; OXYGEN; FILMS</t>
  </si>
  <si>
    <t>Designing two-dimensional (2D) porous carbon nanosheets is a promising strategy for enhancing the watersplitting activities of non-noble metal catalysts. In this study, we developed a novel method for synthesizing the novel three-dimensional (3D) hierarchically porous iron-nickel (FeNi) nanoparticles encapsulated in boron (B) and nitrogen (N)-codoped porous carbon nanosheets (denoted as FeNi@BNPCNS). Owing to the advantages of morphology and structure of B and N, 10.31 atom % of B/N active centers were successfully doped into the optimal FeNi@BNPCNS-800 nanosheets. FeNi@BNPCNS-800 exhibited better hydrogen evolution reaction (HER) and oxygen evolution reaction (OER) electrocatalytic activities than control catalysts in an alkaline solution. However, the HER and OER electrocatalytic activities of FeNi@BNPCNS-800 were slightly lower than 20 wt% Pt/C and RuO2. The FeNi@BNPCNS-800||FeNi@BNPCNS-800 electrolyzer achieved 10 mA cm-2 at 1.514 V, which was 73 mV lower than that of 20 wt% Pt/C||RuO2 electrolyzer (1.587 V). The perfect 3D honeycomblike architectures, abundant mesopores/defects, and abundant electrocatalytic active sites were attributed to the outstanding water-splitting performances of FeNi@BNPCNS-800 nanosheets. This study provides an efficient strategy for the large-scale, rapid, and low-cost fabrication of 2D porous carbon nanosheets without using any template, surfactant, or expensive raw material, thus presenting a simple approach to design advanced non-noble metal electrocatalysts for water splitting.</t>
  </si>
  <si>
    <t>[Li, Mian; Guo, Fei; Xiao, Lan; Wang, Yibin; Zhang, Yingjie] Kunming Univ Sci &amp; Technol, Fac Met &amp; Energy Engn, Natl &amp; Local Joint Engn Ctr Lithium Ion Batteries, Kunming 650093, Peoples R China; [Liu, Tingting] Yunnan Univ, Electron Microscopy Ctr, Sch Mat &amp; Energy, 2 Green Lake North Rd, Kunming 650091, Peoples R China; [Bo, Xiangjie] Northeast Normal Univ, Fac Chem, Key Lab Nanobiosensing &amp; Nanobioanalysis Univ Jili, Changchun 130024, Peoples R China</t>
  </si>
  <si>
    <t>Kunming University of Science &amp; Technology; Yunnan University; Northeast Normal University - China</t>
  </si>
  <si>
    <t>Li, M; Zhang, YJ (corresponding author), Kunming Univ Sci &amp; Technol, Fac Met &amp; Energy Engn, Natl &amp; Local Joint Engn Ctr Lithium Ion Batteries, Kunming 650093, Peoples R China.;Liu, TT (corresponding author), Yunnan Univ, Electron Microscopy Ctr, Sch Mat &amp; Energy, 2 Green Lake North Rd, Kunming 650091, Peoples R China.;Bo, XJ (corresponding author), Northeast Normal Univ, Fac Chem, Key Lab Nanobiosensing &amp; Nanobioanalysis Univ Jili, Changchun 130024, Peoples R China.</t>
  </si>
  <si>
    <t>mianzi2009@126.com; zyjkmust@126.com; baoxj133@nenu.edu.cn; liutt133@ynu.edu.cn</t>
  </si>
  <si>
    <t>project of the Thousand Young Talents Program of Yunnan Province; Kunming University of Science and Technology of introducing talents; Kunming University of Science and Technology; [130214119417]; [2021T20170019]</t>
  </si>
  <si>
    <t>project of the Thousand Young Talents Program of Yunnan Province; Kunming University of Science and Technology of introducing talents; Kunming University of Science and Technology; ;</t>
  </si>
  <si>
    <t>This work was supported by the follow-up project of the Thousand Young Talents Program of Yunnan Province (No. 2022) , the scientific research start-up fund from Kunming University of Science and Technology of introducing talents (130214119417) , and the analysis and test fund from Kunming University of Science and Technology (2021T20170019) .</t>
  </si>
  <si>
    <t>10.1016/j.jcis.2023.07.069</t>
  </si>
  <si>
    <t>R7LJ3</t>
  </si>
  <si>
    <t>WOS:001066129300001</t>
  </si>
  <si>
    <t>Li, XG; Yang, N; Cen, XM; Li, SY; Zhang, LY; Lu, ZH</t>
  </si>
  <si>
    <t>Li, Xiugang; Yang, Nan; Cen, Xingmei; Li, Siyuan; Zhang, Lingyu; Lu, Zhang-Hui</t>
  </si>
  <si>
    <t>Exceptional activity of hollow porphyrin frameworks-confined Ni nanoparticles for hydrogen production from NaBH4 methanolysis</t>
  </si>
  <si>
    <t>Porphyrin frameworks; Hollow material; Ni nanoparticles; Sodium borohydride; Hydrogen storage</t>
  </si>
  <si>
    <t>MESOPOROUS CARBON; H-2 GENERATION; HYDROLYSIS; CATALYST; NANOCLUSTERS; EFFICIENCY; CELLULOSE; SPHERES</t>
  </si>
  <si>
    <t>Hollow framework materials have recently attracted broad interest owing to the multifarious superiorities, such as large surface area, adjustable pore structure, short transport distance, as well as high permeability. Herein, a nitrogen-rich hollow porphyrin framework (H-POF) was synthesized via SiO2 as hard template. Then, ultrafine Ni nanoparticles (NPs) were confined on the surface of H-POF via ultrasonic impregnation reduction method. The resultant Ni/H-POF catalyst shows an extraordinary catalytic performance toward the methanolysis of NaBH4, providing a hydrogen generation rate (HGR) value of 34720 mL &amp; BULL;min  1 &amp; BULL;gmetal  1, which surpasses all heterogeneous catalysts ever reported with NaOH. Further experimental investigation confirms that the high catalytic activity can attributed to the large specific surface area and hollow structure of the support, small size of metal NPs, as well as the electron-donating effect of nitrogen atoms on metal NPs. Based on isotopic experiments, the breaking of O-H bond in CH3OH is proved to be the rate-determining step (RDS) of NaBH4 methanolysis. This work provides valuable insights for rationally designing nitrogen-rich hollow framework materials for supporting ultrafine metal NPs, which will be used for the future energy-related applications.</t>
  </si>
  <si>
    <t>[Li, Xiugang; Yang, Nan; Cen, Xingmei; Li, Siyuan; Zhang, Lingyu] Tongren Univ, Coll Mat &amp; Chem Engn, Tongren 554300, Peoples R China; [Li, Xiugang; Lu, Zhang-Hui] Jiangxi Normal Univ, Coll Chem &amp; Chem Engn, Nanchang 330022, Peoples R China</t>
  </si>
  <si>
    <t>Tongren University; Jiangxi Normal University</t>
  </si>
  <si>
    <t>Zhang, LY (corresponding author), Tongren Univ, Coll Mat &amp; Chem Engn, Tongren 554300, Peoples R China.;Lu, ZH (corresponding author), Jiangxi Normal Univ, Coll Chem &amp; Chem Engn, Nanchang 330022, Peoples R China.</t>
  </si>
  <si>
    <t>chyzhly@gztrc.edu.cn; luzh@jxnu.edu.cn</t>
  </si>
  <si>
    <t>Natural Science Foundation of Guizhou Province [ZK [2023] 466]; Doctoral Research Foun-dation Project of Tongren University [trxyDH2204]</t>
  </si>
  <si>
    <t>Natural Science Foundation of Guizhou Province; Doctoral Research Foun-dation Project of Tongren University</t>
  </si>
  <si>
    <t>This work was financially supported by Natural Science Foundation of Guizhou Province (ZK [2023] 466) and the Doctoral Research Foun-dation Project of Tongren University (No. trxyDH2204) .</t>
  </si>
  <si>
    <t>10.1016/j.fuel.2023.129332</t>
  </si>
  <si>
    <t>P2HQ6</t>
  </si>
  <si>
    <t>WOS:001048905900001</t>
  </si>
  <si>
    <t>Li, ZY; Gao, RY; Hou, ZQ; Yu, XH; Dai, HX; Deng, JG; Liu, YX</t>
  </si>
  <si>
    <t>Li, Zeya; Gao, Ruyi; Hou, Zhiquan; Yu, Xiaohui; Dai, Hongxing; Deng, Jiguang; Liu, Yuxi</t>
  </si>
  <si>
    <t>Tandem supported Pt and ZSM-5 catalyst with separated catalytic functions for promoting multicomponent VOCs oxidation</t>
  </si>
  <si>
    <t>Tandem catalyst; Supported catalyst; Multicomponent volatile organic compound; Catalytic oxidation; Polychlorinated byproducts</t>
  </si>
  <si>
    <t>COMBUSTION; 1,2-DICHLOROETHANE; CHLOROBENZENE; PERFORMANCE; PLATINUM; TOLUENE; MECHANISM; INSIGHTS; PD; TRICHLOROETHYLENE</t>
  </si>
  <si>
    <t>The painting and electronics industries simultaneously release aromatic compounds and chlorinated organics. The development of catalysts with synergistic control of these pollutants is of great significance to achieve air purification. However, developing active catalysts while maintaining good chlorine resistance remain a huge challenge due to the difficulty of the trade-off between the redox properties and acidity and the production of polychlorinated byproducts. Herein, we introduce a novel tandem PtSn/CeO2 &amp; Mn/ZSM-5 catalyst and investigate its catalytic performance for multicomponent volatile organic compounds (VOCs) oxidation. The two individual catalysts, PtSn/CeO2 and Mn/ZSM-5, were used to catalyze two distinct sequential reactions. PtSn/CeO2 catalyzed toluene oxidation to produce CO2 and H2O. Meanwhile, the introduction of SnOx favored the adsorption of trichloroethylene (TCE) molecules that prevented Pt sites from chlorine poisoning and possibly converted adsorbed TCE into intermediates, which were subsequently oxidized deeply by the nearby Mn/ZSM-5. This approach resulted in a remarkable oxidation efficiency for toluene (T90 = 296 degrees C) and TCE (T90 = 384 degrees C), with fewer unexpected toxic byproducts (chlorobenzene and 4-chlorotoluene). Furthermore, the tandem catalyst possessed excellent chlorine and water resistances. In conclusion, the above findings provide new insights into the design and/or syntheses of advanced catalysts for widespread VOCs pollution control.</t>
  </si>
  <si>
    <t>[Li, Zeya; Gao, Ruyi; Hou, Zhiquan; Yu, Xiaohui; Dai, Hongxing; Deng, Jiguang; Liu, Yuxi] Beijing Univ Technol, Dept Chem Engn, Key Lab Beijing Reg Air Pollut Control, Beijing Key Lab Green Catalysis &amp; Separat,Fac Envi, Beijing 100124, Peoples R China</t>
  </si>
  <si>
    <t>Beijing University of Technology</t>
  </si>
  <si>
    <t>Deng, JG; Liu, YX (corresponding author), Beijing Univ Technol, Dept Chem Engn, Key Lab Beijing Reg Air Pollut Control, Beijing Key Lab Green Catalysis &amp; Separat,Fac Envi, Beijing 100124, Peoples R China.</t>
  </si>
  <si>
    <t>jgdeng@bjut.edu.cn; yxliu@bjut.edu.cn</t>
  </si>
  <si>
    <t>Dai, Hongxing/0000-0001-9857-0260</t>
  </si>
  <si>
    <t>State's Key Project of Research and Development Plan [2022YFB3506200, 2022YFB3504101]; National Natural Science Foundation of China [21976009]; National Natural Science Committee of China-Liaoning Provincial People's Government Joint Fund [U1908204]; Beijing Natural Science Foundation [J210006]; Ramp;D Program of Beijing Municipal Education Commission [KZ202210005011]</t>
  </si>
  <si>
    <t>State's Key Project of Research and Development Plan; National Natural Science Foundation of China(National Natural Science Foundation of China (NSFC)); National Natural Science Committee of China-Liaoning Provincial People's Government Joint Fund; Beijing Natural Science Foundation(Beijing Natural Science Foundation); Ramp;D Program of Beijing Municipal Education Commission</t>
  </si>
  <si>
    <t>This work was financially supported by the the State's Key Project of Research and Development Plan (2022YFB3506200 and 2022YFB3504101), National Natural Science Foundation of China (21976009), National Natural Science Committee of China-Liaoning Provincial People's Government Joint Fund (U1908204), Beijing Natural Science Foundation (J210006), and R &amp; amp;D Program of Beijing Municipal Education Commission (KZ202210005011).</t>
  </si>
  <si>
    <t>10.1016/j.apcatb.2023.123131</t>
  </si>
  <si>
    <t>P5IK9</t>
  </si>
  <si>
    <t>WOS:001051010400001</t>
  </si>
  <si>
    <t>Li, ZX; Tie, WB; Huang, JC; Wang, Q; Li, TL; Yang, ST; Zhang, S</t>
  </si>
  <si>
    <t>Li, Zhexi; Tie, Weibo; Huang, Junchen; Wang, Qi; Li, Tingle; Yang, Songtao; Zhang, Song</t>
  </si>
  <si>
    <t>Analysis of the differences in coke thermal properties testing</t>
  </si>
  <si>
    <t>Coke; CRI/CSR; Thermodynamic analysis; Ore -coke experiment</t>
  </si>
  <si>
    <t>BLAST-FURNACE OPERATION; METALLURGICAL COKE; REACTIVITY</t>
  </si>
  <si>
    <t>Coke thermal properties affects the operation of blast furnaces, but currently there are certain issues with the accuracy of the results(CRI &amp; CSR), which affects the determination of the quality of coke. Using the coke of enterprise as the experimental sample and base on the Chinese standard as the experimental conditions, comparative-experiment is carried out under two different temperature modes: constant center temperature of 1100 degrees C and constant heating temperature of 1100 degrees C, next, by simulating the ore-coke experimental under blast furnace conditions, the reliability of CRI &amp; CSR for comparative-experiment is demonstrated. The research conclusion is as follows: there are significant differences of CRI &amp; CSR of different coke in comparison-experiment, according to thermodynamic analysis, the reason is that thermal compensation determines the degree of absorption heat of coke solution loss affects the experimental results, which leads to the deviation. The difference in deviation is due to the varying degree to which the solution loss reaction rate of different coke is affected by temperature, the ore-coke experimental shows that the reactivity of coke, CSL (Coke Solution Loss), and the strength after reaction, CSRCSL, is a consistent trend with constant center temperature method, therefore the constant center temperature method can simulate the solution and degradation behavior of coke in blast furnaces more accurately, and can evaluate the metallurgical performance of coke more accurately.</t>
  </si>
  <si>
    <t>[Li, Zhexi; Tie, Weibo; Huang, Junchen; Wang, Qi; Li, Tingle; Yang, Songtao; Zhang, Song] Univ Sci &amp; Technol Liaoning, Sch Mat &amp; Met, Anshan 114051, Liaoning, Peoples R China</t>
  </si>
  <si>
    <t>Huang, JC; Wang, Q (corresponding author), Univ Sci &amp; Technol Liaoning, Sch Mat &amp; Met, Anshan 114051, Liaoning, Peoples R China.</t>
  </si>
  <si>
    <t>864566818@qq.com; wangqi8822@sina.com</t>
  </si>
  <si>
    <t>National Natural Science Foundation of China [52174319, 52204315]</t>
  </si>
  <si>
    <t>The support of the National Natural Science Foundation of China (No.52204315 and 52174319) is greatly acknowledged.</t>
  </si>
  <si>
    <t>10.1016/j.fuel.2023.129359</t>
  </si>
  <si>
    <t>Q9CY8</t>
  </si>
  <si>
    <t>WOS:001060437100001</t>
  </si>
  <si>
    <t>Liu, YT; Liu, HF; Li, N; Wang, F</t>
  </si>
  <si>
    <t>Liu, Yuting; Liu, Huifang; Li, Ning; Wang, Feng</t>
  </si>
  <si>
    <t>Photoinduced organocatalytic lignin C-C bond cleavage in mixed binary solvents</t>
  </si>
  <si>
    <t>Lignin; Photocatalysis; C; C bond cleavage; Solvent effect</t>
  </si>
  <si>
    <t>VISIBLE-LIGHT PHOTOREDOX; PHOTOCATALYTIC CLEAVAGE; OXIDATION; CHEMICALS; STRATEGY; DEPOLYMERIZATION; FRACTIONATION; PYROLYSIS; CATALYSIS; RADICALS</t>
  </si>
  <si>
    <t>Lignin presents a renewable alternative of fossil feedstock to produce value-added aromatic chemicals. Oxidative cleavage of C-C bonds in lignin is of great importance, but obtaining aromatic monomers in high selectivity under mild conditions is challenging. Herein, we report a novel strategy of photoinduced oxidative C-C cleavage of lignin &amp; beta;-O-4 derivatives using photoredox organocatalysts, among which Mes-10-phenyl-Acr+-BF4- exhibited high yields of aromatic aldehydes and phenyl formate. Besides, mixed binary organic solvents were demonstrated to promote bond cleavage and inhibit over-oxidation side reactions. The absorbance, excitation, and interaction with the lignin model of the photocatalyst in different solvents were investigated by UV-Vis, PL, and CV tests. Furthermore, through mechanism studies, a C-centered radical intermediate was captured, providing evidence for the direct C &amp; alpha;- C &amp; beta; bond cleavage mechanism during the reaction. This work presents a new photocatalytic strategy and provides deep insights into the bond cleavage mechanism for lignin valorization.</t>
  </si>
  <si>
    <t>[Liu, Yuting; Wang, Feng] Univ Sci &amp; Technol China, Dept Chem Phys, Jinzhai Rd 96, Hefei 230026, Peoples R China; [Liu, Yuting; Liu, Huifang; Li, Ning; Wang, Feng] Chinese Acad Sci, Dalian Inst Chem Phys DICP, Dalian 116023, Peoples R China</t>
  </si>
  <si>
    <t>Chinese Academy of Sciences; University of Science &amp; Technology of China, CAS; Chinese Academy of Sciences; Dalian Institute of Chemical Physics, CAS</t>
  </si>
  <si>
    <t>Liu, HF; Wang, F (corresponding author), Chinese Acad Sci, Dalian Inst Chem Phys DICP, Dalian 116023, Peoples R China.</t>
  </si>
  <si>
    <t>liuhuifang@dicp.ac.cn; wangfeng@dicp.ac.cn</t>
  </si>
  <si>
    <t>Wang, Feng/A-3774-2011</t>
  </si>
  <si>
    <t>Wang, Feng/0000-0002-9167-8743</t>
  </si>
  <si>
    <t>National Key Ramp;D Program of China [2022YFA1504904]; National Natural Science Foundation of China [22272169, 22025206, 32130073]; Liaoning Revitalization Talents Program [XLYC2002012]; Dalian Institute of Chemical Physics, CAS [DICP I202131]; K. C. Wong Education Foundation of Chinese Academy of Sciences [GJTD-2020-08]</t>
  </si>
  <si>
    <t>National Key Ramp;D Program of China; National Natural Science Foundation of China(National Natural Science Foundation of China (NSFC)); Liaoning Revitalization Talents Program; Dalian Institute of Chemical Physics, CAS(Chinese Academy of Sciences); K. C. Wong Education Foundation of Chinese Academy of Sciences(Chinese Academy of Sciences)</t>
  </si>
  <si>
    <t>This work was supported by the National Key R &amp; amp;D Program of China (2022YFA1504904), the National Natural Science Foundation of China (22272169, 22025206, 32130073), the Liaoning Revitalization Talents Program (XLYC2002012), the Dalian Institute of Chemical Physics, CAS (Grant: DICP I202131), and K. C. Wong Education Foundation of Chinese Academy of Sciences (GJTD-2020-08). We thank the instrumental support of the Liaoning Key Laboratory of Biomass Conversion for Energy and Material.</t>
  </si>
  <si>
    <t>10.1016/j.apcatb.2023.123137</t>
  </si>
  <si>
    <t>P5RP3</t>
  </si>
  <si>
    <t>WOS:001051250300001</t>
  </si>
  <si>
    <t>Luengo, EA; Olivares, BA; Villalba, LJG; Hernandez-Castro, J</t>
  </si>
  <si>
    <t>Luengo, Elena Almaraz; Olivares, Bittor Alana; Villalba, Luis Javier Garcia; Hernandez-Castro, Julio</t>
  </si>
  <si>
    <t>Further analysis of the statistical independence of the NIST SP 800-22 randomness tests</t>
  </si>
  <si>
    <t>Correlation; Dieharder; ENT; Independence; NIST SP 800-22; Pseudo-random number generator (PRNG); Randomness; Statistical hypothesis test; Test suite; True random number generator (TRNG)</t>
  </si>
  <si>
    <t>NUMBER; GENERATION; KEYS</t>
  </si>
  <si>
    <t>In multiple applications, from Statistics to Particle Physics and notably in Cryptography and Computer Security, it is necessary to obtain long sequences of random numbers. In order to verify the properties of these sequences, different statistical tests are commonly applied, which are usually included in the so-called test batteries or test suites. The batteries need to be both effective and efficient. Their effectiveness relates to how well they can spot non-randomness behaviour, the efficiency is related to the computational time they require. It is therefore essential for tests included in batteries to measure their independence features: Test independence is important for good effectiveness, as high correlations between tests could lead to a decreased efficiency (testing for the same features multiple times) and effectiveness (missing an opportunity to test for an orthogonal randomness property when we essentially measure the same twice). Moreover, the related study of test coverage is often based on the assumption that tests are independent. This paper describes a series of experiments aimed at scrutinizing dependencies among the statistical tests in the NIST SP 800-22 suite. In order to do so, sequences of varying lengths from sources of varying entropy have been generated and tested. Afterwards, an inferential study was carried out to find whether significant correlations exist and to present our findings in a statistically sound way.</t>
  </si>
  <si>
    <t>[Luengo, Elena Almaraz; Olivares, Bittor Alana; Villalba, Luis Javier Garcia] Univ Complutense Madrid, Grp Anal Secur &amp; Syst GASS, Madrid, Spain; [Hernandez-Castro, Julio] Univ Kent, Sch Comp, Canterbury, England</t>
  </si>
  <si>
    <t>Complutense University of Madrid; University of Kent</t>
  </si>
  <si>
    <t>Villalba, LJG (corresponding author), Univ Complutense Madrid, Grp Anal Secur &amp; Syst GASS, Madrid, Spain.</t>
  </si>
  <si>
    <t>ealmaraz@ucm.es; balana@ucm.es; javiergv@fdi.ucm.es; jch27@kent.ac.uk</t>
  </si>
  <si>
    <t>Garcia Villalba, Luis Javier/N-4631-2014</t>
  </si>
  <si>
    <t>Garcia Villalba, Luis Javier/0000-0001-7573-6272</t>
  </si>
  <si>
    <t>European Commission [101070303]; THEIA (Techniques for Integrity and Authentication of Multimedia Files of Mobile Devices) UCM project [FEI- EU-19-04, FEI-EU-21-01]; EPSRC's Quantum Communications Hub [EP/T001011/1]; Innovate UK ' s Industrial Strategy Challenge Fund (ISCF) Project [106374-49229]</t>
  </si>
  <si>
    <t>European Commission(European Union (EU)European Commission Joint Research Centre); THEIA (Techniques for Integrity and Authentication of Multimedia Files of Mobile Devices) UCM project; EPSRC's Quantum Communications Hub(UK Research &amp; Innovation (UKRI)Engineering &amp; Physical Sciences Research Council (EPSRC)); Innovate UK ' s Industrial Strategy Challenge Fund (ISCF) Project</t>
  </si>
  <si>
    <t>This work was supported by the European Commission under the Horizon Europe Programme, as part of the project LAZARUS (https://lazarus-he.eu/) (Grant Agreement no. 101070303) . The content of this article does not reflect the official opinion of the European Union. Responsibility for the information and views expressed therein lies entirely with the authors. This work has also received funding from THEIA (Techniques for Integrity and Authentication of Multimedia Files of Mobile Devices) UCM project (FEI- EU-19-04) and THEIA I (Techniques for integrity, authentication and scene recognition in multimedia files of mobile devices-Part I) UCM project (FEI-EU-21-01) . Julio Hernandez -Castro was supported during this work by EPSRC's Quantum Communications Hub (Grant number EP/T001011/1) and Innovate UK ' s Industrial Strategy Challenge Fund (ISCF) Project no. 106374-49229 AQuRand (Assurance of Quantum Random Number Generators) .</t>
  </si>
  <si>
    <t>10.1016/j.amc.2023.128222</t>
  </si>
  <si>
    <t>P7CD1</t>
  </si>
  <si>
    <t>WOS:001052206200001</t>
  </si>
  <si>
    <t>Maleki, A; Nejati, E; Aghsami, A; Jolai, F</t>
  </si>
  <si>
    <t>Maleki, Abolfazl; Nejati, Erfan; Aghsami, Amir; Jolai, Fariborz</t>
  </si>
  <si>
    <t>Developing a supervised learning-based simulation method as a decision support tool for rebalancing problems in bike-sharing systems</t>
  </si>
  <si>
    <t>Bike-sharing; Rebalancing problem; Simulation; Machine learning; Metamodeling; Decision support tool</t>
  </si>
  <si>
    <t>DEMAND; NETWORK; MODEL</t>
  </si>
  <si>
    <t>Bike-Sharing Systems (BSSs) have exploded in popularity worldwide because of their beneficial impacts on traffic, pollution levels, and public health, which has resulted in moving toward a green city. The rebalancing problem, as one of the most important operational problems of such systems, deals with planning bike distribution at different stations. Regarding conducted studies, simulation models are the most common tool for analyzing BSSs and decision-making. This popularity is based on simulation's capabilities in modeling complexities of systems and uncertainty. Despite their advantages, lack of quickness is a significant drawback of simulation-based methods, making them inefficient for real-time decision-making processes, especially in largescale and complex systems. In this regard, this paper introduces a Supervised Learning-Based Simulation (SLBS) method as an alternative to the conventional simulation-based methods dealing with rebalancing problems. SLBS is a huge step toward developing a real-time Decision Support System (DSS) for BSSs. For developing SLBS, firstly, we have developed a simulation model based on real-world assumptions of station-based BSSs and big data analysis of CitiBike, a well-known BSS located in New York City. The simulation model is able to calculate the number of unsatisfied demands (either number of failed pick-ups (FPs) or failed drop-offs (FDs)) as a result of different rebalancing plans. Then, the developed simulation model was used to generate quality and quantity training datasets to train Machine Learning (ML) algorithms involved in SLBS. While these ML models are trained once, SLBS will be capable of predicting the number of unsatisfied demands without running highly time-intensive simulations replications. The results obtained from a wide range of conducted experiments indicate that SLBS, up to 300 times faster than simulation models, can provide predictions with over 90% of R2 Score.</t>
  </si>
  <si>
    <t>[Maleki, Abolfazl; Nejati, Erfan; Aghsami, Amir; Jolai, Fariborz] Univ Tehran, Coll Engn, Sch Ind Engn, Tehran, Iran; [Aghsami, Amir] KN Toosi Univ Technol KNTU, Sch Ind Engn, Tehran, Iran</t>
  </si>
  <si>
    <t>University of Tehran; K. N. Toosi University of Technology</t>
  </si>
  <si>
    <t>Aghsami, A (corresponding author), Univ Tehran, Coll Engn, Sch Ind Engn, Tehran, Iran.</t>
  </si>
  <si>
    <t>abolfazl.maleki00@ut.ac.ir; e.nejati@ut.ac.ir; a.aghsami@ut.ac.ir; fjolai@ut.ac.ir</t>
  </si>
  <si>
    <t>; Jolai, Fariborz/B-4406-2012</t>
  </si>
  <si>
    <t>Aghsami, Amir/0000-0003-0175-2979; Jolai, Fariborz/0000-0003-0824-8513</t>
  </si>
  <si>
    <t>10.1016/j.eswa.2023.120983</t>
  </si>
  <si>
    <t>P2MH5</t>
  </si>
  <si>
    <t>WOS:001049027700001</t>
  </si>
  <si>
    <t>Pansari, P; Durga, G; Sharma, R</t>
  </si>
  <si>
    <t>Pansari, Pratibha; Durga, Geeta; Sharma, Roopali</t>
  </si>
  <si>
    <t>Carbon nanoprobe derived from Nyctanthes arbor-tristis flower: Unveiling the surface defect-derived fluorescence</t>
  </si>
  <si>
    <t>SPECTROCHIMICA ACTA PART A-MOLECULAR AND BIOMOLECULAR SPECTROSCOPY</t>
  </si>
  <si>
    <t>Nyctanthes arbortristis flower; Surface defects; Fluorescence; Carbon dots</t>
  </si>
  <si>
    <t>QUANTUM DOTS; GREEN SYNTHESIS; ASCORBIC-ACID; NITROGEN; FE3+; PHOTOLUMINESCENCE; ANTIOXIDANT; MECHANISM; NANODOTS; PROBE</t>
  </si>
  <si>
    <t>Dual Emissive (green and blue) Carbon dots (C-Dots) aka g-CD and b-CD were synthesized using flowers of Nyctanthes arbortristis as the sole precursor via hydrothermal method without the aid of any external passivating agent. In the present report, the effect of time and temperature on the hydrothermal reaction was evaluated in order to modulate the surface defects that could lead to dual emissions. To gauge the nature, size, morphology, and optoelectronic characteristics, the C-Dots were characterized using high-resolution transmission electron microscopy (HRTEM), X-ray photoelectron spectroscopy (XPS), Fourier-transform infrared spectroscopy (FTIR), UV-Vis spectroscopy and Fluorescence spectroscopy. The fluorescence studies of both the Carbon Dots revealed their excitation-dependent emission characteristics with the bathochromic shift. Furthermore, both g-CD and b -CD could effectively be utilized as efficient fluorescent probes for the selective and sensitive detection of Fe3+. These fluorescent nanoprobes could selectively detect Fe3+ over a wide range of concentrations (3 &amp; mu;M to 100 &amp; mu;M) with limit of detection (LOD) as low as 0.06 &amp; mu;M and 0.70 &amp; mu;M respectively. These tuneable Carbon Dots having wider solubilities would open a new avenue as Nanosensors for real-time applications.</t>
  </si>
  <si>
    <t>[Pansari, Pratibha; Durga, Geeta; Sharma, Roopali] Sharda Univ, Sch Basic Sci &amp; Res, Dept Chem &amp; Biochem, Greater Noida 201306, UP, India</t>
  </si>
  <si>
    <t>Sharda University</t>
  </si>
  <si>
    <t>Durga, G (corresponding author), Sharda Univ, Sch Basic Sci &amp; Res, Dept Chem &amp; Biochem, Greater Noida 201306, UP, India.</t>
  </si>
  <si>
    <t>geeta.durga@sharda.ac.in</t>
  </si>
  <si>
    <t>Pansari, Pratibha/0000-0001-5631-4234</t>
  </si>
  <si>
    <t>Sharda University; [SU/RES/SBSR/Chemistry/2021212714/515]</t>
  </si>
  <si>
    <t>Sharda University;</t>
  </si>
  <si>
    <t>This research work was financially supported by Sharda University. Author P Pansari gratefully acknowledges Sharda University for providing the research fellowship (SU/RES/SBSR/Chemistry/2021212714/515) . The authors acknowledge Central Instrumentation Facility Jamia Millia Islamia, New Delhi and Mr Taufail Ahmed, in charge CIF, JMI for providing their instrumentation facility to carried out emission studies. We acknowledge Sophisticated Analytical Instrument Facility, IIT-Delhi for HR-TEM and Material Research Centre MNIT Jaipur for XPS facility.</t>
  </si>
  <si>
    <t>1386-1425</t>
  </si>
  <si>
    <t>1873-3557</t>
  </si>
  <si>
    <t>SPECTROCHIM ACTA A</t>
  </si>
  <si>
    <t>Spectroc. Acta Pt. A-Molec. Biomolec. Spectr.</t>
  </si>
  <si>
    <t>10.1016/j.saa.2023.123119</t>
  </si>
  <si>
    <t>Spectroscopy</t>
  </si>
  <si>
    <t>Q6KT6</t>
  </si>
  <si>
    <t>WOS:001058600000001</t>
  </si>
  <si>
    <t>Prajapati, S; Jana, S</t>
  </si>
  <si>
    <t>Prajapati, Sunita; Jana, Subrata</t>
  </si>
  <si>
    <t>Selective recognition of Fe2+in aqueous solution by chalcones</t>
  </si>
  <si>
    <t>Fe2+ion recognition; Chalcone; Association constant; UV-vis titration; Fluorescence titration</t>
  </si>
  <si>
    <t>SOLVENT-FREE SYNTHESIS; ONE-POT SOLVENT; HETEROCYCLIC-COMPOUNDS; MOLECULAR RECOGNITION; IRON; ANTIBACTERIAL; CHEMOSENSOR; SCIENCE; ANIONS; PROBES</t>
  </si>
  <si>
    <t>Recognition of metal ions in aqueous media has direct impact for designing new supramolecular hosts for tar-geting biochemical pathways. In the present work we have studied the binding behavior of three simple chal-cones with variation in number of phenolic OH groups. These chalcones showed very good binding capabilities towards metal ions in CH3OH-H2O (1:1, v/v) solvent system. The receptors R1 has interacted with all metal ions, which are used in the present study through 2:1 mode of complexation whereas R2 have showed equilibrium between the complexes of 2:1 and 1:1 with few exceptions. The highest association constants (K21) of R1 and R2 for Fe2+ is observed as 1.1 x 109 (4) M-1 and 2.3 x 108 (7) M-1 respectively by fluorescence titration method. But R3, which is lack of any phenolic OH group, binds all the metal ions through the formation of 1:1 mode of complex formation by exploiting the only one donor site as carbonyl 'O' atom resulting lower association con-stant for all the metal ions. So intermolecular hydrogen bonding as well as 7C-7C stacking interaction forced the receptors R1 and R2 to arrange in a pseudo cleft orientation for the recognition of metal ions in 2:1 mode of complex formation. The binding behaviour of the receptors with few alkali metal ions (Na+, K+ and Cs+) and alkaline-earth metal ions (Mg2+, Ca2+ and Ba2+) are also studied and observed weak binding nature in compared with the transition metal ions.</t>
  </si>
  <si>
    <t>[Prajapati, Sunita; Jana, Subrata] Cent Univ, Indira Gandhi Natl Tribal Univ, Dept Chem, Amarkantak 484887, MP, India</t>
  </si>
  <si>
    <t>Indira Gandhi National Tribal University</t>
  </si>
  <si>
    <t>Jana, S (corresponding author), Cent Univ, Indira Gandhi Natl Tribal Univ, Dept Chem, Amarkantak 484887, MP, India.</t>
  </si>
  <si>
    <t>jana.s.oc@gmail.com</t>
  </si>
  <si>
    <t>Jana, Subrata/C-5301-2011</t>
  </si>
  <si>
    <t>Jana, Subrata/0000-0002-7533-3745</t>
  </si>
  <si>
    <t>Madhya Pradesh Council of Science and Technology (MPCST) , Bhopal; Madhya Pradesh Council of Science and Technology (MPCST) , Bhopal, Govt. of Madhya Pradesh, India; Indira Gandhi National Tribal University (Central University), Amarkantak, M.P., India; MPCST; [186/CST/R&amp;D/PhyEngg/2018-19]</t>
  </si>
  <si>
    <t>Madhya Pradesh Council of Science and Technology (MPCST) , Bhopal; Madhya Pradesh Council of Science and Technology (MPCST) , Bhopal, Govt. of Madhya Pradesh, India; Indira Gandhi National Tribal University (Central University), Amarkantak, M.P., India; MPCST;</t>
  </si>
  <si>
    <t>This work is supported by Madhya Pradesh Council of Science and Technology (MPCST) , Bhopal, Govt. of Madhya Pradesh, India through Grant no: Endt. No 186/CST/R &amp; amp;D/Phy &amp; amp;Engg/2018-19 (SJ) . SP thanks to MPCST and Indira Gandhi National Tribal University (Central University) , Amarkantak, M.P., India for research fellowship. The instrumental of IGNTU Authors facility CIF, are gratefully acknowledged. thank Prof. Rupam Dinda, Department of Chemistry, National Institute of Technology, Rourkela, India for his support.</t>
  </si>
  <si>
    <t>10.1016/j.saa.2023.123129</t>
  </si>
  <si>
    <t>Q6HB5</t>
  </si>
  <si>
    <t>WOS:001058501600001</t>
  </si>
  <si>
    <t>Punarvasu, TP; Prashanth, KVH</t>
  </si>
  <si>
    <t>Punarvasu, T. P.; Prashanth, K. V. Harish</t>
  </si>
  <si>
    <t>Acute and subacute in vivo safety assessment of developed chitosan derivatives for food applications</t>
  </si>
  <si>
    <t>FOOD HYDROCOLLOIDS FOR HEALTH</t>
  </si>
  <si>
    <t>Low molecular weight chitosan; Self -assembly; Sub -acute toxicity; Safety; Histopathology; OECD</t>
  </si>
  <si>
    <t>OLIGOSACCHARIDE; TOXICITY; ASSAY</t>
  </si>
  <si>
    <t>The acute and subacute studies of two chitosan derivatives was conducted by oral administration on Swiss albino mice. Chitosan soluble derivatives were prepared by depolymerization method using potassium persulfate. C-13 NMR data have revealed that Low Molecular Weight Chitosan (LMWC) has higher (similar to 70%) 'acetylated' residues and Self Assembled Chitosan Microparticles (SAMC) consists of 'deacetylated' residues. For acute toxicity study, a single dose of two concentrations 2000 and 5000 mg/kg bw of the chitosan derivatives (LMWC, or SAMC) was given orally to healthy mice. Results indicated that the LD50 value for chitosan derivatives was greater than 5000 mg/kg bw. In the sub-acute toxicity studies, administration of concentrations 1000 and 2000 mg/kg bw dose of chitosan derivatives (repeated daily dose for 28 days) also did not reveal any toxicological changes in clinical observations, viz. relative organs, body weight, food consumption, biochemical parameters studied, antioxidant markers, and histopathological studies has been compared with control group. Together, present systematic study supports the oral administration of non-viscous and soluble chitosan derivatives (LMWC &amp; SAMC) will have no toxicity may be safe to use in food and pharma applications.</t>
  </si>
  <si>
    <t>[Punarvasu, T. P.; Prashanth, K. V. Harish] CSIR Cent Food Technol Res Inst, Dept Biochem, Funct Biopolymer Lab, Mysuru 570020, Karnataka, India</t>
  </si>
  <si>
    <t>Council of Scientific &amp; Industrial Research (CSIR) - India; CSIR - Central Food Technological Research Institute (CFTRI)</t>
  </si>
  <si>
    <t>Prashanth, KVH (corresponding author), CSIR Cent Food Technol Res Inst, Dept Biochem, Funct Biopolymer Lab, Mysuru 570020, Karnataka, India.</t>
  </si>
  <si>
    <t>harish@cftri.res.in</t>
  </si>
  <si>
    <t>Indian Council of Medical Research (ICMR) , Government of India [3/1/2/85/2018-Nut]</t>
  </si>
  <si>
    <t>Indian Council of Medical Research (ICMR) , Government of India(Indian Council of Medical Research (ICMR))</t>
  </si>
  <si>
    <t>Author Ms. Punarvasu T P greatly acknowledges Indian Council of Medical Research (ICMR) , Government of India, for financial assistance for awarding for Senior Research Fellowship [Award No. 3/1/2/85/2018-Nut) ] .</t>
  </si>
  <si>
    <t>2667-0259</t>
  </si>
  <si>
    <t>FOOD HYDROCOLL HLTH</t>
  </si>
  <si>
    <t>Food Hydrocolloids Health</t>
  </si>
  <si>
    <t>10.1016/j.fhfh.2023.100145</t>
  </si>
  <si>
    <t>Chemistry, Applied; Food Science &amp; Technology</t>
  </si>
  <si>
    <t>Emerging Sources Citation Index (ESCI)</t>
  </si>
  <si>
    <t>Chemistry; Food Science &amp; Technology</t>
  </si>
  <si>
    <t>P6BP2</t>
  </si>
  <si>
    <t>WOS:001051510900001</t>
  </si>
  <si>
    <t>Qurat-ul-Ain; Saleem, M; Nazir, M; Riaz, N; Tousif, MI; Tauseef, S; Hassan, L; Zengin, G; Sharifi-Rad, M; Shah, SAA</t>
  </si>
  <si>
    <t>Qurat-ul-Ain, Muhammad; Saleem, Muhammad; Nazir, Mamona; Riaz, Naheed; Tousif, Muhammad Imran; Tauseef, Saba; Hassan, Laiba; Zengin, Gokhan; Sharifi-Rad, Majid; Shah, Syed Adnan Ali</t>
  </si>
  <si>
    <t>Secondary metabolite profiling, antioxidant capacity, enzyme inhibitory potential and in silico studies of Launaea intybacea (Jacq.) Beauverd: A multifunctional approach to probe into the new nutraceuticals</t>
  </si>
  <si>
    <t>Launaea intybacea; Metabolic profiling; Antioxidant; Enzyme inhibition; In silico study; Multivariate analysis</t>
  </si>
  <si>
    <t>ALPHA-AMYLASE; ACETYLCHOLINESTERASE INHIBITORS; EXTRACTS; PHYTOCHEMICALS; GLUCOSIDASE; FLAVONOIDS; PHENOLICS; DISEASE; SPINOSA</t>
  </si>
  <si>
    <t>Regular intake of bioactive components in herbal supplements and functional foods exert significant long-term health promoting effects; however, there is limited knowledge about medicinal potential of many wild plants. Launaea intybacea, growing in Cholistan Desert is being used in folk medicine system without authentication. In the present study dry powdered of L. intybacea was extracted separately with methanol, n-hexane, ethyl acetate and water. The methanolic extract (LI-M) afforded equal phenolic (20.68 &amp; PLUSMN; 0.19 mgGAE/g extract) and flavo-noid (20.92 &amp; PLUSMN; 0.17 mgQE/g extract), whereas, hexane (LI-H) and ethyl acetate (LI-E) extracts showed the highest phenolic contents with values as 25.30 &amp; PLUSMN; 0.14 and 25.38 &amp; PLUSMN; 0.48 mg GAE/g extract, respectively, and LI-E showed significant flavonoid content (12.42 &amp; PLUSMN; 0.29 mg GAE/g extract). The LI-M exhibited good inhibitory activity against DPPH and ABTS free radical (30.67 &amp; PLUSMN; 0.07 and 58.28 &amp; PLUSMN; 4.98 mg TE/g extract, respectively), while the LI-E showed free radical inhibitory values as 11.74 &amp; PLUSMN; 0.27 and 44.79 &amp; PLUSMN; 1.56 mg TE/g extract, respectively. LI-H only displayed significant inhibitory value (28.19 &amp; PLUSMN; 1.24 mg TE/g extract) against ABTS radical. The highest CUPRAC activity (86.22 &amp; PLUSMN; 1.35 mg TE/g extract) was also associated with LI-H, while LI-M and LI-E also showed significant activity with the values as 78.77 &amp; PLUSMN; 0.88 and 76.77 &amp; PLUSMN; 1.08 mg TE/g extract, respectively. FRAP activity was nearly equally associated with LI-M, LI-H and LI-E in the range of 47.46 to 40.07 mg TE/g extract, whereas, the phosphomolybdenum and metal chelating activities were observed higher for LI-H (1.29 &amp; PLUSMN; 0.05 mmol TE/g extract and 27.48 &amp; PLUSMN; 0.32 mg EDTAE/g extract, respectively, followed by LI-E. In enzyme inhibition assay, all the extracts were equally active (3.94 to 3.41 mg GALAE/g extract) against AChE, while LI-H showed the highest inhibitory values of 5.13 &amp; PLUSMN; 0.28 mg GALAE/g extract against BChE. Against tyrosinase, the LI-M showed inhibitory value as 46.94 &amp; PLUSMN; 1.53 mg KAE/g extract, while against &amp; alpha;-amylase and &amp; alpha;-glucosidase, the higher values (0.58 &amp; PLUSMN; 0.02 and 1.80 &amp; PLUSMN; 0.01 mmol ACAE/g extract, respectively) were associated with LI-E. UHPLC-MS analysis disclosed 102 secondary metabolites comprising of various classes. The above results authenticate medicinal use of Launaea intybacea (Jacq.) Beauverd and proposed the use of its extracts in nutraceutical and health promoting formulations.</t>
  </si>
  <si>
    <t>[Qurat-ul-Ain, Muhammad; Saleem, Muhammad; Riaz, Naheed] Islamia Univ Bahawalpur, Inst Chem, Baghdad Up Jadeed Campus, Bahawalpur 63100, Pakistan; [Nazir, Mamona] Govt Sadiq Coll Women Univ Bahawalpur, Dept Chem, Bahawalpur 63100, Pakistan; [Tousif, Muhammad Imran] Univ Educ Lahore, Dept Chem, Div Sci &amp; Technol, Lahore 32200, Pakistan; [Tauseef, Saba] Univ Karachi, Dr Panjwani Ctr Mol Med &amp; Drug Res, Int Ctr Chem &amp; Biol Sci, Karachi, Pakistan; [Hassan, Laiba] Islamia Univ Bahawalpur, Fac Pharm, Dept Pharm, Bahawalpur 63100, Pakistan; [Zengin, Gokhan] Selcuk Univ, Sci Fac, Dept Biol, Konya, Turkiye; [Sharifi-Rad, Majid] Univ Zabol, Fac Water &amp; Soil, Dept Range &amp; Watershed Management, Zabol, Iran; [Shah, Syed Adnan Ali] Univ Teknol MARA, Fac Pharm, Cawangan Selangor Kampus Puncak Alam, Bandar Puncak Alam 42300, Selangor, Malaysia; [Shah, Syed Adnan Ali] Univ Teknol MARA, Atta Ur Rahman Inst Nat Prod Discovery AuRIns, Cawangan Selangor Kampus Puncak Alam, Bandar Puncak Alam 42300, Selangor, Malaysia</t>
  </si>
  <si>
    <t>Islamia University of Bahawalpur; University of Karachi; Islamia University of Bahawalpur; Selcuk University; Universiti Teknologi MARA; Universiti Teknologi MARA</t>
  </si>
  <si>
    <t>Saleem, M (corresponding author), Islamia Univ Bahawalpur, Inst Chem, Baghdad Up Jadeed Campus, Bahawalpur 63100, Pakistan.;Tousif, MI (corresponding author), Univ Educ Lahore, Dept Chem, Div Sci &amp; Technol, Lahore 32200, Pakistan.;Zengin, G (corresponding author), Selcuk Univ, Sci Fac, Dept Biol, Konya, Turkiye.;Sharifi-Rad, M (corresponding author), Univ Zabol, Fac Water &amp; Soil, Dept Range &amp; Watershed Management, Zabol, Iran.</t>
  </si>
  <si>
    <t>m.saleem@iub.edu.pk; Imran.tousif@ue.edu.pk; gokhanzengin@selcuk.edu.tr; Majidsharifirad@uoz.ac.ir</t>
  </si>
  <si>
    <t>10.1016/j.molstruc.2023.136480</t>
  </si>
  <si>
    <t>S8MH5</t>
  </si>
  <si>
    <t>WOS:001073649800001</t>
  </si>
  <si>
    <t>Sun, XY; Ding, L; Zhang, LF; Lai, SJ; Chen, FS</t>
  </si>
  <si>
    <t>Sun, Xiaoyang; Ding, Ling; Zhang, Lifen; Lai, Shaojuan; Chen, Fusheng</t>
  </si>
  <si>
    <t>Interaction mechanisms of peanut protein isolate and high methoxyl pectin with ultrasound treatment: The effect of ultrasound parameters, biopolymer ratio, and pH</t>
  </si>
  <si>
    <t>Ultrasound; Peanut protein isolate; Pectin; Interaction; Mechanism</t>
  </si>
  <si>
    <t>HIGH-INTENSITY ULTRASOUND; POLYSACCHARIDE COMPLEXES; FUNCTIONAL-PROPERTIES; MIXTURES; BEHAVIOR; GELATIN; FISH</t>
  </si>
  <si>
    <t>Ultrasound could effectively change molecular structure of proteins, polysaccharides, and their interactions, and was used to treat the peanut protein isolate-high methoxy pectin (PPI-HMP) complexes in this study. Effects of different ultrasound parameters, PPI-HMP mixing ratio (40:1-5:2), and pH (2.0-8.0) on the PPI-HMP in-teractions were investigated. Turbidity, solution appearance, and Zeta-potential analysis revealed an electrostatic interaction between PPI and HMP from pH 2.0 to pH 6.0. Ultrasound changed the tertiary structure conformation of PPI according to the surface hydrophobicity analysis. Increased ultrasound power density and pH broke the hydrogen bonds between the complexes according to Fourier transform infrared spectroscopy analysis. Apparent viscosity and confocal laser scanning microscopy analysis showed that appropriate ultrasound treatment (5.43 W/cm3, 25 min, 25 degrees C) reduced the viscosity of the complexes, and enhanced the electrostatic and hydrophobic interactions between PPI and HMP. These findings will contribute to the application of PPI-HMP complexes in the food industry.</t>
  </si>
  <si>
    <t>[Sun, Xiaoyang] Henan Univ Anim Husb &amp; Econ, Coll Food &amp; Biol Engn, Zhengzhou 450046, Henan, Peoples R China; [Ding, Ling; Zhang, Lifen; Chen, Fusheng] Henan Univ Technol, Coll Food Sci &amp; Technol, Zhengzhou 450001, Henan, Peoples R China; [Lai, Shaojuan] Guizhou Univ Tradit Chinese Med, Coll Basic Med, Guiyang 550025, Guizhou, Peoples R China</t>
  </si>
  <si>
    <t>Henan University of Animal Husbandry &amp; Economy; Henan University of Technology; Guizhou University of Traditional Chinese Medicine</t>
  </si>
  <si>
    <t>Zhang, LF; Chen, FS (corresponding author), Henan Univ Technol, Coll Food Sci &amp; Technol, Zhengzhou 450001, Henan, Peoples R China.</t>
  </si>
  <si>
    <t>zhanglifen2013@hotmail.com; fushengc@haut.edu.cn</t>
  </si>
  <si>
    <t>National Natural Science Foundation of China [U21A20270]; Foundation of Henan Educational Committee [2022HNUAHEDF010]; Doctoral Scientific Research Start-up Foundation from Henan University of Animal Husbandry and Economy [222300420424]; Food Science and Engineering Key Discipline Construction Project of Henan University of Animal Husbandry and Economy [2020GGJS083]; Natural Science Foundation of Henan Province; Foundation for Distinguished Young Talents in Higher Education of Henan; [23B550007]; [XJXK202203]</t>
  </si>
  <si>
    <t>National Natural Science Foundation of China(National Natural Science Foundation of China (NSFC)); Foundation of Henan Educational Committee; Doctoral Scientific Research Start-up Foundation from Henan University of Animal Husbandry and Economy; Food Science and Engineering Key Discipline Construction Project of Henan University of Animal Husbandry and Economy; Natural Science Foundation of Henan Province; Foundation for Distinguished Young Talents in Higher Education of Henan; ;</t>
  </si>
  <si>
    <t>This work was supported by National Natural Science Foundation of China (U21A20270, 2021) ; Foundation of Henan Educational Committee (23B550007, 2022) ; Doctoral Scientific Research Start-up Foundation from Henan University of Animal Husbandry and Economy (2022HNUAHEDF010, 2022) ; Food Science and Engineering Key Discipline Construction Project of Henan University of Animal Husbandry and Economy (XJXK202203) ; Natural Science Foundation of Henan Province (222300420424, 2022) ; and Foundation for Distinguished Young Talents in Higher Education of Henan (2020GGJS083, 2020) .</t>
  </si>
  <si>
    <t>10.1016/j.foodchem.2023.136810</t>
  </si>
  <si>
    <t>O9OG5</t>
  </si>
  <si>
    <t>WOS:001047033700001</t>
  </si>
  <si>
    <t>Tang, J; Long, YH; Zhang, L; Zeng, SP; Tian, SX; Zhang, C</t>
  </si>
  <si>
    <t>Tang, Jun; Long, Yonghan; Zhang, Lei; Zeng, Shipan; Tian, Shixiang; Zhang, Cun</t>
  </si>
  <si>
    <t>Experimental study of coal rank effect on carbon dioxide injection to enhance CBM recovery</t>
  </si>
  <si>
    <t>Coal rank; CO2 injection; ECBM; Permeability</t>
  </si>
  <si>
    <t>METHANE</t>
  </si>
  <si>
    <t>Coal seam gas extraction is an important part of green mining. At the same time gas injection for enhanced coalbed methane recovery (ECBM) has been proposed as an environmentally friendly, low-carbon and effective technology to increase methane production. To study the influence of coal rank on carbon dioxide (CO2)-ECBM efficiency, lignite, bituminous coal, and anthracite were tested using the Gas Flow and Displacement Testing Apparatus (GFDTA). Data indicated that: (1) in lignite and anthracite, outflow CO2 and CH4 fractions changed at higher rates as compared with bituminous coal. At the end of the experiments, lignite and anthracite displayed CH4 outflow fractions of 0.19% and 7.73%, respectively; (2) at the initial stage of the experiments, permeability rapidly decreased. Later, a fast increase was followed by a stable phase. In lignite and anthracite, the increment in permeability during the rapid increase stage was significantly larger than that of bituminous coal. (3) The CH4 flow rate of the three coal ranks showed a decreasing trend. Before the breakthrough, CH4 flow rate decreased rapidly and slowed down. After the breakthrough, CO2 flow displayed a linear increasing trend and later reached stability. (4) In general, CH4 production increased with the increase in coal rank. The variation of CH4 production is manifested in two phases with different dominant factors. In the first stage, CH4 production was mainly affected by permeability, and followed the order lignite &gt; anthracite &gt; bituminous. In the second stage, CH4 production was mainly controlled by the displacement effect, following the order anthracite &gt; bituminous coal &gt; lignite.</t>
  </si>
  <si>
    <t>[Tang, Jun] China Univ Min &amp; Technol, Sch Safety Engn, Xuzhou 221116, Jiangsu, Peoples R China; [Tang, Jun; Zhang, Lei; Zeng, Shipan] Guizhou Mine Safety &amp; Energy Innovat Technol Co Lt, Guiyang 550025, Guizhou, Peoples R China; [Long, Yonghan; Zhang, Lei; Zeng, Shipan] China Univ Min &amp; Technol, Sch Mines, State Key Lab Coal Resources &amp; Safe Min, Xuzhou 221116, Jiangsu, Peoples R China; [Long, Yonghan] CCTEG Chongqing Res Inst, Chongqing 400037, Peoples R China; [Tian, Shixiang] Guizhou Univ, Min Coll, Guiyang 550025, Guizhou, Peoples R China; [Zhang, Cun] China Univ Min &amp; Technol Beijing, Sch Energy &amp; Min Engn, Beijing, Peoples R China</t>
  </si>
  <si>
    <t>China University of Mining &amp; Technology; China University of Mining &amp; Technology; Guizhou University; China University of Mining &amp; Technology</t>
  </si>
  <si>
    <t>Zhang, L (corresponding author), Guizhou Mine Safety &amp; Energy Innovat Technol Co Lt, Guiyang 550025, Guizhou, Peoples R China.</t>
  </si>
  <si>
    <t>leizhangcumt@163.com</t>
  </si>
  <si>
    <t>Guizhou Provincial Science and Technology Support Projects [[2023]337]; National Natural Science Foundation of China [52174129]; Independent Research Project of State Key Laboratory of Coal Resources and Safe Mining, CUMT [SKLCRSM22X006]</t>
  </si>
  <si>
    <t>Guizhou Provincial Science and Technology Support Projects; National Natural Science Foundation of China(National Natural Science Foundation of China (NSFC)); Independent Research Project of State Key Laboratory of Coal Resources and Safe Mining, CUMT</t>
  </si>
  <si>
    <t>This research is supported by the Guizhou Provincial Science and Technology Support Projects ([2023]337), National Natural Science Foundation of China (Grant Nos. 52174129), Independent Research Project of State Key Laboratory of Coal Resources and Safe Mining, CUMT (SKLCRSM22X006).</t>
  </si>
  <si>
    <t>10.1016/j.fuel.2023.129393</t>
  </si>
  <si>
    <t>R2WY1</t>
  </si>
  <si>
    <t>WOS:001063016300001</t>
  </si>
  <si>
    <t>Wang, RH; Hao, ZF; Huang, X; Peng, Y; Liu, GQ; Xia, YG; Zhan, SH</t>
  </si>
  <si>
    <t>Wang, Ruihua; Hao, Zhifei; Huang, Xu; Peng, Yue; Liu, Guoquan; Xia, Yuguo; Zhan, Sihui</t>
  </si>
  <si>
    <t>In-situ formation of carbon-doped cerium-zirconium solid solution as a superacid catalyst for the removal of NOx</t>
  </si>
  <si>
    <t>NH3-SCR; Carbon-dopedCeZrO2_ x; Oxygen vacancy; Subsurface oxygen substitutions; Lewis acid site</t>
  </si>
  <si>
    <t>OXYGEN VACANCIES; LOW-TEMPERATURE; MIXED-OXIDE; REDUCTION; MECHANISM; DEFECTS; OXIDATION; SO2</t>
  </si>
  <si>
    <t>Defects engineering in nanomaterials can be used to precisely and effectively modulate catalysts' reactivity. Here we report a highly efficient NH3-SCR catalyst constructed with in-situ formation of carbon-doped CeZrO2_x with dual defects, in which O atoms are substituted by C atoms to generate surface oxygen vacancies and subsurface oxygen substitutions. The carbon-doped CeZrO2_x exhibit superior activity and better SO2/H2O resistance compared with traditional bulk CeZrOx and V2O5-WO3/TiO2. The related characterization results reveal that the surface oxygen vacancy and subsurface oxygen substitution resulted in the formation of a large number of unsaturated coordination Ce and Zr species on catalyst's surface, which contributed to the adsorption and activation of NH3, thus promoting the catalytic activity. Meanwhile, the abundant oxygen vacancy also stimulated the E-R reaction pathway over carbon-doped CeZrO2_x. In addition, it was proved that more zirconium sulfate and unstable ammonium sulfate species were exposed over carbon-doped CeZrO2_x, benifiting the better SO2tolerance.</t>
  </si>
  <si>
    <t>[Wang, Ruihua; Liu, Guoquan; Zhan, Sihui] Nankai Univ, Coll Environm Sci &amp; Engn, MOE Key Lab Pollut Proc &amp; Environm Criteria, Tianjin Key Lab Environm Remediat &amp; Pollut Control, Tianjin 300350, Peoples R China; [Hao, Zhifei; Huang, Xu] Inner Mongolia Univ Technol, Coll Chem Engn, Hohhot 010051, Peoples R China; [Peng, Yue] Tsinghua Univ, Sch Environm, State Key Joint Lab Environm Simulat &amp; Pollut Cont, Natl Engn Lab Multi Flue Gas Pollut Control Techno, Beijing 100084, Peoples R China; [Xia, Yuguo] Shandong Univ, Sch Chem &amp; Chem Engn, Natl Engn Res Ctr Colloidal Mat, Jinan 250100, Peoples R China</t>
  </si>
  <si>
    <t>Nankai University; Inner Mongolia University of Technology; Tsinghua University; Shandong University</t>
  </si>
  <si>
    <t>Zhan, SH (corresponding author), Nankai Univ, Coll Environm Sci &amp; Engn, MOE Key Lab Pollut Proc &amp; Environm Criteria, Tianjin Key Lab Environm Remediat &amp; Pollut Control, Tianjin 300350, Peoples R China.;Peng, Y (corresponding author), Tsinghua Univ, Sch Environm, State Key Joint Lab Environm Simulat &amp; Pollut Cont, Natl Engn Lab Multi Flue Gas Pollut Control Techno, Beijing 100084, Peoples R China.</t>
  </si>
  <si>
    <t>pengyue83@tsinghua.edu.cn; sihuizhan@nankai.edu.cn</t>
  </si>
  <si>
    <t>Natural Science Foundation of China as general projects [22076082, 22206090, 63181206]; Frontiers Science Center for New Organic Matter; Haihe Laboratory of Sustainable Chemical Transformations; [22225604]</t>
  </si>
  <si>
    <t>Natural Science Foundation of China as general projects; Frontiers Science Center for New Organic Matter; Haihe Laboratory of Sustainable Chemical Transformations;</t>
  </si>
  <si>
    <t>The authors gratefully acknowledge the financially support by the Natural Science Foundation of China as general projects (grant Nos. 22225604, 22076082 and 22206090) , the Frontiers Science Center for New Organic Matter (grant No. 63181206) , and Haihe Laboratory of Sustainable Chemical Transformations.</t>
  </si>
  <si>
    <t>10.1016/j.apcatb.2023.123098</t>
  </si>
  <si>
    <t>Q3LO4</t>
  </si>
  <si>
    <t>WOS:001056566000001</t>
  </si>
  <si>
    <t>Wang, YX; Xu, SF; Wang, YW; Zhang, XC; Chen, JT; Qin, QW; Wei, SA</t>
  </si>
  <si>
    <t>Wang, Yuexuan; Xu, Suifeng; Wang, Yewen; Zhang, Xuchao; Chen, Jiatao; Qin, Qiwei; Wei, Shina</t>
  </si>
  <si>
    <t>Protective role of curcumin in Singapore grouper iridovirus-induced liver injury in orange-spotted grouper (Epinephelus coioides)</t>
  </si>
  <si>
    <t>Curcumin; Singapore grouper iridovirus; Orange-spotted grouper; Liver health</t>
  </si>
  <si>
    <t>OXIDATIVE STRESS; VIRUS-INFECTION; APOPTOSIS; CORONAVIRUS; IDENTIFICATION; DEATH</t>
  </si>
  <si>
    <t>Curcumin, which is extracted from the traditional Chinese medicine turmeric, is a polyphenolic compound with a variety of biological activities, including immunoenhancement, antioxidant, and antibacterial properties. Singapore grouper iridovirus (SGIV) is a highly contagious viral pathogen that is capable of interfering with the organ function and destroying the immune system of the host, resulting in fish mortality and it has caused significant economic losses to the grouper aquaculture industry. The antiviral activity of curcumin has been demonstrated, but its protective effect against fish virus-induced liver injury requires further investigation. In this study, healthy grouper were infected with SGIV after receiving a curcumin gavage once a day for 15 days and the liver health was assessed. Our results showed that SGIV infection of grouper resulted in severe liver injury as evidenced by histopathological abnormalities, elevated hepatic reactive oxygen species and malondialdehyde, apoptosis and endoplasmic reticulum (ER) stress. On the other hand, we discovered that gavage with curcumin boosted fish immunity and reduced SGIV-induced mortality. Curcumin also ameliorated SGIV-induced liver injury, which might be a result of the modulation of the nuclear factor kappa-B (NF-&amp; kappa;B) signaling pathway to reduce liver inflammation, the increase of liver antioxidant levels, the reduction of caspase families-dependent hepatocyte apoptosis, and the relief of liver ER stress by inhibiting heavy-chain binding protein (BIP)/ PKRlike ER kinase (PERK)/ eukaryotic initiation factor 2 &amp; alpha; (eIF2 &amp; alpha;)/ activating transcription factor 4 (ATF4) but not inosital-requiring enzyme-1 (IRE1)/ X-box binding protein 1 (XBP1) or ATF6 signaling pathways. This study demonstrated that curcumin possessed strong antiviral activity in fish and highlighted its protective effect on liver of grouper infected with SGIV, providing a theoretical foundation for the functional development of curcumin in aquaculture.</t>
  </si>
  <si>
    <t>[Wang, Yuexuan; Xu, Suifeng; Wang, Yewen; Zhang, Xuchao; Chen, Jiatao; Qin, Qiwei; Wei, Shina] South China Agr Univ, Coll Marine Sci, Guangdong Lab Lingnan Modern Agr, Guangzhou 510642, Peoples R China; [Qin, Qiwei] Southern Marine Sci &amp; Engn Guangdong Lab, Zhuhai 528478, Peoples R China; [Qin, Qiwei] Lab Marine Biol &amp; Biotechnol, Qingdao Natl Lab Marine Sci &amp; Technol, Qingdao 266000, Peoples R China; [Qin, Qiwei; Wei, Shina] South China Agr Univ, Coll Marine Sci, Guangzhou 510642, Peoples R China</t>
  </si>
  <si>
    <t>Guangdong Laboratory for Lingnan Modern Agriculture; South China Agricultural University; Southern Marine Science &amp; Engineering Guangdong Laboratory; Laoshan Laboratory; South China Agricultural University</t>
  </si>
  <si>
    <t>Qin, QW; Wei, SA (corresponding author), South China Agr Univ, Coll Marine Sci, Guangzhou 510642, Peoples R China.</t>
  </si>
  <si>
    <t>qinqw@scau.edu.cn; weisn@scau.edu.cn</t>
  </si>
  <si>
    <t>Key-Area Research and Development Program of Guangdong Province [2021B0202040002]; Agriculture Research System of China [CARS-47-G16]; National Natural Science Foundation of China [31930115]; Laboratory of Lingnan Modern Agriculture Project [NT2021008]; Guangzhou Rural Science and Technology Commissioner Project [2023E04J1243]; Science and Technology Program of Guangzhou [202201010027]</t>
  </si>
  <si>
    <t>Key-Area Research and Development Program of Guangdong Province; Agriculture Research System of China; National Natural Science Foundation of China(National Natural Science Foundation of China (NSFC)); Laboratory of Lingnan Modern Agriculture Project; Guangzhou Rural Science and Technology Commissioner Project; Science and Technology Program of Guangzhou</t>
  </si>
  <si>
    <t>The work described in this paper was supported by grants from Key-Area Research and Development Program of Guangdong Province (2021B0202040002) , Agriculture Research System of China (CARS-47-G16) , National Natural Science Foundation of China (31930115) , Laboratory of Lingnan Modern Agriculture Project (NT2021008) , Guangzhou Rural Science and Technology Commissioner Project (2023E04J1243) , Science and Technology Program of Guangzhou (202201010027) .</t>
  </si>
  <si>
    <t>10.1016/j.aquaculture.2023.739927</t>
  </si>
  <si>
    <t>P4UY1</t>
  </si>
  <si>
    <t>WOS:001050638400001</t>
  </si>
  <si>
    <t>Xiao, JP; Yu, P; Gao, H; Yao, J</t>
  </si>
  <si>
    <t>Xiao, Junpeng; Yu, Peng; Gao, Hong; Yao, Jing</t>
  </si>
  <si>
    <t>Endogenous Nb2CTx/Nb2O5 Schottky heterostructures for superior lithium-ion storage</t>
  </si>
  <si>
    <t>Schottky heterostructures; MXene; Lithium -ion Storage; Nb2CTx</t>
  </si>
  <si>
    <t>CHARGE SEPARATION; ENERGY-STORAGE; OXIDE; INTERCALATION; CAPABILITY; FILMS</t>
  </si>
  <si>
    <t>Schottky heterostructures have significant advantages for exciting charge transfer kinetics at material interfaces. In this work, endogenous Nb2CTx/Nb2O5 Schottky heterostructures with a large active surface area were constructed using an in-situ architectural strategy. The semiconductor Nb2O5 has a low work function, and during the construction of Nb2CTx/Nb2O5 Schottky heterostructures, there was an interfacial electron transfer, which resulted in a built-in electric field. The electrochemical reaction kinetics of Nb2CTx/Nb2O5 Schottky heterostructures were enhanced due to the rapid transfer of charge driven by the electric field. The Nb2CTx/Nb2O5 Schottky heterostructures have a large active surface area, which contributes to excellent electrolyte diffusion kinetics. Therefore, Nb2CTx/Nb2O5 Schottky heterostructures have excellent lithium-ion storage capacity with 575 mAh/g after 200 cycles at 0.10 A/g, and 290 mAh/g after 1000 cycles at 2.00 A/g, without capacity fading. Furthermore, in-situ X-ray diffraction and ex-situ X-ray photoelectron spectroscopy analyses reveal the mechanisms for structure evolution and lithium-ion storage optimization of Nb2CTx/Nb2O5 Schottky heterostructures during the electrochemical reaction. The construction of Schottky heterostructures with excited charge transport kinetics provides a novel idea for optimizing the lithium-ion storage activity of MXenes materials.</t>
  </si>
  <si>
    <t>[Xiao, Junpeng; Yu, Peng; Gao, Hong; Yao, Jing] Harbin Normal Univ, Sch Phys &amp; Elect Engn, Key Lab Photon &amp; Elect Bandgap Mat, Minist Educ, Harbin 150025, Peoples R China; [Xiao, Junpeng] Northeast Petr Univ, Sch Phys &amp; Elect Engn, Daqing 163318, Peoples R China</t>
  </si>
  <si>
    <t>Harbin Normal University; Northeast Petroleum University</t>
  </si>
  <si>
    <t>Gao, H; Yao, J (corresponding author), Harbin Normal Univ, Sch Phys &amp; Elect Engn, Key Lab Photon &amp; Elect Bandgap Mat, Minist Educ, Harbin 150025, Peoples R China.</t>
  </si>
  <si>
    <t>gaohong65cn@126.com; yaojing@hrbnu.edu.cn</t>
  </si>
  <si>
    <t>National Natural Science Foundation of China [51772070, 22005078]; Team program of the Natural Science Foundation of Heilongjiang Province, China [TD2021E005]</t>
  </si>
  <si>
    <t>National Natural Science Foundation of China(National Natural Science Foundation of China (NSFC)); Team program of the Natural Science Foundation of Heilongjiang Province, China</t>
  </si>
  <si>
    <t>This work was supported by the National Natural Science Foundation of China (No. 51772070, 22005078), the Team program of the Natural Science Foundation of Heilongjiang Province, China (No. TD2021E005).</t>
  </si>
  <si>
    <t>10.1016/j.jcis.2023.08.036</t>
  </si>
  <si>
    <t>R2PR7</t>
  </si>
  <si>
    <t>WOS:001062825900001</t>
  </si>
  <si>
    <t>Xing, ZZ; Zhao, SF; Guo, W; Meng, FY; Guo, XJ; Wang, SQ; He, HT</t>
  </si>
  <si>
    <t>Xing, Zhizhong; Zhao, Shuanfeng; Guo, Wei; Meng, Fanyuan; Guo, Xiaojun; Wang, Shenquan; He, Haitao</t>
  </si>
  <si>
    <t>Coal resources under carbon peak: Segmentation of massive laser point clouds for coal mining in underground dusty environments using integrated graph deep learning model</t>
  </si>
  <si>
    <t>ENERGY</t>
  </si>
  <si>
    <t>Coal; Unmanned mining; Deep learning; Environmental perception; Low -carbon development</t>
  </si>
  <si>
    <t>CLASSIFICATION; FOREST</t>
  </si>
  <si>
    <t>With the background of China's carbon peak, the low-carbon and sustainable development of the coal industry is vital to China's national energy security. Because the underground visibility is low and the dust is continuously spreading, coal mine point cloud segmentation can provide a key basis for underground environment perception, and then provides a premise for the construction of green coal mines. In this study, we propose to segment the coal mining face (CMF) point cloud under the harsh environment based on the advanced dynamic graph convolution neural network (DGCNN) and to obtain the information of the coal cutting roof line. The results show that the multi-level and series pooling DGCNN (ML &amp; SP-DGCNN) which was constructed on the basis of a large number of previous studies shows the best performance. In this study, the coal cutting roof line obtained by segmenting the CMF point cloud provides a key basis for dynamically correcting the underground geological model and straightening the CMF. More importantly, the established CMF point cloud segmentation model lays a foundation for perceiving the underground environment, which is of great help to realize the sustainable green production of coal resources.</t>
  </si>
  <si>
    <t>[Xing, Zhizhong; Meng, Fanyuan] Kunming Med Univ, Sch Rehabil, Kunming 650500, Yunnan, Peoples R China; [Zhao, Shuanfeng; Guo, Wei; Wang, Shenquan] Xian Univ Sci &amp; Technol, Coll Mech Engn, Xian 710054, Peoples R China; [Guo, Xiaojun] South China Univ Technol, Sch Mech &amp; Automot Engn, Guangzhou 510641, Peoples R China; [He, Haitao] Shendong Coal Grp Co Ltd, Natl Energy Grp, Yulin 719315, Peoples R China</t>
  </si>
  <si>
    <t>Kunming Medical University; Xi'an University of Science &amp; Technology; South China University of Technology</t>
  </si>
  <si>
    <t>Xing, ZZ (corresponding author), Kunming Med Univ, Sch Rehabil, Kunming 650500, Yunnan, Peoples R China.</t>
  </si>
  <si>
    <t>xingzhizhong@kmmu.edu.cn</t>
  </si>
  <si>
    <t>xing, zhizhong/HGU-3271-2022</t>
  </si>
  <si>
    <t>xing, zhizhong/0000-0002-8674-7433</t>
  </si>
  <si>
    <t>National Key Research and Development Program of China, China [2017YFC0804310]; Key Research and Development Projects of Shaanxi Province, China [2019ZDLGY03-09-02, 2020ZDLGY04-05, 2020ZDLGY04-06]; Natural Science Basic Research Program of Shaanxi, China [2022JM-402]; Scientific Research Project of Education Department of Shaanxi Province, China [21JP072]; Yunnan Provincial Department of Science and Technology Kunming Medical University Applied Basic Research Joint Project, China [202201AY070001-014]</t>
  </si>
  <si>
    <t>National Key Research and Development Program of China, China; Key Research and Development Projects of Shaanxi Province, China; Natural Science Basic Research Program of Shaanxi, China; Scientific Research Project of Education Department of Shaanxi Province, China; Yunnan Provincial Department of Science and Technology Kunming Medical University Applied Basic Research Joint Project, China</t>
  </si>
  <si>
    <t>This study was supported by the National Key Research and Development Program of China, China (grant number 2017YFC0804310), the Key Research and Development Projects of Shaanxi Province, China (grant numbers 2019ZDLGY03-09-02, 2020ZDLGY04-05 and 2020ZDLGY04-06), the Natural Science Basic Research Program of Shaanxi, China (grant number 2022JM-402), the Scientific Research Project of Education Department of Shaanxi Province, China (grant number 21JP072), the Yunnan Provincial Department of Science and Technology Kunming Medical University Applied Basic Research Joint Project, China (grant number 202201AY070001-014). The authors thank the reviewers and editors for their constructive comments and suggestions on improving this manuscript.</t>
  </si>
  <si>
    <t>0360-5442</t>
  </si>
  <si>
    <t>1873-6785</t>
  </si>
  <si>
    <t>Energy</t>
  </si>
  <si>
    <t>10.1016/j.energy.2023.128771</t>
  </si>
  <si>
    <t>Thermodynamics; Energy &amp; Fuels</t>
  </si>
  <si>
    <t>R1OD8</t>
  </si>
  <si>
    <t>WOS:001062096200001</t>
  </si>
  <si>
    <t>Xu, HJ; Zhu, Y; Liu, HH; Ding, H; Fang, HH; Zhang, K; Jia, JL</t>
  </si>
  <si>
    <t>Xu, Hongjie; Zhu, Yue; Liu, Huihu; Ding, Hai; Fang, Huihuang; Zhang, Kun; Jia, Jinlong</t>
  </si>
  <si>
    <t>Wettability alteration and dynamic wetting behavior of coal during geologic CO2 sequestration using LF-NMR technology</t>
  </si>
  <si>
    <t>Wettability; CO 2 sequestration; Pore structure; Nuclear magnetic resonance (NMR); CO2-H2O-coal interaction</t>
  </si>
  <si>
    <t>CONTACT-ANGLE MEASUREMENTS; INTERFACIAL PROPERTIES; MAGNETIC-RESONANCE; CAPILLARY-PRESSURE; FLUE-GAS; RANK; SORPTION; INJECTION; STORAGE; SURFACE</t>
  </si>
  <si>
    <t>As CO2 has a strong affinity to coal surface, coal seams are considered as an attractive geological formation for CO2 sequestration. Naturally occurring coal seams are often saturated with free water in the cleats as well as moisture. Hence, the wetting behavior of coal by water is an important aspect in the study of coal properties. However, carbon dioxide, which replaces methane on the surface of coal, interacts with water and coal for a long time. Geochemical reactions of CO2-H2O-coal system can change the surface properties and pore structure of coal. Studies on wettability of coal altered by CO2-H2O-coal interaction are rare. This paper explored the wettability alteration and wetting dynamic behavior of two bituminous coals in Huainan and Huaibei coalfield using low-field nuclear magnetic resonance (LF-NMR) combined with CO2-H2O-coal interaction experiments. The results show that dynamic wetting of water in the coal mainly depends on the pores structure. The geochemical reaction changed the pore structure of coal reservoir, further promoted the hydrophobicity of coal surface, and thereby affected the dynamic wetting process of water. Moreover, the wetting of large pores in coal is not significantly affected by the weakening of hydrophilicity, whereas wetting in small pores is obviously affected by the enhanced hydrophobicity, which may be beneficial to the adsorption and storage of CO2 in the coal.</t>
  </si>
  <si>
    <t>[Xu, Hongjie; Zhu, Yue; Liu, Huihu; Fang, Huihuang; Zhang, Kun] Anhui Univ Sci &amp; Technol, Sch Earth &amp; Environm, Huainan 232001, Peoples R China; [Ding, Hai] Anhui Bur Coal Geol Explorat, Explorat Res Inst, Hefei 230088, Peoples R China; [Jia, Jinlong] Wuhan Inst Technol, Sch Resources &amp; Safety Engn, Wuhan 430205, Peoples R China</t>
  </si>
  <si>
    <t>Anhui University of Science &amp; Technology; Wuhan Institute of Technology</t>
  </si>
  <si>
    <t>Xu, HJ (corresponding author), Anhui Univ Sci &amp; Technol, Sch Earth &amp; Environm, Huainan 232001, Peoples R China.</t>
  </si>
  <si>
    <t>xiaonzm@163.com</t>
  </si>
  <si>
    <t>Niumag Corporation</t>
  </si>
  <si>
    <t>This work was financially supported by the Anhui Provincial Natural Science Foundation (Grant No. 2108085MD134, 2008085MD121) , the National Natural Science Foundation of China (Grant No. 42277483, 42202200) , the Anhui Provincial Key Research and Development Proj- ect (Grant No. 2023z04020001) , the Public welfare geological work project of Anhui Province (Grant No. 2023-g-1-21, 2021-g-2-14) and the Knowledge Innovation Program of Wuhan-Shuguang Project (Grant No. 2022010801020360) . We are also grateful for the technical support ofr Niumag Corporation and the reviewers for their insightful comments on this paper.</t>
  </si>
  <si>
    <t>10.1016/j.fuel.2023.129355</t>
  </si>
  <si>
    <t>Q0OG1</t>
  </si>
  <si>
    <t>WOS:001054587800001</t>
  </si>
  <si>
    <t>Yan, JW; Fang, WJ; Wei, ZD; Chi, JS; Chen, MX; Jiang, Z; Jiang, K; Shen, SH; Shangguan, WF</t>
  </si>
  <si>
    <t>Yan, Jiawei; Fang, Wenjian; Wei, Zhidong; Chi, Jiasheng; Chen, Mingxia; Jiang, Zhi; Jiang, Kun; Shen, Shaohua; Shangguan, Wenfeng</t>
  </si>
  <si>
    <t>Realization of multilocal gradient-doping PCN by alkali metal ion sustained release capsules for enhanced photocatalytic water splitting</t>
  </si>
  <si>
    <t>Doping; Photocatalysis; Ion diffusion; Potential well; Charge transfer</t>
  </si>
  <si>
    <t>SOLAR HYDROGEN-PRODUCTION; GRAPHITIC CARBON NITRIDE; HYDROTHERMAL SYNTHESIS; PYROCHLORE; G-C3N4; ABSORPTION; PEROVSKITE; EFFICIENCY; EVOLUTION</t>
  </si>
  <si>
    <t>The gradient-doping technique has been widely applied to induce an oriented built-in electric-field. However, it is still not efficient enough for charge mobility especially for particulate semiconductors, as the field is primarily in one direction from inner to surface. Here, we propose a multilocal gradient-doping technique that a nanocapsule is designed to store dopants and then release them into semiconductors nonuniformly. As an illustration, scattered pyrochlore-type K2Ta2O6 nanoparticles have been validated the capability of storing and releasing K+, which subsequently diffuse into the substrate PCN. Multi point-radiative gradient in K+ concentration, confined within the K2Ta2O6's vicinity, will construct several 3D potential wells which can not only accelerate the carrier separation but also offer more migration channels for both photo-induced electrons and holes to the surface. Consequently, the multilocal K+ gradient-doping PCN shows the longest carriers' lifetime and highest AQY (similar to 21.8% at 400 nm) compared with the other uniformly doping techniques.</t>
  </si>
  <si>
    <t>[Yan, Jiawei; Fang, Wenjian; Wei, Zhidong; Chi, Jiasheng; Chen, Mingxia; Jiang, Zhi; Shangguan, Wenfeng] Shanghai Jiao Tong Univ, Res Ctr Combust &amp; Environm Technol, Shanghai 200240, Peoples R China; [Wei, Zhidong] Shanghai Jiao Tong Univ, Coll Smart Energy, Shanghai 200240, Peoples R China; [Fang, Wenjian] Yangzhou Univ, Sch Elect &amp; Energy Power Engn, Yangzhou 225002, Peoples R China; [Jiang, Kun] Shanghai Jiao Tong Univ, Inst Fuel Cells, Shanghai 200240, Peoples R China; [Shen, Shaohua] Xi An Jiao Tong Univ, Int Res Ctr Renewable Energy, State Key Lab Multiphase Flow Power Engn, Xian 710049, Peoples R China</t>
  </si>
  <si>
    <t>Shanghai Jiao Tong University; Shanghai Jiao Tong University; Yangzhou University; Shanghai Jiao Tong University; Xi'an Jiaotong University</t>
  </si>
  <si>
    <t>Fang, WJ; Shangguan, WF (corresponding author), Shanghai Jiao Tong Univ, Res Ctr Combust &amp; Environm Technol, Shanghai 200240, Peoples R China.</t>
  </si>
  <si>
    <t>fwjlf2227@163.com; shangguan@sjtu.edu.cn</t>
  </si>
  <si>
    <t>National Key Basic Research and Development Program [2018YFB1502001]; National Natural Science Foundation of China [21773153, 22102095]; Basic science (Natural science) research project of higher education in Jiangsu Province [23KJB480011]; Centre of Hydrogen Science of Shanghai Jiao Tong University, China</t>
  </si>
  <si>
    <t>National Key Basic Research and Development Program(National Basic Research Program of China); National Natural Science Foundation of China(National Natural Science Foundation of China (NSFC)); Basic science (Natural science) research project of higher education in Jiangsu Province; Centre of Hydrogen Science of Shanghai Jiao Tong University, China</t>
  </si>
  <si>
    <t>This work was supported by the National Key Basic Research and Development Program (2018YFB1502001) , the National Natural Science Foundation of China (No.21773153; No.22102095) , the Basic science (Natural science) research project of higher education in Jiangsu Province (23KJB480011) , the Centre of Hydrogen Science of Shanghai Jiao Tong University, China. We gratefully acknowledge the Instrumental Analysis Center of SJTU for structural characterizations. We also thank professor Kadi Zhu (School of Physics and Astronomy, SJTU) for the discussion about potential wells.</t>
  </si>
  <si>
    <t>10.1016/j.apcatb.2023.123155</t>
  </si>
  <si>
    <t>R7LW9</t>
  </si>
  <si>
    <t>WOS:001066143000001</t>
  </si>
  <si>
    <t>Yang, T; Li, X; Lan, LL; Gong, DD; Zhang, F; Liu, XR; Ling, GX; Sun, GX</t>
  </si>
  <si>
    <t>Yang, Ting; Li, Xiang; Lan, Lili; Gong, Dandan; Zhang, Fan; Liu, Xinrong; Ling, Guixia; Sun, Guoxiang</t>
  </si>
  <si>
    <t>Quality evaluation of Keteling capsules based on fingerprinting, multicomponent quantification, and quantitative prediction</t>
  </si>
  <si>
    <t>Traditional Chinese medicine; HPLC fingerprint; Electrochemical fingerprint; FT-IR quantitative analysis model; Multi-markers assay by the monolinear method</t>
  </si>
  <si>
    <t>TRADITIONAL CHINESE MEDICINE</t>
  </si>
  <si>
    <t>The Keteling capsule (KC) is a traditional Chinese medicine (TCM) made from the dried extract of Ficus microphylla and an appropriate amount of chlorpheniramine maleate. It is widely used to treat cough and relieve asthma. Despite its extensive usage, a rapid and comprehensive quality evaluation strategy for KC remains a challenge. This study introduces an electrochemical fingerprint analysis technique, in addition to the commonly employed HPLC fingerprints, for efficient and convenient quality evaluation. Moreover, a cost-effective, rapid, and accurate multi-component quantification technique known as the Multi-markers assay by the monolinear method (MAML) and the FT-IR quantitative model were explored. The HPLC fingerprints were evaluated using a systematically quantified fingerprint method, while the electrochemical fingerprints, based on the Belousov-Zhabotinsky oscillation reaction principle, were effectively analyzed and characterized using oxidation induction times and oscillation lifetimes. Multi-component quantitative analysis was carried out through the MAML and FT-IR quantitative models. The HPLC fingerprint successfully classified the 22 samples into eight grades with excellent discrimination. Active ingredient content analysis was achieved using reliable parameters obtained from electrochemical fingerprinting. The no significant difference in the quantitative results proves the accuracy of the MAML method. Additionally, successful FT-IR quantitative prediction models were developed for chlorogenic acid, isovitexin, and chlorpheniramine maleate. This study offers a dependable and effective approach for enhancing the quality control of KC, and it can provide new insights for improving the quality analysis methods in the field of TCM.</t>
  </si>
  <si>
    <t>[Yang, Ting; Lan, Lili; Zhang, Fan; Liu, Xinrong; Ling, Guixia; Sun, Guoxiang] Shenyang Pharmaceut Univ, Sch Pharm, Shenyang 110016, Peoples R China; [Li, Xiang] Shenyang Med Coll, Shenyang 110034, Peoples R China; [Gong, Dandan] Shandong Univ Tradit Chinese Med, Jinan 250355, Peoples R China</t>
  </si>
  <si>
    <t>Shenyang Pharmaceutical University; Shenyang Medical College; Shandong University of Traditional Chinese Medicine</t>
  </si>
  <si>
    <t>Ling, GX; Sun, GX (corresponding author), Shenyang Pharmaceut Univ, Sch Pharm, Shenyang 110016, Peoples R China.</t>
  </si>
  <si>
    <t>pharlab@163.com; gxswmwys@163.com</t>
  </si>
  <si>
    <t>10.1016/j.saa.2023.123274</t>
  </si>
  <si>
    <t>S0FG6</t>
  </si>
  <si>
    <t>WOS:001068009200001</t>
  </si>
  <si>
    <t>Zhang, JY; Sun, PP; Mo, Z; Zhu, XL; Hossain, MDS; Wu, GY; Miao, ZH; Yan, PC; Chen, ZG; Xu, H</t>
  </si>
  <si>
    <t>Zhang, Jinyuan; Sun, Peipei; Mo, Zhao; Zhu, Xianglin; Hossain, M. D. Shouquat; Wu, Guanyu; Miao, Zhihuan; Yan, Pengcheng; Chen, Zhigang; Xu, Hui</t>
  </si>
  <si>
    <t>Adjacent Mn site boosts photocatalytic hydrogen evolution of MnXCd1-XS solid solution through a dual-metal-site design</t>
  </si>
  <si>
    <t>Photocatalysis; Hydrogen evolution; Electronic bridge; Charge separation</t>
  </si>
  <si>
    <t>HETEROJUNCTION</t>
  </si>
  <si>
    <t>CdS has emerged as a possible candidate for photocatalytic hydrogen generation. However, further improvement in the performance of the Cd metal site is challenging due to limited optimization space. To solve this limitation, in this work, the Mn-Cd dual-metal photocatalyst was synthesized by a one-step solvothermal method, and the effects of different proportions of bimetals on hydrogen production activity were systematically studied. The ingenious design of the bimetallic sites enhances the carrier separation efficiency and the built-in electric field intensity, which leads to significant improvement in the photocatalytic hydrogen production performance of MCS0.19. Density functional theory (DFT) calculations confirm that the introduction of the Mn element can drive electrons through the Fermi level, resulting in enhanced conductivity of the catalyst. Meanwhile, electron channels are built between Mn and S, which speeds up the rate of electron transfer and is conducive to improving hydrogen production activity. This work provides a technical-methodological entrance to improve the photocatalytic hydrogen production performance of dual-metal S solid solutions and also promises to open a novel approach to creating high-efficiency solid solution photocatalysts.</t>
  </si>
  <si>
    <t>[Zhang, Jinyuan; Sun, Peipei; Zhu, Xianglin; Hossain, M. D. Shouquat; Wu, Guanyu; Yan, Pengcheng; Chen, Zhigang; Xu, Hui] Jiangsu Univ, Inst Energy Res, Sch Environm &amp; Safety Engn, Zhenjiang 212013, Peoples R China; [Mo, Zhao; Wu, Guanyu; Miao, Zhihuan] Jiangsu Univ, Sch Mat Sci &amp; Engn, Zhenjiang 212013, Peoples R China</t>
  </si>
  <si>
    <t>Jiangsu University; Jiangsu University</t>
  </si>
  <si>
    <t>Xu, H (corresponding author), Jiangsu Univ, Inst Energy Res, Sch Environm &amp; Safety Engn, Zhenjiang 212013, Peoples R China.;Mo, Z (corresponding author), Jiangsu Univ, Sch Mat Sci &amp; Engn, Zhenjiang 212013, Peoples R China.</t>
  </si>
  <si>
    <t>zhaomo@ujs.edu.cn; xh@ujs.edu.cn</t>
  </si>
  <si>
    <t>National Natural Science Foundation of China [22208129, 22202086, 22005123]; College Student Innovation and Practice Fund of Industrial Center of Jiangsu University [ZXJG2022002]; Key research and development Projects in Zhenjiang [SH2021019]</t>
  </si>
  <si>
    <t>National Natural Science Foundation of China(National Natural Science Foundation of China (NSFC)); College Student Innovation and Practice Fund of Industrial Center of Jiangsu University; Key research and development Projects in Zhenjiang</t>
  </si>
  <si>
    <t>This study was financially supported by the National Natural Science Foundation of China (22208129, 22202086, 22005123), College Student Innovation and Practice Fund of Industrial Center of Jiangsu University (ZXJG2022002), Key research and development Projects in Zhenjiang (SH2021019).</t>
  </si>
  <si>
    <t>10.1016/j.jcis.2023.08.029</t>
  </si>
  <si>
    <t>R5SY0</t>
  </si>
  <si>
    <t>WOS:001064961300001</t>
  </si>
  <si>
    <t>Zhang, L; Sun, Y; Ge, RL; Zhou, WH; Ao, ZM; Wang, JH</t>
  </si>
  <si>
    <t>Zhang, Liang; Sun, Yun; Ge, Rile; Zhou, Wenhui; Ao, Zhimin; Wang, Junhu</t>
  </si>
  <si>
    <t>Mechanical insight into direct singlet oxygen generation pathway: Pivotal role of FeN4 sites and selective organic contaminants removal</t>
  </si>
  <si>
    <t>Fe-NC moiety; Singlet oxygen; Mossbauer spectra; High salinity condition; Density functional calculation</t>
  </si>
  <si>
    <t>BISPHENOL-A; MOSSBAUER-SPECTROSCOPY; ACTIVATION; PEROXYMONOSULFATE; OXIDATION; CLUSTERS; CENTERS; COBALT; CARBON</t>
  </si>
  <si>
    <t>Herein, the systematic and novel formation pathway of singlet oxygen (O-1(2)) on single iron atom during advanced oxidation process was investigated and revealed. Graphitic carbon matrix supported single iron atom and iron nanoclusters configurations as model catalysts were synthesized via calcinating Prussian blue, which showed admirable catalytic efficiency towards bisphenol A (BPA) oxidation even under high salinity conditions. O-1(2) directly generated on Fe-pyridinic N moiety bonded with terminal O of PMS (HSO5-) was proposed as predominant reactive species. Experimental results and theoretical analysis further detailly demonstrated the evolutionary pathway of O-1(2) formation, which occurred through the interaction of two O atoms from adsorbed PMS, accompanying two HSO4- molecules generation with the lowest energy barrier. This study proposed novel insights into direct O-1(2)-modulated mechanism via Fe-N-4 configuration, providing essential atomic-scale understanding of FeNx/PMS based Fenton-like system, as well as a new strategy for the practical environmental remediation with high salinity.</t>
  </si>
  <si>
    <t>[Zhang, Liang; Ge, Rile; Zhou, Wenhui; Wang, Junhu] Chinese Acad Sci, Dalian Inst Chem Phys, Ctr Adv Mossbauer Spect, Mossbauer Effect Data Ctr, Dalian 116023, Peoples R China; [Zhang, Liang] Univ Chinese Acad Sci, Beijing 100049, Peoples R China; [Sun, Yun] Guangdong Univ Technol, Inst Environm Hlth &amp; Pollut Control, Sch Environm Sci &amp; Engn, Guangzhou Key Lab Environm Catalysis &amp; Pollut Cont, Guangzhou, Peoples R China; [Ao, Zhimin] Beijing Normal Univ, Adv Interdisciplinary Inst Environm &amp; Ecol, Zhuhai 519087, Peoples R China</t>
  </si>
  <si>
    <t>Chinese Academy of Sciences; Dalian Institute of Chemical Physics, CAS; Chinese Academy of Sciences; University of Chinese Academy of Sciences, CAS; Guangdong University of Technology; Beijing Normal University</t>
  </si>
  <si>
    <t>Wang, JH (corresponding author), Chinese Acad Sci, Dalian Inst Chem Phys, Ctr Adv Mossbauer Spect, Mossbauer Effect Data Ctr, Dalian 116023, Peoples R China.;Ao, ZM (corresponding author), Beijing Normal Univ, Adv Interdisciplinary Inst Environm &amp; Ecol, Zhuhai 519087, Peoples R China.</t>
  </si>
  <si>
    <t>zhimin.ao@bnu.edu.cn; wangjh@dicp.ac.cn</t>
  </si>
  <si>
    <t>Ao, Zhimin/B-9415-2009</t>
  </si>
  <si>
    <t>Ao, Zhimin/0000-0003-0333-3727</t>
  </si>
  <si>
    <t>National Natural Science Foundation of China [U22A20394, 21961142006]; International Partnership Program of Chinese Academy of Sciences [121421KYSB20170020]; National Key R amp; D Program of China [2022YFC3901800]</t>
  </si>
  <si>
    <t>National Natural Science Foundation of China(National Natural Science Foundation of China (NSFC)); International Partnership Program of Chinese Academy of Sciences; National Key R amp; D Program of China</t>
  </si>
  <si>
    <t>This work was financially supported by the National Natural Science Foundation of China (U22A20394, 21961142006) , the International Partnership Program of Chinese Academy of Sciences (121421KYSB20170020) and National Key R &amp; D Program of China (No. 2022YFC3901800) , The authors would like to thank Dr. Zolta ' n Klencsa ' r for the analysis of the MoYssbauer spectrum. The authors wish to thank Lirong Zheng and Wei Xu for the measurement and analysis of X-ray absorption spectroscopy.</t>
  </si>
  <si>
    <t>10.1016/j.apcatb.2023.123130</t>
  </si>
  <si>
    <t>P5GK5</t>
  </si>
  <si>
    <t>WOS:001050956700001</t>
  </si>
  <si>
    <t>Zhao, Q; Zheng, WT; Yuan, ZY; Wang, XF; Huang, AX</t>
  </si>
  <si>
    <t>Zhao, Qiong; Zheng, Wentao; Yuan, Ziyou; Wang, Xuefeng; Huang, Aixiang</t>
  </si>
  <si>
    <t>Anti-inflammatory effect of two novel peptides derived from Binglangjiang buffalo whey protein in lipopolysaccharide-stimulated RAW264.7 macrophages</t>
  </si>
  <si>
    <t>Buffalo whey protein; Peptidomics; Anti-inflammatory peptide; Pro-inflammatory cytokine</t>
  </si>
  <si>
    <t>ANTIMICROBIAL PEPTIDE; TNF-ALPHA; CASEIN; MILK</t>
  </si>
  <si>
    <t>Whey protein hydrolysate from Binglangjiang buffalo, a unique genetic resource, has anti-inflammatory activity, but its anti-inflammatory composition and effects are unknown. The aim of this study was to investigate the antiinflammatory peptides from Binglangjiang buffalo whey protein hydrolysate. A total of 1483 peptides were identified using LC-MS/MS, and 12 peptides were chosen for chemical synthesis using peptidomics, and then two novel anti-inflammatory peptides (DQPFFHYN (DN8) and YSPFSSFPR (YR9)) were screened out using LPSstimulated RAW264.7 cells. The molecular weights of DN8 and YR9 with &amp; beta;-turn conformations were 1067.458 Da and 1087.52 Da, respectively, and showed a high in-vitro safety profile and thermal stability, but were intolerant to pepsin. Furthermore, ELISA and Western blot analysis indicated that peptides DN8 and YR9 significantly suppressed the secretion of pro-inflammatory cytokines NO, TNF-&amp; alpha;, and IL-6 and the expression of mediators iNOS, TNF-&amp; alpha;, and IL-6 in LPS-stimulated RAW264.7 cells. The study provides insights into the development of novel food-based anti-inflammatory nutritional supplements.</t>
  </si>
  <si>
    <t>[Zhao, Qiong; Zheng, Wentao; Yuan, Ziyou; Wang, Xuefeng; Huang, Aixiang] Yunnan Agr Univ, Coll Food Sci &amp; Technol, Kunming 650201, Yunnan, Peoples R China</t>
  </si>
  <si>
    <t>Yunnan Agricultural University</t>
  </si>
  <si>
    <t>Huang, AX (corresponding author), Yunnan Agr Univ, Coll Food Sci &amp; Technol, Kunming 650201, Yunnan, Peoples R China.</t>
  </si>
  <si>
    <t>aixianghuang@126.com</t>
  </si>
  <si>
    <t>Yunnan Province Major Science and Technology Special Program [202102AE090027]; Yun-Ling Industrial Technology Leading Talent program [2014-1782]</t>
  </si>
  <si>
    <t>Yunnan Province Major Science and Technology Special Program; Yun-Ling Industrial Technology Leading Talent program</t>
  </si>
  <si>
    <t>This work was supported by the Yunnan Province Major Science and Technology Special Program (Grant No. 202102AE090027) and the Yun-Ling Industrial Technology Leading Talent program (Grant No. 2014-1782) . We sincerely thank Zhao Chunyan (College of Food Science and Technology, Yunnan Agricultural University) for their help in this study.</t>
  </si>
  <si>
    <t>10.1016/j.foodchem.2023.136804</t>
  </si>
  <si>
    <t>P1MD8</t>
  </si>
  <si>
    <t>WOS:001048342500001</t>
  </si>
  <si>
    <t>Zhu, SG</t>
  </si>
  <si>
    <t>Zhu, Sanguo</t>
  </si>
  <si>
    <t>Asymptotics of the quantization errors for some Markov-type measures with complete overlaps</t>
  </si>
  <si>
    <t>Markov-type measures; Quantization dimension; Quantization coefficient; Complete overlap</t>
  </si>
  <si>
    <t>SELF-SIMILAR MEASURES; PROBABILITY-MEASURES; DIMENSION; COEFFICIENT</t>
  </si>
  <si>
    <t>Let g be a directed graph with 2N vertices 1, 2, ... , 2N. Let T = (Ti,j)(i,j)&amp; ISIN;G be a family of contractive similitudes on Rq. We assume that Ti �,j = Ti,j for every ( {(i, j), (i, j+N), (i +N, j), (i +N, j+N)} &amp; pi;g. We denote by K the Mauldin-Williams fractal determined by T. Let &amp; chi; be a positive probability vector and P a 2N x 2N row-stochastic matrix. We denote by &amp; nu; the Markov-type measure associated with &amp; chi; and P. Let &amp; mu; be the image measure of &amp; nu; under the natural projection, which is supported on K. We consider the following two cases: 1. g has two strongly connected components consisting of N vertices; 2. g is strongly connected. With some assumptions for g and T, for case 1, we determine the quantization dimension for &amp; mu; in terms of the spectral radius of a related matrix; we prove that the lower quantization coefficient is always positive and establish a necessary and sufficient condition for the upper one to be finite. For case 2, we express the quantization dimension in terms of a pressure-like function and prove that the upper and lower quantization coefficient are always positive and finite.&amp; COPY; 2023 Elsevier Inc. All rights reserved. ⠂ i , j) in</t>
  </si>
  <si>
    <t>[Zhu, Sanguo] Jiangsu Univ Technol, Sch Math &amp; Phys, Changzhou 213001, Peoples R China</t>
  </si>
  <si>
    <t>Jiangsu University of Technology</t>
  </si>
  <si>
    <t>Zhu, SG (corresponding author), Jiangsu Univ Technol, Sch Math &amp; Phys, Changzhou 213001, Peoples R China.</t>
  </si>
  <si>
    <t>sgzhu@jsut.edu.cn</t>
  </si>
  <si>
    <t>Zhu, Sanguo/K-9189-2018</t>
  </si>
  <si>
    <t>Zhu, Sanguo/0000-0002-8451-349X</t>
  </si>
  <si>
    <t>National Natural Science Foundation of China [11571144]</t>
  </si>
  <si>
    <t>Acknowledgments This work was supported by National Natural Science Foundation of China (Grant No. 11571144) . References</t>
  </si>
  <si>
    <t>10.1016/j.jmaa.2023.127585</t>
  </si>
  <si>
    <t>O6SX1</t>
  </si>
  <si>
    <t>WOS:001045093200001</t>
  </si>
  <si>
    <t>Zi, YF; Xiong, SW</t>
  </si>
  <si>
    <t>Zi, Yunfei; Xiong, Shengwu</t>
  </si>
  <si>
    <t>Joint filter combination-based central difference feature extraction and attention-enhanced Dense-Res2Block network for short-utterance speaker recognition</t>
  </si>
  <si>
    <t>Bark-scaled Gaussian filter; Linear filter; BGLCC; Multi-dimensional central difference; Dense-Res2Block</t>
  </si>
  <si>
    <t>SUPPORT VECTOR MACHINES; MFCC; GMM</t>
  </si>
  <si>
    <t>Speech authentication in smart services typically involves short utterances. However, due to the short duration of these utterances (e.g. less than 3 s) and the limited enrolment and/or test data available, it is difficult to learn enough information to accurately distinguish the person. As a result, speaker recognition from short utterances is very challenging. In this paper, in the acoustic end. we propose a novel Bark-scaled Gaussian and linear filter bank cepstral coefficients (BGLCC) and multi-dimensional central difference (MDCD) acoustic features extraction method. Also, to enhance the discriminative embedding, in the network end, a novel attention-enhanced DenseRes2Block network is proposed. First, the rich low-frequency information is extracted based on the high distribution density of the Bark-scaled Gaussian filter bank in the low-frequency domain, and more high-frequency information is extracted based on the linear filter bank uniformly distributed in the high-frequency domain. This means that the combined filters can produce more discriminative and richer acoustic features from shortduration audio signals. In addition, the multi-dimensional central difference method captures better speaker dynamic features in the relative BGLCC domain to improve the performance of short utterance speaker recognition. Finally, an attention-enhanced Dense-Res2Block architecture can obtain a variety of feature expressions of different scale combinations to enhance features. Extensive analysis of a variety of datasets, which speech samples of different types, diverse lengths, etc., demonstrate the superiority of the proposed feature extraction method and model over existing acoustic feature extraction methods and speaker recognition models, including those based on MFCCs, LPCCs, and fusion features, and X-vector-PLDA, BLSTM-ResNet, ResNet34-SP, ECAPATDNN respectively. The experimental results show that the proposed method achieves the best performance compared to the existing approach.</t>
  </si>
  <si>
    <t>[Zi, Yunfei; Xiong, Shengwu] Wuhan Univ Technol, Sch Comp Sci &amp; Artificial Intelligence, Wuhan 430070, Hubei, Peoples R China; [Xiong, Shengwu] Shanghai Artificial Intelligence Lab, Shanghai 200232, Peoples R China; [Xiong, Shengwu] Qiongtai Normal Univ, Sch Informat Sci &amp; Technol, Hainan 571127, Peoples R China</t>
  </si>
  <si>
    <t>Wuhan University of Technology; Qiongtai Normal University</t>
  </si>
  <si>
    <t>Zi, YF; Xiong, SW (corresponding author), Wuhan Univ Technol, Sch Comp Sci &amp; Artificial Intelligence, Wuhan 430070, Hubei, Peoples R China.;Xiong, SW (corresponding author), Shanghai Artificial Intelligence Lab, Shanghai 200232, Peoples R China.;Xiong, SW (corresponding author), Qiongtai Normal Univ, Sch Informat Sci &amp; Technol, Hainan 571127, Peoples R China.</t>
  </si>
  <si>
    <t>yfzi@whut.edu.cn; xiongsw@whut.edu.cn</t>
  </si>
  <si>
    <t>Zi, Yunfei/0000-0002-4778-7109</t>
  </si>
  <si>
    <t>National Key Research and Development Program of China [2022ZD0160604]; NSFC [62176194]</t>
  </si>
  <si>
    <t>National Key Research and Development Program of China; NSFC(National Natural Science Foundation of China (NSFC))</t>
  </si>
  <si>
    <t>This work was in part supported by the National Key Research and Development Program of China (Grant No. 2022ZD0160604) and NSFC (Grant No. 62176194) .</t>
  </si>
  <si>
    <t>10.1016/j.eswa.2023.120995</t>
  </si>
  <si>
    <t>P3DW4</t>
  </si>
  <si>
    <t>WOS:001049490400001</t>
  </si>
  <si>
    <t>Albukhari, SM; Ismail, AA</t>
  </si>
  <si>
    <t>Albukhari, Soha M.; Ismail, Adel A.</t>
  </si>
  <si>
    <t>Construction of cobalt ferrite nanoparticles anchored on mesoporous WO3 for accelerated photoreduction of Cr(VI)</t>
  </si>
  <si>
    <t>JOURNAL OF ALLOYS AND COMPOUNDS</t>
  </si>
  <si>
    <t>P-n heterojunctions; Nanocomposites; Cr(VI) photoreduction</t>
  </si>
  <si>
    <t>VISIBLE-LIGHT; PHOTOCATALYTIC REDUCTION; COFE2O4 NANOPARTICLES; HERBICIDE IMAZAPYR; AQUEOUS-SOLUTIONS; HIGH-PERFORMANCE; FACILE SYNTHESIS; REMOVAL; PHOTODEGRADATION; NANOCOMPOSITES</t>
  </si>
  <si>
    <t>In this contribution, the synthesis of mesoporous WO3 nanoparticles (NPs) by the utilization of cationic surfactant by a facile hydrothermal approach was performed. A series of heterojunction CoFe2O4/WO3 photocatalysts were synthesized by impregnation and calcination for Cr(VI) photoreduction during visible light exposure. The TEM images of 12%CoFe2O4/WO3 nanocomposite revealed a beans-like structure with highly crystalline particles with a length of 200 nm and a diameter of 30 nm. The obtained CoFe2O4/WO3 nanocomposites indicated the occurrence of mesostructures with a high surface area. With an optimized 12% CoFe2O4/WO3 nanocomposite, 100% of Cr(VI) photoreduction was achieved after 45 min illumination, which was enhanced 2.85 folds greater than bare WO3 NPs. The reaction rate constant of 12% CoFe2O4/WO3 nanocomposite amounted to about 0.0947 min-1, which was fostered 6.1 times larger than that of bare WO3 (0.0155 min-1). The enhanced Cr(VI) removal efficiency can be ascribed to the design of heterostructures CoFe2O4/WO3, which functionally promoted the mobility and separation of photoinduced charge carriers. The increased surface area and the extended visible light region of CoFe2O4/WO3 nanocomposites contributed to the enhancement of the Cr(VI) reduction efficiency. Accordingly, a possible mechanism for Cr(VI) photoreduction over heterojunction CoFe2O4/WO3 photocatalyst was illustrated. The 12% CoFe2O4/WO3 nanocomposite exhibited 94% Cr (VI) reduction ability after five cycles with high stability. The results showed that the obtained p-n heterojunctions CoFe2O4/WO3 nanocomposites have considerable potential in Cr(VI) removal from wastewater.</t>
  </si>
  <si>
    <t>[Albukhari, Soha M.] King Abdulaziz Univ, Fac Sci, Chem Dept, POB 80200, Jeddah 21589, Saudi Arabia; [Ismail, Adel A.] Kuwait Inst Sci Res KISR, Energy &amp; Bldg Res Ctr, Nanotechnol &amp; Adv Mat Program, POB 24885, Safat 13109, Kuwait</t>
  </si>
  <si>
    <t>King Abdulaziz University</t>
  </si>
  <si>
    <t>Albukhari, SM (corresponding author), King Abdulaziz Univ, Fac Sci, Chem Dept, POB 80200, Jeddah 21589, Saudi Arabia.;Ismail, AA (corresponding author), Kuwait Inst Sci Res KISR, Energy &amp; Bldg Res Ctr, Nanotechnol &amp; Adv Mat Program, POB 24885, Safat 13109, Kuwait.</t>
  </si>
  <si>
    <t>salbukhari@kau.edu.sa; adelali141@yahoo.com</t>
  </si>
  <si>
    <t>Institutional Fund Projects [IFPIP-86-247-1443]; Ministry of Education; King Abdulaziz University, DSR, Jeddah, Saudi Arabia</t>
  </si>
  <si>
    <t>Institutional Fund Projects; Ministry of Education; King Abdulaziz University, DSR, Jeddah, Saudi Arabia</t>
  </si>
  <si>
    <t>This research work was funded by Institutional Fund Projects under grant number (IFPIP-86-247-1443) . The authors gratefully acknowledge the technical and financial support provided by the Ministry of Education and King Abdulaziz University, DSR, Jeddah, Saudi Arabia.</t>
  </si>
  <si>
    <t>0925-8388</t>
  </si>
  <si>
    <t>1873-4669</t>
  </si>
  <si>
    <t>J ALLOY COMPD</t>
  </si>
  <si>
    <t>J. Alloy. Compd.</t>
  </si>
  <si>
    <t>DEC 10</t>
  </si>
  <si>
    <t>10.1016/j.jallcom.2023.171788</t>
  </si>
  <si>
    <t>Chemistry, Physical; Materials Science, Multidisciplinary; Metallurgy &amp; Metallurgical Engineering</t>
  </si>
  <si>
    <t>Chemistry; Materials Science; Metallurgy &amp; Metallurgical Engineering</t>
  </si>
  <si>
    <t>R5QM3</t>
  </si>
  <si>
    <t>WOS:001064896800001</t>
  </si>
  <si>
    <t>Borroto, A; Bruyere, S; Migot, S; de Melo, C; Horwat, D; Pierson, JF</t>
  </si>
  <si>
    <t>Borroto, A.; Bruyere, S.; Migot, S.; de Melo, C.; Horwat, D.; Pierson, J. F.</t>
  </si>
  <si>
    <t>Nanostructured Zr-Cu metallic glass thin films with tailored electrical and optical properties</t>
  </si>
  <si>
    <t>Zr-Cu alloys; Nanostructured metallic glass thin films; Electrical properties; Optical properties; Microstructural control</t>
  </si>
  <si>
    <t>ATOMIC-STRUCTURE; NANOCRYSTALLINE MATERIALS; MECHANICAL-PROPERTIES; DEPOSITION CONDITIONS; THERMAL-STABILITY; FORMING ABILITY; NANOGLASSES; MICROSTRUCTURE; CRYSTALLIZATION; COMPOSITE</t>
  </si>
  <si>
    <t>Nanostructured metallic glass thin films (NMGTF) have attracted increasing attention because they are amorphous materials of tunable microstructure, which allows tailoring their properties. Herein, we provide new insights into the formation of Zr-Cu NMGTF deposited by magnetron sputtering. By varying over a wide range the working-gas pressure during the sputtering process (from 0.3 to 2 Pa) and the alloy composition (from similar to 16-94 at % Cu), we show that the film microstructure can be tuned from homogeneous and compact to nanostructured, formed by nanocolumns. In particular, we demonstrate that the formation of nanocolumnar glassy films is promoted at high working pressures and low Cu contents. In addition, transmission electron microscopy and Xray diffraction analyses reveal that the microstructural transition from homogeneous to nanocolumnar films leads to an increase in the full-width at half-maximum of the first diffraction peak, suggesting a change in the local order of the glassy alloys. Furthermore, we prove that the microstructural change allows the electrical resistivity and the optical reflectance of the films to be tailored to a large extent. We show that the amorphous films exhibit a linear relationship between their reflectance and the square root of the resistivity, according to the free electron model. However, this linear relationship breaks down for high resistivity values, for which the reflectance no longer depends on the resistivity. We highlight that, by changing the working pressure, the electrical resistivity and optical reflectance can be tuned following the same scaling law, whatever the composition of the alloy. Our results shed light on the microstructure-properties relationship of NMGTF and could serve as a platform for future applications in the field of optoelectronics.</t>
  </si>
  <si>
    <t>[Borroto, A.; Bruyere, S.; Migot, S.; de Melo, C.; Horwat, D.; Pierson, J. F.] Univ Lorraine, CNRS, IJL, F-54000 Nancy, France; [Borroto, A.] Univ Rennes, CNRS, IETR, UMR 6164, F-35000 Rennes, France; [de Melo, C.] Univ Orleans, Interfaces Confinement Mat &amp; Nanostruct, UMR 7374, ICMN,CNRS, 1b Rue Ferollerie, F-45071 Orleans, France</t>
  </si>
  <si>
    <t>Universite de Lorraine; Centre National de la Recherche Scientifique (CNRS); Universite de Rennes; Centre National de la Recherche Scientifique (CNRS); CNRS - Institute for Engineering &amp; Systems Sciences (INSIS); Centre National de la Recherche Scientifique (CNRS); CNRS - Institute of Physics (INP); Universite de Orleans</t>
  </si>
  <si>
    <t>Pierson, JF (corresponding author), Univ Lorraine, CNRS, IJL, F-54000 Nancy, France.</t>
  </si>
  <si>
    <t>jean-francois.pierson@univ-lorraine.fr</t>
  </si>
  <si>
    <t>French Agence Nationale de la Recherche [ANR-18-CE08-0018]</t>
  </si>
  <si>
    <t>French Agence Nationale de la Recherche(Agence Nationale de la Recherche (ANR))</t>
  </si>
  <si>
    <t>This work was supported by the project MEGALIT (ANR-18-CE08-0018) of the French Agence Nationale de la Recherche. The Da.m competence center of IJL is deeply acknowledged for access to UHV magnetron sputtering deposition facility.</t>
  </si>
  <si>
    <t>10.1016/j.jallcom.2023.171681</t>
  </si>
  <si>
    <t>R6QS4</t>
  </si>
  <si>
    <t>WOS:001065588000001</t>
  </si>
  <si>
    <t>Grace, MJ; Dickie, J; Bartie, PJ; Brown, C; Oliver, DM</t>
  </si>
  <si>
    <t>Grace, Megan J.; Dickie, Jen; Bartie, Phil J.; Brown, Caroline; Oliver, David M.</t>
  </si>
  <si>
    <t>How do weather conditions and environmental characteristics influence aesthetic preferences of freshwater environments?</t>
  </si>
  <si>
    <t>Health and wellbeing; Green and blue space; Natural environments; Landscape aesthetics; Environmental exposure outcomes</t>
  </si>
  <si>
    <t>URBAN BLUE SPACE; LANDSCAPE; HEALTH; EXERCISE; IMPACT</t>
  </si>
  <si>
    <t>Freshwater (inland) blue space environments provide a range of public health benefits to visitors. However, health related exposure outcomes are dynamic and can vary depending on several factors, including the environmental characteristics of freshwater environments and their surroundings. Developing and managing inland blue spaces to promote health and wellbeing therefore requires an understanding of whether specific freshwater attributes, and prevailing weather conditions, enhance or devalue landscape aesthetics. The aim of this study was to utilise a mixed-methods research approach to investigate aesthetic preferences of inland blue spaces. A threephase data collection method was adopted involving (i) analysis of a national-scale landscape image dataset; in combination with (ii) a national-scale online survey; and (iii) a series of in-person focus groups. We found environmental characteristics associated with the waterbody itself, as well as the characteristics of the nearby green space, to have a significant impact on the overall aesthetic appeal of inland blue spaces. Strong preference was demonstrated for inland blue spaces perceived to be of a high environmental quality and which have a natural, rather than human-modified, appearance. The findings highlight the need to conserve the quality of both the waterbody and waterside environment to encourage frequent recreational use and maintain the beneficial public health outcomes associated with inland blue spaces.</t>
  </si>
  <si>
    <t>[Grace, Megan J.; Dickie, Jen; Oliver, David M.] Univ Stirling, Fac Nat Sci, Biol &amp; Environm Sci, Stirling, Scotland; [Bartie, Phil J.] Heriot Watt Univ, Math &amp; Comp Sci, Edinburgh, Scotland; [Brown, Caroline] Heriot Watt Univ, Urban Inst, Sch Energy Geosci Infrastruct, Edinburgh, Scotland</t>
  </si>
  <si>
    <t>University of Stirling; Heriot Watt University; Heriot Watt University</t>
  </si>
  <si>
    <t>Grace, MJ (corresponding author), Univ Stirling, Fac Nat Sci, Biol &amp; Environm Sci, Stirling, Scotland.</t>
  </si>
  <si>
    <t>m.j.grace@stir.ac.uk</t>
  </si>
  <si>
    <t>Brown, Caroline/AAM-5174-2020</t>
  </si>
  <si>
    <t>Brown, Caroline/0000-0003-3701-6471</t>
  </si>
  <si>
    <t>IAPETUS Doctoral Training Partnership; Scottish Environment Protection Agency</t>
  </si>
  <si>
    <t>The IAPETUS Doctoral Training Partnership provided funding to support this research, with additional CASE support funding provided by the Scottish Environment Protection Agency. We would like to thank all survey respondents and focus group participants for their contributions</t>
  </si>
  <si>
    <t>10.1016/j.scitotenv.2023.166283</t>
  </si>
  <si>
    <t>R7HR1</t>
  </si>
  <si>
    <t>WOS:001066031700001</t>
  </si>
  <si>
    <t>Hou, HM; Zhang, S; Guo, DF; Su, LJ; Xu, H</t>
  </si>
  <si>
    <t>Hou, Huimin; Zhang, Sui; Guo, Dongfang; Su, Lijuan; Xu, He</t>
  </si>
  <si>
    <t>Synergetic benefits of pollution and carbon reduction from fly ash resource utilization-Based on the life cycle perspective</t>
  </si>
  <si>
    <t>Fly ash; Resource utilization; Synergy; Pollution reduction; Greenhouse gas emission reduction</t>
  </si>
  <si>
    <t>INDUSTRIAL SYMBIOSIS; WASTE MANAGEMENT; CEMENT; ALUMINUM; EXTRACTION; SORBENTS; MORTARS; URBAN</t>
  </si>
  <si>
    <t>Synergetic reduction of pollution and carbon is a key strategy for the fundamental improvement of ecological and environmental quality and carbon neutrality. Solid waste resource utilization can reduce the secondary pollution caused by conventional solid waste disposal and presents evident environmental potential. Based on the comparable system boundaries, this study adopts life cycle assessment (LCA) to compare the environmental impact of three fly ash utilization paths. The synergy index is then defined according to six environmental impact indicators to quantitatively evaluate the synergetic effects of carbon emission and pollutant reduction. The results confirm the possibility of fly ash resource utilization for synergetic pollution and carbon reduction and demonstrate the synergetic emission reduction potential of the solid waste resource utilization supply chain. This study is both an application of the life cycle assessment model in the solid waste utilization and disposal field and provides insight into the pathway of pollution and carbon reduction in China.</t>
  </si>
  <si>
    <t>[Hou, Huimin; Zhang, Sui; Guo, Dongfang; Su, Lijuan; Xu, He] Nankai Univ, Coll Environm Sci &amp; Engn, Tianjin 300350, Peoples R China; [Xu, He] Nankai Univ, Inst Ecol Civilizat, Tianjin 300350, Peoples R China</t>
  </si>
  <si>
    <t>Nankai University; Nankai University</t>
  </si>
  <si>
    <t>Xu, H (corresponding author), Nankai Univ, Coll Environm Sci &amp; Engn, Tianjin 300350, Peoples R China.</t>
  </si>
  <si>
    <t>seacenter@nankai.edu.cn</t>
  </si>
  <si>
    <t>National Key Research and Development Program of China [2019YFC1908502, 2018YFC1903604]</t>
  </si>
  <si>
    <t>National Key Research and Development Program of China</t>
  </si>
  <si>
    <t>This research was supported by the National Key Research and Development Program of China [grant number 2019YFC1908502] , and the National Key Research and Development Program of China [grant number 2018YFC1903604] .</t>
  </si>
  <si>
    <t>10.1016/j.scitotenv.2023.166197</t>
  </si>
  <si>
    <t>R1QB5</t>
  </si>
  <si>
    <t>WOS:001062146300001</t>
  </si>
  <si>
    <t>Li, YJ; Liu, XK; Pang, JL; Ding, ZY; Yue, XX; Yang, XD; Zhao, YX; Dong, ZB</t>
  </si>
  <si>
    <t>Li, Yijing; Liu, Xiaokang; Pang, Jiangli; Ding, Zhiyong; Yue, Xiaoxiao; Yang, Xingdi; Zhao, Yixue; Dong, Zhibao</t>
  </si>
  <si>
    <t>A Holocene lacustrine record of variations in chemical weathering intensity in the Mu Us Desert, China</t>
  </si>
  <si>
    <t>Mu Us Desert; Geochemistry characteristics; Holocene epoch; Paleoclimate; Degree of weathering</t>
  </si>
  <si>
    <t>HIGH-RESOLUTION; GEOCHEMICAL CHARACTERIZATION; MAGNETIC-SUSCEPTIBILITY; AEOLIAN DEPOSITS; PEAT SEDIMENTS; LAKE; EVOLUTION; SEQUENCE; DESERTIFICATION; INDICATOR</t>
  </si>
  <si>
    <t>The Mu Us Desert is an ideal location to study environmental changes during the Late Quaternary, because of its unique characteristics. The Abaoyan (ABY) profile, a typical aeolian-lacustrine profile located at the eastern edge of the desert, was investigated in this study. A basic chronological framework was established based on a combination of radiocarbon dating by accelerator mass spectrometry and in situ sedimentary phase identification. Furthermore, changes in regional chemical weathering intensity since the Holocene were evaluated through comprehensive analysis of the collected samples in terms of grain size, loss on ignition (LOI), chromaticity, geochemical element contents, and soil micromorphology. The results showed that the ABY profile was under the influence of primary and moderate chemical weathering. Regional paleoclimatic environmental changes could be divided into four stages. During Stage I (before 12.6 ka BP; pre-Holocene), the ABY profile was dominated by aeolian sand, showing a coarse average grain size, low LOI, and high chromaticity values, which may have indicated a dry and cold period. During Stage II (12.6-10.3 ka BP; early Holocene), the ABY profile was dominated by lacustrine sediments, indicating a shallow lake water environment with strong chemical weathering and a warm and humid climate. During Stage III (10.3-4.2 ka BP), the profile was dominated by sandy peat deposits with a relatively large proportion of clay particles suggesting that the intensity of chemical weathering was relatively strong in the region during this period and the climate was mainly warm and humid. During Stage IV (after 4.2 ka BP), the sediment was dominated by aeolian sand and secondary loess, the chromaticity increased, the LOI reduced, and the regional chemical weathering intensity was weaker. The change in chemical weathering intensity in this region was inferred to be a positive response to the Holocene East Asian monsoon circulation.</t>
  </si>
  <si>
    <t>[Li, Yijing; Liu, Xiaokang; Pang, Jiangli; Yue, Xiaoxiao; Yang, Xingdi; Zhao, Yixue; Dong, Zhibao] Shaanxi Normal Univ, Sch Geog &amp; Tourism, Xian 710119, Peoples R China; [Liu, Xiaokang] Beijing Normal Univ, Fac Geog Sci, Engn Ctr Desertificat &amp; Blown Sand Control, Minist Educ, Beijing 100875, Peoples R China; [Liu, Xiaokang; Dong, Zhibao] Shaanxi Normal Univ, Planetary Aeolian Res Inst, Xian 710119, Peoples R China; [Ding, Zhiyong] Chengdu Univ Technol, State Key Lab Geohazard Prevent &amp; Geoenvironm Prot, Chengdu 610059, Peoples R China; [Liu, Xiaokang] 620 West Changan Ave, Xian, Shaanxi, Peoples R China</t>
  </si>
  <si>
    <t>Shaanxi Normal University; Beijing Normal University; Shaanxi Normal University; Chengdu University of Technology</t>
  </si>
  <si>
    <t>Liu, XK (corresponding author), 620 West Changan Ave, Xian, Shaanxi, Peoples R China.</t>
  </si>
  <si>
    <t>xiaokangliu@snnu.edu.cn</t>
  </si>
  <si>
    <t>National Natural Science Foundation of China [41901094, 41930641]; Open Fund Project of the Engineering Center of Desertification and Blown-Sand Control of Ministry of Education, Beijing Normal University; Natural Science Basic Research of Shaanxi [2021JCW-17]</t>
  </si>
  <si>
    <t>National Natural Science Foundation of China(National Natural Science Foundation of China (NSFC)); Open Fund Project of the Engineering Center of Desertification and Blown-Sand Control of Ministry of Education, Beijing Normal University; Natural Science Basic Research of Shaanxi</t>
  </si>
  <si>
    <t>This work was financially supported by the National Natural Science Foundation of China (Grant no. 41901094, 41930641) , the Open Fund Project of the Engineering Center of Desertification and Blown-Sand Control of Ministry of Education, Beijing Normal University (Grant no. and the Natural Science Basic Research of Shaanxi (Grant no. 2021JCW-17). We also thank Ding Dan for sampling and laboratory assistance. Our heart-felt thanks to editors and anonymous reviewers who greatly contributed to improving this manuscript.</t>
  </si>
  <si>
    <t>10.1016/j.scitotenv.2023.166281</t>
  </si>
  <si>
    <t>R8KY0</t>
  </si>
  <si>
    <t>WOS:001066802400001</t>
  </si>
  <si>
    <t>Qiu, XY; Li, JM; Zhao, YY; Lin, S; Sun, ZW; Fang, YD; Guo, L</t>
  </si>
  <si>
    <t>Qiu, Xiaoyu; Li, Jiaming; Zhao, Yiyang; Lin, Sen; Sun, Zhangwei; Fang, Yida; Guo, Li</t>
  </si>
  <si>
    <t>The formation of Z-scheme AgI/BiOBr heterojunction and its excellent photocatalytic performance</t>
  </si>
  <si>
    <t>Z-scheme heterojunction; BiOBr; AgI; Photocatalysis; Environment purification</t>
  </si>
  <si>
    <t>DEGRADATION; BR; CL; EFFICIENCY; REMOVAL; BIOBR</t>
  </si>
  <si>
    <t>Photocatalysts with Z-scheme AgI/BiOBr heterojunction were prepared through hydrothermal process combined with in situ co-precipitation. Optimum hydrothermal pH value (pH=4) for synthesizing pure BiOBr was selected by conducting photocatalysis tests. Z-scheme AgI/BiOBr heterojunctions were constructed to enhance the photocatalytic performance. Benefiting from the above two strategies, BAI-5 (pH=4, AgI loading amount 13 wt%) presented the best photocatalytic performance under visible light irradiation. The apparent reaction rate constant in degrading Rhodamine B (RhB) upon BAI-5 reached 0.01801 min-1, which was 5.29 times as that upon the pure BiOBr sample BOB-4 (pH=4). In addition, the property of the catalyst for repeated use was analyzed. After 5 cycles, the photocatalytic efficiency of the catalyst still remained 94%. The major active species were determined and the photocatalytic mechanism was revealed. The introduction of AgI enlarged the absorption range of visible light and facilitated the effective separation and transfer of photogenerated charge carriers. The as-prepared photocatalyst BAI-5 may have promising application prospects in environment purification.</t>
  </si>
  <si>
    <t>[Qiu, Xiaoyu; Li, Jiaming; Zhao, Yiyang; Lin, Sen; Sun, Zhangwei; Fang, Yida; Guo, Li] Northeast Forestry Univ, Coll Chem Chem Engn &amp; Resource Utilizat, Harbin 150040, Peoples R China</t>
  </si>
  <si>
    <t>Northeast Forestry University - China</t>
  </si>
  <si>
    <t>Guo, L (corresponding author), Northeast Forestry Univ, Coll Chem Chem Engn &amp; Resource Utilizat, Harbin 150040, Peoples R China.</t>
  </si>
  <si>
    <t>guoli_nefu@nefu.edu.cn</t>
  </si>
  <si>
    <t>Hei-longjiang Postdoctoral Financial Assistance [LBH-Z16012]; [2017RAQXJ123]</t>
  </si>
  <si>
    <t>Hei-longjiang Postdoctoral Financial Assistance;</t>
  </si>
  <si>
    <t>This work was financially supported by Harbin Applied Technology Research and Development Project (2017RAQXJ123), and the Heilongjiang Postdoctoral Financial Assistance (LBH-Z16012).r Research and Development Project (2017RAQXJ123) , and the Hei-longjiang Postdoctoral Financial Assistance (LBH-Z16012) .</t>
  </si>
  <si>
    <t>10.1016/j.jallcom.2023.171739</t>
  </si>
  <si>
    <t>R2LJ3</t>
  </si>
  <si>
    <t>WOS:001062709800001</t>
  </si>
  <si>
    <t>Wang, DM; Wu, YR; Sun, SH; Zhao, P; Zhou, X; Liang, C; Ma, YL; Li, SQ; Zhu, XY; Hao, XQ; Shi, J; Fan, H</t>
  </si>
  <si>
    <t>Wang, Dongmei; Wu, Yiran; Sun, Shihao; Zhao, Pu; Zhou, Xiang; Liang, Chen; Ma, Yilu; Li, Sanqiang; Zhu, Xiaoying; Hao, Xueqin; Shi, Jian; Fan, Hua</t>
  </si>
  <si>
    <t>NLRP3 inflammasome-mediated pyroptosis involvement in cadmium exposure-induced cognitive deficits via the Sirt3-mtROS axis</t>
  </si>
  <si>
    <t>Cadmium; Sirt3-mtROS; NLRP3 inflammasome; Pyroptosis; Cognitive deficits</t>
  </si>
  <si>
    <t>MECHANISM; MEMORY</t>
  </si>
  <si>
    <t>Cadmium (Cd), a toxic heavy metal, exerts deleterious effects on neuronal survival and cognitive function. NOD like receptor 3 (NLRP3) inflammasome-dependent pyroptosis has been linked to Cd-induced cytotoxicity. The current research intended to elucidate the role of NLRP3 inflammasome-mediated pyroptosis in Cd-evoked neuronal death and cognitive impairments and the underlying mechanisms. Exposure to 1 mg/kg Cd for 8 weeks led to hippocampal-dependent cognitive deficits and neural/synaptic damage in mice. NLRP3 inflammasome-related protein expression (NLRP3, ASC, and caspase1 p20) and neuronal pyroptosis were significantly upregulated in Cd-treated hippocampi and SH-SY5Y cells. Moreover, pretreatment with the NLRP3 inhibitor MCC950 mitigated Cd-elicited NLRP3 inflammasome activation and subsequent neuronal pyroptosis in SH-SY5Y cells. Furthermore, exposure to Cd downregulated Sirt3 expression, suppressed SOD2 activity by hyperacetylation, and enhanced mtROS accumulation in vivo and in vitro. Notably, Cd-induced NLRP3 inflammasome-dependent neuronal pyroptosis was attenuated by a mtROS scavenger or Sirt3 overexpression in SH-SY5Y cells. In addition, Cd failed to further suppress SOD activity and activate NLRP3 inflammasome dependent neuronal pyroptosis in Sirt3 shRNA-treated SH-SY5Y cells. Collectively, our findings indicate that Cd exposure induces neuronal injury and cognitive deficits by activating NLRP3 inflammasome-dependent neuronal pyroptosis and that activation of the NLRP3 inflammasome is partially mediated by the Sirt3-mtROS axis.</t>
  </si>
  <si>
    <t>[Wang, Dongmei; Wu, Yiran; Sun, Shihao; Zhao, Pu; Zhou, Xiang; Liang, Chen; Ma, Yilu; Li, Sanqiang; Zhu, Xiaoying; Hao, Xueqin; Shi, Jian; Fan, Hua] Henan Univ Sci &amp; Technol, Affiliated Hosp 1, Coll Basic Med &amp; Forens Med, Coll Clin Med, Luoyang, Peoples R China; [Wang, Dongmei; Shi, Jian; Fan, Hua] 259 Kaiyuan Ave, Luoyang, Henan, Peoples R China</t>
  </si>
  <si>
    <t>Henan University of Science &amp; Technology</t>
  </si>
  <si>
    <t>Wang, DM; Shi, J; Fan, H (corresponding author), 259 Kaiyuan Ave, Luoyang, Henan, Peoples R China.</t>
  </si>
  <si>
    <t>wdmzgadyx@163.com; s_j2008@163.com; fanhua19851229@126.com</t>
  </si>
  <si>
    <t>National Natural Science Foundation of China; Henan Provincial Science and Technology Research Project [U1804174]; Joint Programs for Science and Technology Development of Henan Province [232102310263]; Luoyang Program for Development of Science and Technology [LHGJ20200575]; [2001028A]</t>
  </si>
  <si>
    <t>National Natural Science Foundation of China(National Natural Science Foundation of China (NSFC)); Henan Provincial Science and Technology Research Project; Joint Programs for Science and Technology Development of Henan Province; Luoyang Program for Development of Science and Technology;</t>
  </si>
  <si>
    <t>The present work was supported by National Natural Science Foundation of China (U1804174), Henan Provincial Science and Technology Research Project (232102310263), Joint Programs for Science and Technology Development of Henan Province (LHGJ20200575), Luoyang Program for Development of Science and Technology (2001028A)</t>
  </si>
  <si>
    <t>10.1016/j.scitotenv.2023.166478</t>
  </si>
  <si>
    <t>S1MU4</t>
  </si>
  <si>
    <t>WOS:001068890000001</t>
  </si>
  <si>
    <t>Wang, WM; Zhang, JX; Hu, M; Liu, XT; Sun, T; Zhang, H</t>
  </si>
  <si>
    <t>Wang, Weimin; Zhang, Jiaxin; Hu, Ming; Liu, Xitao; Sun, Tao; Zhang, Hui</t>
  </si>
  <si>
    <t>Antidepressants in wastewater treatment plants: Occurrence, transformation and acute toxicity evaluation</t>
  </si>
  <si>
    <t>Antidepressants; Occurrence; Transformation products; Acute toxicity</t>
  </si>
  <si>
    <t>SEROTONIN REUPTAKE INHIBITORS; SOLID-PHASE EXTRACTION; PERSONAL CARE PRODUCTS; ENVIRONMENTAL RISK; LIQUID-CHROMATOGRAPHY; AQUATIC ENVIRONMENT; SELECTIVE UPTAKE; ILLICIT DRUGS; PHARMACEUTICALS; FATE</t>
  </si>
  <si>
    <t>Antidepressants (ATDs) are one of the most prescribed medications for psychiatric conditions. The widespread presence in aquatic environment and demonstrated ecotoxicity make ATDs a class of concerning emerging contaminants. Municipal wastewater treatment plants (WWTPs) provide important connecting channel between wastewater and aquatic environment. Herein, we present a critical overview of the occurrence, transformation and toxicity of typical ATDs during water treatments. The total concentration of the detected ATDs and their metabolites in the WWTP influents and effluents are 72.62-5011.80 ng/L and 114.48-6992.40 ng/L, respectively, on a global scale. The frequently observed negative removal of ATDs in WWTPs indicates that some ATDs exist as conjugates in wastewaters. The biotic and abiotic transformation of ATDs and the generated transformation byproducts (TPs) were identified, which occurred in WWTPs worldwide along with ATDs. Acute toxicity of ATDs and their TPs was predicated using the ECOSAR model. Compared to ATDs, the demonstrated enhanced toxicity of several TPs to aquatic organisms necessitates more attention on TPs monitoring in WWTPs. This work provides scientific support for wastewater advanced treatment to alleviate ATDs pollution in effluents.</t>
  </si>
  <si>
    <t>[Wang, Weimin; Zhang, Jiaxin; Liu, Xitao; Sun, Tao; Zhang, Hui] Beijing Normal Univ, Sch Environm, State Key Lab Water Environm Simulat, Beijing 100875, Peoples R China; [Hu, Ming] China Geol Survey, Command Ctr Nat Resources Comprehens Survey, Beijing 100055, Peoples R China</t>
  </si>
  <si>
    <t>Beijing Normal University; China Geological Survey</t>
  </si>
  <si>
    <t>Zhang, H (corresponding author), Beijing Normal Univ, Sch Environm, State Key Lab Water Environm Simulat, Beijing 100875, Peoples R China.</t>
  </si>
  <si>
    <t>zhanghui@bnu.edu.cn</t>
  </si>
  <si>
    <t>Key Project of National Natural Science Foundation of China [U1806217]; National Natural Science Foundation of China [42107514]; Fundamental Research Funds for the Central University [310421124]; Open Foundation of Beijing Key Laboratory of Water Environmental and Ecological Technology for River Basins</t>
  </si>
  <si>
    <t>Key Project of National Natural Science Foundation of China(National Natural Science Foundation of China (NSFC)); National Natural Science Foundation of China(National Natural Science Foundation of China (NSFC)); Fundamental Research Funds for the Central University; Open Foundation of Beijing Key Laboratory of Water Environmental and Ecological Technology for River Basins</t>
  </si>
  <si>
    <t>This work was supported by the Key Project of National Natural Science Foundation of China (No. U1806217), the National Natural Science Foundation of China (No. 42107514), the Fundamental Research Funds for the Central University (310421124), and Open Foundation of Beijing Key Laboratory of Water Environmental and Ecological Technology for River Basins.</t>
  </si>
  <si>
    <t>10.1016/j.scitotenv.2023.166120</t>
  </si>
  <si>
    <t>R2NZ8</t>
  </si>
  <si>
    <t>WOS:001062780400001</t>
  </si>
  <si>
    <t>Wang, WW; Cui, HY; Cui, JW; Wang, T; Sha, JQ; Liu, GD</t>
  </si>
  <si>
    <t>Wang, Wenwen; Cui, Hongyun; Cui, Jiwen; Wang, Tong; Sha, Jingquan; Liu, Guodong</t>
  </si>
  <si>
    <t>Co3O4 anode for lithium-ion batteries coupled by polyoxometalates and graphene for boosting ion-/electron-conductivity</t>
  </si>
  <si>
    <t>Polyoxometalates; Graphene; Anode; Lithium storage mechanism</t>
  </si>
  <si>
    <t>PERFORMANCE; EFFICIENT; COMPOSITE; CONFINEMENT; CONVERSION; FRAMEWORK; CAPACITY; SPHERES; ZIF-67</t>
  </si>
  <si>
    <t>Even being promising anode materials for lithium-ion batteries (LIBs), Co3O4 is still hindered by poor redox and large volume change during dis-/charging. Herein, series of PW12 @Co3O4 @GO composites were successfully fabricated to address the aforementioned shortcomings by pinning monodispersed H3PW12O40 (PW12) on Co3O4 and then coating graphene (GO). Results of X-ray photoelectron spectroscopy (XPS) and cyclic voltammograms (CV) show that PW12 was successfully anchored to the macromolecule Co3O4 by covalent Co-O-W bond, where, to improve the ion and charge transfer rate of Co3O4, the excellent ionic conductivity and multi-electron redox of PW12 as Li+ migration entrance were explored for the first time, meanwhile, the capacity retention of PW12 was greatly maintained (97.5% after 250 cycles). Moreover, GO as electronic conductor and buffer improves the overall conductivity and copes with large volume changes of Co3O4, which ensures the capacity retention rate of PW12 @Co3O4 @GO-2 of 94.9% after 250 cycles. Finally, we delved into the lithium storage process and proposed a possible lithium storage mechanism of PW12 @Co3O4 @GO-2, which provides a new insight to trigger the electrochemical activity for next-generation anode materials.</t>
  </si>
  <si>
    <t>[Wang, Wenwen; Wang, Tong; Sha, Jingquan; Liu, Guodong] Jining Univ, Sch Chem Chem Engn &amp; Mat, Qufu 273155, Shandong, Peoples R China; [Wang, Wenwen; Cui, Hongyun; Cui, Jiwen; Sha, Jingquan] Jiamusi Univ, Coll Mat Sci &amp; Engn, Jiamusi 154007, Heilongjiang, Peoples R China</t>
  </si>
  <si>
    <t>Jining University; Jiamusi University</t>
  </si>
  <si>
    <t>Sha, JQ (corresponding author), Jining Univ, Sch Chem Chem Engn &amp; Mat, Qufu 273155, Shandong, Peoples R China.</t>
  </si>
  <si>
    <t>shajq2002@126.com</t>
  </si>
  <si>
    <t>Natural Science Foundation [ZR2021MB025, ZR2020MB020]; Talent Culturing Plan for Leading Disciplines of University of Shandong Province</t>
  </si>
  <si>
    <t>Natural Science Foundation(National Natural Science Foundation of China (NSFC)); Talent Culturing Plan for Leading Disciplines of University of Shandong Province</t>
  </si>
  <si>
    <t>The authors acknowledge financial support from the Natural Science Foundation (ZR2021MB025 and ZR2020MB020) and the Talent Culturing Plan for Leading Disciplines of University of Shandong Province.</t>
  </si>
  <si>
    <t>10.1016/j.jallcom.2023.171817</t>
  </si>
  <si>
    <t>R7TG9</t>
  </si>
  <si>
    <t>WOS:001066337700001</t>
  </si>
  <si>
    <t>Wu, GC; Wang, H; Zhang, CL; Gong, DC; Liu, XT; Ristovski, Z; Wang, BG</t>
  </si>
  <si>
    <t>Wu, Gengchen; Wang, Hao; Zhang, Chengliang; Gong, Daocheng; Liu, Xiaoting; Ristovski, Zoran; Wang, Boguang</t>
  </si>
  <si>
    <t>Anthropogenic pollutants induce enhancement of aerosol acidity at a mountainous background atmosphere in southern China</t>
  </si>
  <si>
    <t>Background mountain; Aerosol acidity; Driving factors; Buffer effect; Regional transport</t>
  </si>
  <si>
    <t>FINE-PARTICLE PH; LIQUID WATER-CONTENT; SOLUBLE INORGANIC-IONS; LONG-RANGE TRANSPORT; CHEMICAL-COMPOSITION; PARTICULATE MATTER; WINTER HAZE; PM2.5 ACIDITY; SULFATE; URBAN</t>
  </si>
  <si>
    <t>Aerosol acidity plays a crucial role in atmospheric physicochemical processes, climate change and human health, particularly in the formation of secondary organic aerosols (SOA). However, understanding the characteristics and driving factors of aerosol acidity in background mountains has been limited. In this study, we conducted intensive field measurements in the Nanling mountains during the dry and wet seasons to analyze aerosol pH characteristics and their driving factors using sensitivity tests. The mean aerosol pH in the background mountains was found to be 2.68 &amp; PLUSMN; 0.55, with values ranging from 0.38 to 4.44, significantly lower than predicted values in northern China. Sensitivity tests revealed that aerosol acidity in the background atmosphere was more responsive to dominant chemical species (T-NH3 (= NH4+ + NH3) and SO42  ) rather than relative humidity and temperature. Additionally, we observed that sulfate and ammonium, transported occasionally by dryer northern air masses, had a substantial impact on decreasing aerosol pH at the site. Similar to the southeastern United States, NH4+/NH3 also dominated the total buffer capacity of aerosol acidity in the Nanling mountains. The strong aerosol acidity in this area is expected to have adverse effects on regional air quality and climate by enhancing SOA formation and regulating the dry deposition of inorganic reactive nitrogen.</t>
  </si>
  <si>
    <t>[Wu, Gengchen; Wang, Hao; Zhang, Chengliang; Gong, Daocheng; Liu, Xiaoting; Wang, Boguang] Jinan Univ, Inst Environm &amp; Climate Res, Guangzhou 511443, Peoples R China; [Wu, Gengchen; Wang, Hao; Zhang, Chengliang; Gong, Daocheng; Wang, Boguang] Guangdong Prov Observat &amp; Res Stn Atmospher Enviro, Guangzhou, Peoples R China; [Liu, Xiaoting] Jinan Univ, Affiliated Hosp 1, Dept Ophthalmol, Guangzhou, Peoples R China; [Wang, Hao; Liu, Xiaoting; Ristovski, Zoran; Wang, Boguang] Jinan Univ, JNU QUT Joint Lab Air Qual Sci &amp; Management, Guangzhou 511443, Peoples R China; [Ristovski, Zoran] Queensland Univ Technol, Int Lab Air Qual &amp; Hlth, Brisbane 4001, Australia</t>
  </si>
  <si>
    <t>Jinan University; Jinan University; Jinan University; Queensland University of Technology (QUT)</t>
  </si>
  <si>
    <t>Wang, H; Wang, BG (corresponding author), Jinan Univ, Inst Environm &amp; Climate Res, Guangzhou 511443, Peoples R China.</t>
  </si>
  <si>
    <t>wanghao@jnu.edu.cn; tbongue@jnu.edu.cn</t>
  </si>
  <si>
    <t>National Natural Science Foundation of China [42121004, 41877370, 42077190]; Science and Technology Project of Guangdong Province of China [2019B121202002, 2021A0505030044]</t>
  </si>
  <si>
    <t>National Natural Science Foundation of China(National Natural Science Foundation of China (NSFC)); Science and Technology Project of Guangdong Province of China</t>
  </si>
  <si>
    <t>This work was supported by the National Natural Science Foundation of China (42121004, 41877370, 42077190) , and the Science and Technology Project of Guangdong Province of China (2019B121202002, 2021A0505030044) . We thank Jie Ou and Yu Zheng of Shaoguan Environmental Monitoring Central Station for their help during the sampling campaign.</t>
  </si>
  <si>
    <t>10.1016/j.scitotenv.2023.166192</t>
  </si>
  <si>
    <t>R3BW6</t>
  </si>
  <si>
    <t>WOS:001063146400001</t>
  </si>
  <si>
    <t>Yu, MJ; Herrmann, B; Cerbule, K; Liu, CD; Zhang, LY; Tang, YL</t>
  </si>
  <si>
    <t>Yu, Mengjie; Herrmann, Bent; Cerbule, Kristine; Liu, Changdong; Zhang, Liyou; Tang, Yanli</t>
  </si>
  <si>
    <t>Effect of artificial lights on catch efficiency and capture patterns in Asian paddle crab (Charybdis japonica) gillnet fishery</t>
  </si>
  <si>
    <t>Gillnet; LED lights; Catch efficiency; Capture patterns; Charybdis japonica</t>
  </si>
  <si>
    <t>NET ILLUMINATION; TURTLE BYCATCH; TRIALS; SIZE</t>
  </si>
  <si>
    <t>The gillnet fishery targeting Asian paddle crab (Charybdis japonica) is an important commercial fishery in the Yellow Sea of China. However, low catch rates represent a challenge, and solutions for improving the catch efficiency are crucial for economical sustainability in this fishery. Therefore, we tested whether the use of artificial fishing lights could improve gillnet catch performance. Specifically, we investigated the effect of using different colored light-emitting diodes (LED) on gillnet catch efficiency and capture patterns. The results showed that attaching white and blue LED lights to gillnets did not significantly affect the catch efficiency of C. japonica, compared to the conventional gillnets without LED lights attached. However, green LED lights significantly improved catch efficiency of legal-sized C. japonica by an average of 57%. Furthermore, a significant reduction (&amp; SIM;35%) in the catch efficiency of undersized crabs was observed for gillnets equipped with red LEDs; however, without any significant effect on catches of legal-sized C. japonica. Moreover, significant differences were observed for the catch composition of species between gillnets with and without LED lights. The findings of this study can provide insight into potential improvements of the fishing strategies in the C. japonica gillnet fishery.&amp; COPY; 2023 Elsevier B.V. All rights reserved.</t>
  </si>
  <si>
    <t>[Yu, Mengjie; Liu, Changdong; Zhang, Liyou; Tang, Yanli] Ocean Univ China, Fisheries Coll, Qingdao 266003, Shandong, Peoples R China; [Herrmann, Bent; Cerbule, Kristine] SINTEF Ocean, Fishing Gear Technol, Willemoesvej 2, DK-9850 Hirtshals, Denmark; [Herrmann, Bent; Cerbule, Kristine] UiT Arctic Univ Norway, N-9037 Tromso, Norway; [Herrmann, Bent] Tech Univ Denmark, DTU Aqua, Hirtshals, Denmark</t>
  </si>
  <si>
    <t>Ocean University of China; SINTEF; UiT The Arctic University of Tromso; Technical University of Denmark</t>
  </si>
  <si>
    <t>Tang, YL (corresponding author), Ocean Univ China, Fisheries Coll, Qingdao 266003, Shandong, Peoples R China.</t>
  </si>
  <si>
    <t>tangyanli_lab@163.com</t>
  </si>
  <si>
    <t>Cerbule, Kristine/0000-0002-2749-3875</t>
  </si>
  <si>
    <t>Project of Marine and Fishery Technology Innovation of Shandong; [2017HYCX007]</t>
  </si>
  <si>
    <t>Project of Marine and Fishery Technology Innovation of Shandong;</t>
  </si>
  <si>
    <t>Funding This study was supported by the Project of Marine and Fishery Technology Innovation of Shandong (No. 2017HYCX007) .</t>
  </si>
  <si>
    <t>10.1016/j.rsma.2023.103101</t>
  </si>
  <si>
    <t>Q0QC6</t>
  </si>
  <si>
    <t>WOS:001054637200001</t>
  </si>
  <si>
    <t>Daqaq, MF</t>
  </si>
  <si>
    <t>Daqaq, Mohammed F.</t>
  </si>
  <si>
    <t>Active shaping of a bi-stable potential: Exploring nonlinear coupling to a stiff externally-excited oscillator</t>
  </si>
  <si>
    <t>JOURNAL OF SOUND AND VIBRATION</t>
  </si>
  <si>
    <t>Bi-stable; Shaping; Potential; High-frequency</t>
  </si>
  <si>
    <t>VIBRATIONAL RESONANCE; ENERGY; SYSTEMS; EXCITATION; ABSORBER</t>
  </si>
  <si>
    <t>The ability to actively shape the potential energy function of a bi-stable oscillator without the use of feedback control offers key advantages in the design of adaptive morphing structures, mechanical switches, vibration absorbers, and energy harvesters. In this paper, we propose an approach based on nonlinearly coupling the bi-stable (low-frequency) oscillator to a stiff (high -frequency) linear oscillator, which, in turn, is excited harmonically near its resonant frequency. We show that active and controlled shaping of the potential energy function can be achieved by changing either the magnitude and/or the frequency of the high-frequency harmonic input. Pronounced shape changes are achieved even for relatively small levels of the input excitation; levels that are much lower than those needed when the bi-stable oscillator is directly subjected to the high-frequency excitation. The study also reveals an interesting phenomenon where the effective potential energy function of the slow dynamics can transition from the bi-to the mono -stable type and vise versa by simply changing the initial conditions of the externally-excited stiff oscillator.</t>
  </si>
  <si>
    <t>[Daqaq, Mohammed F.] NYU Abu Dhabi, Network Prof, Div Engn, Abu Dhabi, U Arab Emirates; [Daqaq, Mohammed F.] NYU, Tandon Sch Engn, Dept Mech Engn, New York, NY 11201 USA</t>
  </si>
  <si>
    <t>New York University; New York University Tandon School of Engineering</t>
  </si>
  <si>
    <t>Daqaq, MF (corresponding author), NYU, Tandon Sch Engn, Dept Mech Engn, New York, NY 11201 USA.</t>
  </si>
  <si>
    <t>mfd6@nyu.edu</t>
  </si>
  <si>
    <t>Daqaq, Mohammed/0000-0002-2004-6482</t>
  </si>
  <si>
    <t>0022-460X</t>
  </si>
  <si>
    <t>1095-8568</t>
  </si>
  <si>
    <t>J SOUND VIB</t>
  </si>
  <si>
    <t>J. Sound Vibr.</t>
  </si>
  <si>
    <t>DEC 8</t>
  </si>
  <si>
    <t>10.1016/j.jsv.2023.117919</t>
  </si>
  <si>
    <t>Acoustics; Engineering, Mechanical; Mechanics</t>
  </si>
  <si>
    <t>Acoustics; Engineering; Mechanics</t>
  </si>
  <si>
    <t>O6OS7</t>
  </si>
  <si>
    <t>WOS:001044984700001</t>
  </si>
  <si>
    <t>Basak, S; Nath, D; Das, R</t>
  </si>
  <si>
    <t>Basak, Sanghita; Nath, Debojyoti; Das, Ratan</t>
  </si>
  <si>
    <t>Analysis of dominant and intense XRD peak of (111) plane of ZnS nanocrystals for microstructural study through single line Voigt method: Calculated low dislocation density value emphasizes larger stacking of (111) plane</t>
  </si>
  <si>
    <t>ZnS nanoparticle; HR-TEM; XRD analysis; Voigt function; Dislocation density</t>
  </si>
  <si>
    <t>PARTICLE-SIZE DISTRIBUTION; X-RAY-DIFFRACTION; BAND-GAP; II-VI; NANOPARTICLES; SEMICONDUCTORS; COMPOUND</t>
  </si>
  <si>
    <t>In this work, a wet chemical synthesis method has been used for the preparation of ZnS nanocrystals using the precursor Zn(NO3)2 (Zinc Nitrate) and Na2S (Sodium sulfide), where 3-Mercaptopropionic acid has been used as a capping agent. Morphological characterization of the prepared ZnS nanocrystals has been performed through HR-TEM and FE-SEM analysis and the average particle size has been obtained as approximately 26 nm. The HRTEM image also suggests the formation of smooth crystalline ZnS nanoparticles with dominance of the (111) plane. The XRD pattern firmly indicates dominance of (111) crystalline planes over the other planes. For this, different microstructural properties of prepared ZnS nanoparticles have been studied considering only the dominant (111) diffraction peak using single line Voigt method. Finally, the average particle size calculated from morphological analysis has been compared with the crystallite size calculated by XRD analysis through the Single line Voigt method. Calculated dislocation density value indicates presence of less defects states in the sample and confirms the growth of ZnS nanoparticles in a particular direction of (111) plane with pure crystalline nature.</t>
  </si>
  <si>
    <t>[Basak, Sanghita; Nath, Debojyoti; Das, Ratan] Tripura Univ, Dept Phys, Nanosci &amp; Nanotechnol Res Lab, Suryamaninagar 799022, India</t>
  </si>
  <si>
    <t>Tripura University</t>
  </si>
  <si>
    <t>Das, R (corresponding author), Tripura Univ, Dept Phys, Nanosci &amp; Nanotechnol Res Lab, Suryamaninagar 799022, India.</t>
  </si>
  <si>
    <t>dasratanphy@gmail.com</t>
  </si>
  <si>
    <t>IUAC project, New Delhi [65321]</t>
  </si>
  <si>
    <t>IUAC project, New Delhi</t>
  </si>
  <si>
    <t>The authors are thankful to the IUAC project, New Delhi ((UFR no.-65321), dated 28/12/2018) for providing financial support. The authors are also thankful to the North-Eastern Hill University (NEHU), Shillong, for providing HR-TEM data, Gauhati University, for providing the XRD data.</t>
  </si>
  <si>
    <t>DEC 5</t>
  </si>
  <si>
    <t>10.1016/j.molstruc.2023.136273</t>
  </si>
  <si>
    <t>P8BU6</t>
  </si>
  <si>
    <t>WOS:001052877600001</t>
  </si>
  <si>
    <t>Chen, R; Xu, K; Li, QY; Ma, JK; Wang, TH; Zhang, ZW; Mu, XT; Xuan, FH; Cao, LF; Teng, B</t>
  </si>
  <si>
    <t>Chen, Rui; Xu, Kai; Li, Qiuyue; Ma, Jinkang; Wang, Tianhua; Zhang, Zhiwei; Mu, Xueting; Xuan, Fanghao; Cao, Lifeng; Teng, Bing</t>
  </si>
  <si>
    <t>Synthesis and characterization of a new chalcone-based nonlinear optical crystal: BBC</t>
  </si>
  <si>
    <t>Chalcone; Long &amp; pi;-conjugated substituent; Nonlinear optical crystal; Molecular design approach</t>
  </si>
  <si>
    <t>GROWTH; CHROMOPHORES</t>
  </si>
  <si>
    <t>A new chalcone-based nonlinear optical crystal BBC (C22H17BrO2) using long p-conjugated and halogen substituent, as a potential alternative to develop organic crystals, are reported. BBC was designed and synthesized by replacing benzyloxy and-Br groups on both sides of molecular framework. Flaky yellowish BBC single crystal with size of 5 x 5 x 1 mm(3) was grown by solution evaporation method. BBC crystal crystallizes in the monoclinic system, Pc (NO. 7) space group, with noncentrosymmetric structure. In the BBC molecule, benzyl oxide acts as donor (D) and Br and carbonyl group act as acceptor (A), forming D -p -A -p -A structure with electron gradient. The introduction of Br group, which contributes to strong halogen bond formation, lead to the head-to-tail arrangement. Remarkably, BBC exhibits strong second harmonic generation (SHG) intensity (14 x KDP and 2.2 x Urea), wide transmission range (600-1600 nm, &gt;60%), high optical energy gap (E-g=2.85 eV) and high thermal stability (T-m=106 ?). In addition, to investigate the relationships between the structure and physical properties, the electronic structure and optical properties of BBC crystal were theoretically calculated. This work not only provides a newly chalcone-based NLO crystal, but also presents a feasible molecular design approach by introducing long p-conjugated and halogen substituents.</t>
  </si>
  <si>
    <t>[Chen, Rui; Xu, Kai; Li, Qiuyue; Ma, Jinkang; Wang, Tianhua; Zhang, Zhiwei; Mu, Xueting; Xuan, Fanghao; Cao, Lifeng; Teng, Bing] Qingdao Univ, Coll Phys, Qingdao 266071, Peoples R China; [Cao, Lifeng; Teng, Bing] Qingdao Univ, Natl Demonstrat Ctr Expt Appl Phys Educ, Qingdao 266071, Peoples R China; [Cao, Lifeng; Teng, Bing] Qingdao Univ, Univ Ind Joint Ctr Ocean Observat &amp; Broadband Comm, Coll Phys, Qingdao 266071, Peoples R China; [Cao, Lifeng; Teng, Bing] Qingdao Univ, Weihai Innovat Res Inst, Weihai 264200, Peoples R China</t>
  </si>
  <si>
    <t>Qingdao University; Qingdao University; Qingdao University; Qingdao University</t>
  </si>
  <si>
    <t>Cao, LF; Teng, B (corresponding author), Qingdao Univ, Coll Phys, Qingdao 266071, Peoples R China.</t>
  </si>
  <si>
    <t>clf198044@126.com; 5108tb@163.com</t>
  </si>
  <si>
    <t>Zhang, Zhiwei/ABI-3195-2020</t>
  </si>
  <si>
    <t>Zhang, Zhiwei/0000-0003-4617-1772; Xuan, Fanghao/0009-0000-8563-4798</t>
  </si>
  <si>
    <t>Key Projects of the Joint Fund for Regional Innovation and Development of the National Natural Science Foundation of China [U22A20123]; Program for National Natural Science Foundation of China [51972181, 52272003]; program for National Natural Science Foundation of Shandong Province [ZR2020ME022]</t>
  </si>
  <si>
    <t>Key Projects of the Joint Fund for Regional Innovation and Development of the National Natural Science Foundation of China(National Natural Science Foundation of China (NSFC)); Program for National Natural Science Foundation of China(National Natural Science Foundation of China (NSFC)); program for National Natural Science Foundation of Shandong Province</t>
  </si>
  <si>
    <t>This work was supported by the Key Projects of the Joint Fund for Regional Innovation and Development of the National Natural Science Foundation of China (No. U22A20123), Program for National Natural Science Foundation of China (No. 51972181 and No. 52272003) and the program for National Natural Science Foundation of Shandong Province (No. ZR2020ME022).</t>
  </si>
  <si>
    <t>10.1016/j.molstruc.2023.136320</t>
  </si>
  <si>
    <t>P7PL3</t>
  </si>
  <si>
    <t>WOS:001052555400001</t>
  </si>
  <si>
    <t>Kumar, P; Singh, D; Gupta, I</t>
  </si>
  <si>
    <t>Kumar, Pawan; Singh, Devender; Gupta, Isha</t>
  </si>
  <si>
    <t>UV excitable GdSr2AlO5:Eu3+red emitting nanophosphors: Structure refinement, photoluminescence, Judd-Ofelt analysis and thermal stability for w-LEDs</t>
  </si>
  <si>
    <t>Diffraction; Band gap; Photoluminescence; CIE -coordinates</t>
  </si>
  <si>
    <t>ENHANCED RED EMISSION; ENERGY-TRANSFER; LUMINESCENT CHARACTERISTICS; COMBUSTION SYNTHESIS; EU3+; PHOSPHOR; GREEN; LAALO3; INTENSITIES; GROWTH</t>
  </si>
  <si>
    <t>Combustion derived Gd1_xSr2AlO5:x mol% Eu3+ (x = 1-5 mol%) nanophosphors have tetragonal structure with space-symmetry of I4/mcm (space group no. 140), which was supported by X-ray diffraction patterns. Rietveld refinement pattern revealed that the doping of Eu3+ ions expanded the lattice constants/volume and shifted the diffraction peaks to a lower angle side. Investigations using SEM and TEM confirm the excellent morphology with almost spherical particles in nanoscale. The production of material with the proper stoichiometry was confirmed by EDX analysis. Optical band-gap value (5.21 eV) of optimum Gd0.97Sr2AlO5:3 mol% Eu3+ which was determined by Kubelka-Munk model, showed the good optical quality of the samples. At 268 nm excitation wavelengths, PL spectra characteristics show a strong red emission at 612 nm that corresponds to the doped Eu3+ ions hypersensitive 5D0 &amp; RARR;7F2 transition with good asymmetric ratio. The optimal doping concentration of Eu3+ ions in GdSr2AlO5 is determined to be about 3 mol% and the concentration quenching phenomenon arise from the electric dipole-quadrupole interaction. Additionally, the Judd-Ofelt investigation of GdSr2AlO5:Eu3+ phosphors were intended to determine the coordinated Eu3+ environment inside the host matrix. The experimental life time analysis of the excited state 5D0 was determined to be in the millisecond range and the quantum efficiency for optimum sample was found to be 67.62 % yielding a good white light emission. The temperature dependent luminescence behavior of Gd0.97Sr2AlO5:3 mol% Eu3+ phosphor exhibits its good thermal stability and the activation energy for thermal quenching characteristics is calculated to be 0.216 eV. The potential applicability of GdSr2AlO5:Eu3+ nanophosphor in the production of wLEDs was further improved by the color coordinates.</t>
  </si>
  <si>
    <t>[Kumar, Pawan; Singh, Devender; Gupta, Isha] Maharshi Dayanand Univ, Dept Chem, Rohtak 124001, India; [Singh, Devender] Maharshi Dayanand Univ, Dept Chem, Rohtak 124001, Haryana, India</t>
  </si>
  <si>
    <t>Maharshi Dayanand University; Maharshi Dayanand University</t>
  </si>
  <si>
    <t>Singh, D (corresponding author), Maharshi Dayanand Univ, Dept Chem, Rohtak 124001, Haryana, India.</t>
  </si>
  <si>
    <t>devjakhar@gmail.com</t>
  </si>
  <si>
    <t>Singh, Prof Devender/0000-0002-2180-5049</t>
  </si>
  <si>
    <t>UGC-New Delhi [117/(CSIRNETJUNE2019)]; MDU, Rohtak</t>
  </si>
  <si>
    <t>UGC-New Delhi(University Grants Commission, India); MDU, Rohtak</t>
  </si>
  <si>
    <t>The author (Pawan Kumar) is thankful to UGC-New Delhi for providing SRF [117/(CSIRNETJUNE2019)] and author (Devender Singh) is grateful to MDU, Rohtak for financial support under research promotion scheme.</t>
  </si>
  <si>
    <t>10.1016/j.jallcom.2023.171410</t>
  </si>
  <si>
    <t>Q3IT0</t>
  </si>
  <si>
    <t>WOS:001056491500001</t>
  </si>
  <si>
    <t>Li, GY; Wang, QQ; Chen, XJ; Yu, PG; Peng, QJ; Chen, H; Ren, S; Wang, CH; Su, YS; Liang, XX; Sun, M; Du, XL; He, R</t>
  </si>
  <si>
    <t>Li, Guangyong; Wang, Qiangqiang; Chen, Xiaojiang; Yu, Puguang; Peng, Qingjie; Chen, Hua; Ren, Shuai; Wang, Chunhong; Su, Yashan; Liang, Xiaoxia; Sun, Miao; Du, Xiaoli; He, Rui</t>
  </si>
  <si>
    <t>Based on network pharmacology to explore the effect and mechanism of Yipibushen decoction in improving obese type 2 diabetes mellitus with oligoasthenotspermia</t>
  </si>
  <si>
    <t>Type 2 diabetes; Oligoasthenotspermia; Semen parameters; Testicular function; PI3K; AKT</t>
  </si>
  <si>
    <t>SIGNALING PATHWAY; LIPID-METABOLISM; MOTILITY; GLUCOSE</t>
  </si>
  <si>
    <t>Ethnopharmacological relevance: A traditional Chinese medicine experience compound known as Yipibushen (YPBS) decoction stimulates qi and nourishes yin, stimulates the kidney and solid essence, dissolves phlegm and eliminates stasis. YPBS decoction has proven to be successful in treating obese type 2 diabetes mellitus with oligoasthenotspermia in clinical settings. Nevertheless, the pharmacological mechanism is not understood. Aim of the study: Investigating the mechanism of action of YPBS decoction in enhancing the obese type 2 diabetes mellitus with oligoasthenotspermia involved network pharmacology and animal validation techniques. Methods and materials: The YPBS Decoction' active components were found in the TCMSP database and their targets were identified using UniProtKB. Additionally, targets for the obese type 2 diabetes mellitus with oligoasthenotspermia were found in the GeneCard, DisGeNet, TTD and OMIM databases. The intersection of active ingredients, the obese type 2 diabetes mellitus with oligoasthenotspermia was chosen as the intersection target. The protein-protein interaction (PPI) network of the intersection target was built with the aid of Cytoscape 3.9.1, the core target of PPI was obtained through software analysis in R-project, GO enrichment and KEGG enrichment analysis was carried out on the core target. Finally, animal experiments were used to verify the intersection target.Results: The research revealed 74 intersection targets of YPBS decoction active ingredients in the obese type 2 diabetes mellitus with oligoasthenotspermia. There were also 18 PPI core targets, GO enrichment analysis of PPI core targets involving response to oxidative stress, membrane raft, DNA-binding transcription regulator complex and other biological processes; KEGG involving endocrine resistance, PI3K/AKT signaling pathway, apoptosis and other signal pathways. In the obese type 2 diabetes mellitus with oligoasthenotspermia mice, animal studies have shown that YPBS decoction group could decrease blood glucose levels and improve insulin resistance; improve testicular function, enhance sperm count, sperm motility, sperm viability, and decrease the malformation rate. It could increase the levels of T-SOD and GSH-Px, and decrease the MDA level. In addition to this, it could improve the amount of testosterone hormone, and enhance the expression of PI3K, p-AKT and Bcl-2.Conclusion: By controlling the degree of oxidative stress and the PI3K/AKT/Bcl-2 pathway, YPBS decoction may enhance the obese type 2 diabetes mellitus with Oligoasthenotspermia, provide a scientific basis for clinical diagnosis and therapy.</t>
  </si>
  <si>
    <t>[Li, Guangyong; Wang, Qiangqiang; Chen, Xiaojiang; Yu, Puguang; Peng, Qingjie; Ren, Shuai; Wang, Chunhong; Su, Yashan; Liang, Xiaoxia; Sun, Miao; Du, Xiaoli; He, Rui] Ningxia Med Univ, Key Lab Fertil Preservat &amp; Maintenance, Minist Educ, Sch Basic Med Sci, Yinchuan, Peoples R China; [Li, Guangyong; Yu, Puguang; Chen, Hua; Ren, Shuai] Ningxia Med Univ, Gen Hosp, Yinchuan, Peoples R China; [Wang, Qiangqiang; Wang, Chunhong; Liang, Xiaoxia; Du, Xiaoli; He, Rui] Ningxia Med Univ, Sch Tradit Chinese Med, Key Lab Ningxia Minor Med Modernizat, Minist Educ, Yinchuan, Peoples R China</t>
  </si>
  <si>
    <t>Ningxia Medical University; Ningxia Medical University; Ningxia Medical University</t>
  </si>
  <si>
    <t>Du, XL; He, R (corresponding author), Ningxia Med Univ, Key Lab Fertil Preservat &amp; Maintenance, Minist Educ, Sch Basic Med Sci, Yinchuan, Peoples R China.;Du, XL; He, R (corresponding author), Ningxia Med Univ, Sch Tradit Chinese Med, Key Lab Ningxia Minor Med Modernizat, Minist Educ, Yinchuan, Peoples R China.</t>
  </si>
  <si>
    <t>ruihe515@163.com</t>
  </si>
  <si>
    <t>Li, Guangyong/G-8702-2014</t>
  </si>
  <si>
    <t>National Natural Science Foundation of China [82201000, 31860290]; Ningxia Natural Science Foundation [2021AAC02025]; Key R amp; D projects in Ningxia [2020BFG02010, 2021BEB04034]; Ningxia science and technology innovation leading talent training project [2020GKLRLX11, 2020GKLRLX06]; Ningxia Medical University research project [XT2019017]</t>
  </si>
  <si>
    <t>National Natural Science Foundation of China(National Natural Science Foundation of China (NSFC)); Ningxia Natural Science Foundation; Key R amp; D projects in Ningxia; Ningxia science and technology innovation leading talent training project; Ningxia Medical University research project</t>
  </si>
  <si>
    <t>This work was financially supported by National Natural Science Foundation of China (82201000, 31860290) , Ningxia Natural Science Foundation (2021AAC02025) , Key R &amp; D projects in Ningxia (2020BFG02010, 2021BEB04034) , Ningxia science and technology innovation leading talent training project (2020GKLRLX11, 2020GKLRLX06) , Ningxia Medical University research project (XT2019017) .</t>
  </si>
  <si>
    <t>10.1016/j.jep.2023.116738</t>
  </si>
  <si>
    <t>O5SY3</t>
  </si>
  <si>
    <t>WOS:001044417900001</t>
  </si>
  <si>
    <t>Liao, ZL; Li, NN; Yang, W; Pang, SJ; Hua, NB; Meng, Y; Liaw, PK; Zhang, T</t>
  </si>
  <si>
    <t>Liao, Zhenlong; Li, Ningning; Yang, Wei; Pang, Shujie; Hua, Nengbin; Meng, Yang; Liaw, Peter K.; Zhang, Tao</t>
  </si>
  <si>
    <t>Effects of niobium on the microstructure, corrosion, and mechanical behavior of ultra-fine lamellar Al0.3CrFeCoNiNbx eutectic high-entropy alloys</t>
  </si>
  <si>
    <t>High-entropy alloy; Microstructure; Eutectic structure; Corrosion behavior; Mechanical property</t>
  </si>
  <si>
    <t>SOLID-SOLUTION; STABILITY; DUCTILITY; STRENGTH</t>
  </si>
  <si>
    <t>This study investigates the effects of the element, Nb, on the microstructure, corrosion, and mechanical behavior of the Al0.3CrFeCoNiNbx (in molar ratio) high-entropy alloys (HEAs). It is found that the Nb addition facilitates the formation of the Nb-rich Laves phase for the HEAs. The HEAs show a hypoeutectic structure [the primary face-centered-cubic (FCC) phase] at x = 0.25-0.4, eutectic structure at x = 0.45, and hypereutectic structure (the primary Laves phase) at x = 0.5-0.75. In the 3.5 mass% NaCl solution, the Al0.3CrFeCoNiNbx HEAs are spontaneously passivated and exhibit a low corrosion rate of less than 10-3 mm/year as a result of the formation of the protective passive films enriched in the chemically-stable Cr- and Nb-oxides. Compared with the FCC phase, the Laves phase displays a better corrosion resistance because of the higher concentration of Nb-oxides in its passive film. The Al0.3CrFeCoNiNb0.45 eutectic HEA possesses superior corrosion resistance among the HEAs, which is ascribed to a high concentration, and more homogeneous distribution of Nb-oxides in the passive film, as well as higher electrochemical impedance and thicker passive film. Furthermore, the Al0.3CrFeCoNiNbx HEAs with larger fractions of the Laves phase and ultra-fine eutectic structure present higher strength and hardness. Nevertheless, the plastic strain of the HEAs sharply decreases with increasing the amount of the brittle Laves phase. The results propose an effective approach for developing the HEAs with good corrosion resistance, high strength, and hardness.</t>
  </si>
  <si>
    <t>[Liao, Zhenlong; Li, Ningning; Yang, Wei; Pang, Shujie; Meng, Yang; Zhang, Tao] Beihang Univ, Sch Mat Sci &amp; Engn, Key Lab Aerosp Mat &amp; Performance, Minist Educ, Beijing 100191, Peoples R China; [Hua, Nengbin] Fujian Univ Technol, Dept Mat Sci &amp; Engn, Fuzhou 350118, Peoples R China; [Liaw, Peter K.] Univ Tennessee, Dept Mat Sci &amp; Engn, Knoxville, TN 37996 USA</t>
  </si>
  <si>
    <t>Beihang University; Fujian University of Technology; University of Tennessee System; University of Tennessee Knoxville</t>
  </si>
  <si>
    <t>Pang, SJ (corresponding author), Beihang Univ, Sch Mat Sci &amp; Engn, Key Lab Aerosp Mat &amp; Performance, Minist Educ, Beijing 100191, Peoples R China.;Hua, NB (corresponding author), Fujian Univ Technol, Dept Mat Sci &amp; Engn, Fuzhou 350118, Peoples R China.</t>
  </si>
  <si>
    <t>loongzen1993@163.com; 542226379@qq.com; yangwei1991@buaa.edu.cn; pangshujie@buaa.edu.cn; flower1982cn@126.com; mengyang0324@buaa.edu.cn; pliaw@utk.edu; zhangtao@buaa.edu.cn</t>
  </si>
  <si>
    <t>National Natural Science Foundation of China [51971007]; 111 Project [B17002]; National Science Foundation [DMR-1611180, 1809640, 2226508]</t>
  </si>
  <si>
    <t>National Natural Science Foundation of China(National Natural Science Foundation of China (NSFC)); 111 Project(Ministry of Education, China - 111 Project); National Science Foundation(National Science Foundation (NSF))</t>
  </si>
  <si>
    <t>Acknowledgements This study was financially supported by National Natural Science Foundation of China (Grant No. 51971007) and the 111 Project (Grant No. B17002) . PKL very much appreciates the support from the National Science Foundation (DMR-1611180, 1809640, and 2226508) .</t>
  </si>
  <si>
    <t>10.1016/j.jallcom.2023.171521</t>
  </si>
  <si>
    <t>P5KX5</t>
  </si>
  <si>
    <t>WOS:001051075100001</t>
  </si>
  <si>
    <t>Liu, Q; Zhuang, WH; Chen, JR; Li, SF; Li, CM; Ma, D; Chen, M</t>
  </si>
  <si>
    <t>Liu, Qi; Zhuang, Weihua; Chen, Jingruo; Li, Shufen; Li, Chengming; Ma, Di; Chen, Mao</t>
  </si>
  <si>
    <t>A turn-on fluorescent probe for lipid-targeting imaging in human arterial aneurysm and fibrocalcific stenotic aortic valve</t>
  </si>
  <si>
    <t>Lipid droplet; Fluorescence imaging; Atherosclerosis; Aortic aneurysm; Aortic valve</t>
  </si>
  <si>
    <t>ATHEROSCLEROSIS; ULTRABRIGHT; RED</t>
  </si>
  <si>
    <t>Fluorescence imaging techniques have shown remarkable performance in studying the biological functions of lipid droplets (LDs). However, the biological applications of the commercially available LDs probes suffer from insufficient specificity and low signal/noise ratio (SNR). Herein, we presented a novel near-infrared (NIR) lipid activatable fluorescence probe, namely Me2NND, with extremely low emission in water but significantly enhanced emission in the lipid environment. Me2NND presented good biocompatibility and impressive LDsspecific imaging ability in cells and tissues. Moreover, Me2NND has also shown good photostability and it could efficiently locate the distribution of LDs in human pathological samples of aortic aneurysms and fibrocalcific stenotic aortic valves. This study provided a novel turn-on probe Me2NND and would improve the bioapplications of LDs-specific probes.</t>
  </si>
  <si>
    <t>[Zhuang, Weihua; Chen, Mao] Sichuan Univ, West China Hosp, Lab Heart Valve Dis, 37 Guoxue Alley, Chengdu 610041, Peoples R China; [Zhuang, Weihua; Chen, Mao] Sichuan Univ, West China Hosp, Dept Cardiol, 37 Guoxue Alley, Chengdu 610041, Peoples R China</t>
  </si>
  <si>
    <t>Sichuan University; Sichuan University</t>
  </si>
  <si>
    <t>Zhuang, WH; Chen, M (corresponding author), Sichuan Univ, West China Hosp, Lab Heart Valve Dis, 37 Guoxue Alley, Chengdu 610041, Peoples R China.;Zhuang, WH; Chen, M (corresponding author), Sichuan Univ, West China Hosp, Dept Cardiol, 37 Guoxue Alley, Chengdu 610041, Peoples R China.</t>
  </si>
  <si>
    <t>weihuaz@scu.edu.cn; chenmao@scu.edu.cn</t>
  </si>
  <si>
    <t>Liu, Qi/0000-0001-5004-3779; Zhuang, Weihua/0000-0003-0492-7527</t>
  </si>
  <si>
    <t>National Natural Science Foundation of China [81970325, 81900348, 2020HXBH164]; West China Hospital, Sichuan University [2020HXBH105, 2022YFS0185]; Key Research and Development Project of Science amp; Technology Department of Sichuan Province [ZYGD20002]; 1.3.5 Project for Disciplines of Excellence, West China Hospital, Sichuan University; [32201147]</t>
  </si>
  <si>
    <t>National Natural Science Foundation of China(National Natural Science Foundation of China (NSFC)); West China Hospital, Sichuan University(Sichuan University); Key Research and Development Project of Science amp; Technology Department of Sichuan Province; 1.3.5 Project for Disciplines of Excellence, West China Hospital, Sichuan University;</t>
  </si>
  <si>
    <t>This study was supported by National Natural Science Foundation of China (Grant No. 32201147, 81970325, 81900348) , Post-Doctor Research Project, West China Hospital, Sichuan University (Grant No. 2020HXBH164 and 2020HXBH105) , Key Research and Development Project of Science &amp; Technology Department of Sichuan Province (2022YFS0185) and 1.3.5 Project for Disciplines of Excellence, West China Hospital, Sichuan University (ZYGD20002) . We would be grateful to Jiayi Xu (Core Facilities of West China Hospital, Sichuan University) for taking laser scanning confocal images, Nini Xin (National Engineering Research Center for Biomaterials, Sichuan University) for helping with the fluorescence measurement and Yu Liu (Department of Cardiovascular Surgery, West China Hospital, Sichuan University) for the collection of the clinical sample.</t>
  </si>
  <si>
    <t>10.1016/j.saa.2023.123030</t>
  </si>
  <si>
    <t>Q6HY3</t>
  </si>
  <si>
    <t>WOS:001058524800001</t>
  </si>
  <si>
    <t>Lv, XP; Zhang, Z; Zhao, Y; Sun, XM; Jiang, H; Zhang, SW; Sun, XQ; Qiu, XH; Li, Y</t>
  </si>
  <si>
    <t>Lv, Xinpeng; Zhang, Zhe; Zhao, Yue; Sun, Xiaomeng; Jiang, Heng; Zhang, Shuwen; Sun, Xianqi; Qiu, Xiaohong; Li, Yang</t>
  </si>
  <si>
    <t>Label-free detection of virus based on surface-enhanced Raman scattering</t>
  </si>
  <si>
    <t>Surface-enhanced Raman scattering; Monkeypox virus; Human papillomavirus; Real world data; Virus detection</t>
  </si>
  <si>
    <t>MONKEYPOX; INFECTION; CANCER; DNA</t>
  </si>
  <si>
    <t>Due to the background interference from biological samples, detecting viruses using surface-enhanced Raman scattering (SERS) in clinical samples is challenging. This study is based on SERS by reducing sodium borohydride and aggregating silver nanoparticles to develop suitable virus detection hot spot. The monkeypox virus and human papillomavirus fingerprints were quickly obtained, tested, and identified in serum and artificial vaginal discharge, respectively, by combining the principal component analysis method. Therefore, these viruses were successfully identified in the biological background. In addition, the lowest detection limit was 100 copies/mL showing good reproducibility and signal-to-noise ratio. The concentration-dependent curve of the monkeypox virus had a good linear relationship. This method helps solve the SERS signal interference problem in complex biological samples, with low detection limits and high selectivity in virus characterization and quantitative analysis. Therefore, this method has a reasonable prospect of clinical application.</t>
  </si>
  <si>
    <t>[Zhang, Shuwen; Qiu, Xiaohong] Harbin Med Univ, Affiliated Hosp 2, Dept Obstet &amp; Gynecol, Harbin 150081, Peoples R China; [Lv, Xinpeng] Harbin Med Univ, Affiliated Hosp 2, Dept Emergency Med, Harbin 150081, Peoples R China; [Sun, Xianqi] Harbin Med Univ, Affiliated Hosp 2, Dept Dermatol, Harbin 150081, Peoples R China; [Zhang, Zhe; Zhao, Yue; Sun, Xiaomeng; Li, Yang] Harbin Med Univ, Sch Pharm, Harbin 150081, Peoples R China; [Li, Yang] Univ Oulu, Res Unit Hlth Sci &amp; Technol HST, Fac Med, Oulu 90220, Finland; [Li, Yang] Harbin Med Univ, Coll Pharm, Genom Res Ctr, Key Lab Gut Microbiota &amp; Pharmacogen Heilongjiang, Harbin 150081, Peoples R China; [Jiang, Heng] Harbin Med Univ, Coll Publ Hlth, Baojian Rd 157, Harbin 150081, Heilongjiang, Peoples R China</t>
  </si>
  <si>
    <t>Harbin Medical University; Harbin Medical University; Harbin Medical University; Harbin Medical University; University of Oulu; Harbin Medical University; Harbin Medical University</t>
  </si>
  <si>
    <t>Qiu, XH (corresponding author), Harbin Med Univ, Affiliated Hosp 2, Dept Obstet &amp; Gynecol, Harbin 150081, Peoples R China.;Li, Y (corresponding author), Harbin Med Univ, Sch Pharm, Harbin 150081, Peoples R China.</t>
  </si>
  <si>
    <t>qiuxiaohong@hrbmu.edu.cn; liy@hrbmu.edu.cn</t>
  </si>
  <si>
    <t>Li, Yang/AAE-1517-2021</t>
  </si>
  <si>
    <t>Li, Yang/0000-0002-0677-3245</t>
  </si>
  <si>
    <t>National Natural Science Foundation of China; [8221101572]</t>
  </si>
  <si>
    <t>National Natural Science Foundation of China(National Natural Science Foundation of China (NSFC));</t>
  </si>
  <si>
    <t>Funding The study was supported by National Natural Science Foundation of China (No. 8221101572) .</t>
  </si>
  <si>
    <t>10.1016/j.saa.2023.123087</t>
  </si>
  <si>
    <t>Q6KF4</t>
  </si>
  <si>
    <t>Green Published</t>
  </si>
  <si>
    <t>WOS:001058585400001</t>
  </si>
  <si>
    <t>Megias-Sayago, C; Centeno-Vega, I; Bobadilla, LF; Ivanova, S; Rendon, N; Suarez, A</t>
  </si>
  <si>
    <t>Megias-Sayago, Cristina; Centeno-Vega, Ignacio; Bobadilla, Luis F.; Ivanova, Svetlana; Rendon, Nuria; Suarez, Andres</t>
  </si>
  <si>
    <t>Alkane metathesis over immobilized pincer-ligated iridium complexes: Effect of support nature</t>
  </si>
  <si>
    <t>Alkane metathesis; Immobilized complex; Iridium complex; Plastic upcycling approach; Support effect</t>
  </si>
  <si>
    <t>TRANSFER DEHYDROGENATION; CATALYTIC ALUMINAS; HYDROXYL-GROUPS; CHEMISTRY; OXIDATION; WASTE; AL2O3; TIO2</t>
  </si>
  <si>
    <t>In this work, catalytic alkane metathesis has been evaluated as a suitable approach to upcycle hydrocarbons (polyolefins) at moderate temperatures. To this end, a pincer-ligated iridium complex (dehydrogenation catalyst) has been combined with a rhenium-based (metathesis) catalyst, being the effect of immobilizing the Ir complex over different supports deeply investigated. FTIR spectroscopy has been used to confirm the complex grafting and to elucidate the anchoring site to the support. Additionally, the supports have been dehydroxylated at different conditions to evaluate its possible impact in both the complex grafting and the catalytic activity. The influence of the support nature and its participation in the catalytic reaction have been clearly evidenced.</t>
  </si>
  <si>
    <t>[Megias-Sayago, Cristina; Centeno-Vega, Ignacio; Rendon, Nuria; Suarez, Andres] Univ Seville, Dept Quim Inorgan, Inst Invest Quim, Seville 41092, Spain; [Megias-Sayago, Cristina; Centeno-Vega, Ignacio; Rendon, Nuria; Suarez, Andres] Univ Seville, Ctr Innovac Quim Avanzada ORFEO CINQA, Ctr Mixto CSIC, Seville 41092, Spain; [Bobadilla, Luis F.; Ivanova, Svetlana] Univ Seville, Dept Quim Inorgan, Seville 41092, Spain; [Bobadilla, Luis F.; Ivanova, Svetlana] Univ Seville, Ctr Mixto CSIC, Inst Ciencia Mat Sevilla, Seville 41092, Spain</t>
  </si>
  <si>
    <t>Consejo Superior de Investigaciones Cientificas (CSIC); University of Sevilla; CSIC-USE - Instituto de Investigaciones Quimicas (IIQ); University of Sevilla; Consejo Superior de Investigaciones Cientificas (CSIC); University of Sevilla; University of Sevilla; Consejo Superior de Investigaciones Cientificas (CSIC); Instituto de Ciencia de Materiales de Sevilla (ICMS-CSIC)</t>
  </si>
  <si>
    <t>Megias-Sayago, C (corresponding author), Univ Seville, Dept Quim Inorgan, Inst Invest Quim, Seville 41092, Spain.;Megias-Sayago, C (corresponding author), Univ Seville, Ctr Innovac Quim Avanzada ORFEO CINQA, Ctr Mixto CSIC, Seville 41092, Spain.</t>
  </si>
  <si>
    <t>cmegias@us.es</t>
  </si>
  <si>
    <t>European Union [101022598]; Spanish Agencia Estatal de Investigacion [PID2019-104159GB-I00/TED2021-129181B-I00]; Junta de Andalucia [US-1380604]; CSIC [COOPB20604]; Marie Curie Actions (MSCA) [101022598] Funding Source: Marie Curie Actions (MSCA)</t>
  </si>
  <si>
    <t>European Union(European Union (EU)); Spanish Agencia Estatal de Investigacion(Spanish Government); Junta de Andalucia(Junta de Andalucia); CSIC; Marie Curie Actions (MSCA)(Marie Curie Actions)</t>
  </si>
  <si>
    <t>C. Megias-Sayago acknowledges the European Union's Horizon 2020 Research and Innovation Programme for the funding received for this work under the Marie Sklodowska-Curie grant agreement No 101022598. N. Rendon and A. Suarez thank the financial support (FEDER contribution) from the Spanish Agencia Estatal de Investigacion (PID2019-104159GB-I00/TED2021-129181B-I00) , Junta de Andalucia (US-1380604) and CSIC (COOPB20604) .</t>
  </si>
  <si>
    <t>10.1016/j.apcatb.2023.123002</t>
  </si>
  <si>
    <t>Q8VQ0</t>
  </si>
  <si>
    <t>WOS:001060245900001</t>
  </si>
  <si>
    <t>Ong, P; Jian, JB; Yin, JH; Ma, GD</t>
  </si>
  <si>
    <t>Ong, Pauline; Jian, Jinbao; Yin, Jianghua; Ma, Guodong</t>
  </si>
  <si>
    <t>Characteristic wavelength optimization for partial least squares regression using improved flower pollination algorithm</t>
  </si>
  <si>
    <t>Flower pollination algorithm; Near-infrared spectroscopy; Partial least squares regression; Wavelength selection</t>
  </si>
  <si>
    <t>SELECTION; CALIBRATION</t>
  </si>
  <si>
    <t>Wavelength selection is crucial to the success of near-infrared (NIR) spectroscopy analysis as it considerably improves the generalization of the multivariate model and reduces model complexity. This study proposes a new wavelength selection method, interval flower pollination algorithm (iFPA), for spectral variable selection in the partial least squares regression (PLSR) model. The proposed iFPA consists of three phases. First, the flower pollination algorithm is applied to search for informative spectral variables, followed by variable elimination. Subsequently, the iFPA performs a local search to determine the best continuous interval spectral variables. The interpretability of the selected variables is assessed on three public NIR datasets (corn, diesel and soil datasets). Performance comparison with other competing wavelength selection methods shows that the iFPA used in conjunction with the PLSR model gives better prediction performance, with the root mean square error of prediction values of 0.0096-0.0727, 0.0015-3.9717 and 1.3388-29.1144 are obtained for various responses in corn, diesel and soil datasets, respectively.</t>
  </si>
  <si>
    <t>[Ong, Pauline; Jian, Jinbao; Yin, Jianghua; Ma, Guodong] Guangxi Minzu Univ, Coll Math &amp; Phys, Ctr Appl Math Guangxi, Nanning 530006, Peoples R China; [Ong, Pauline] Univ Tun Hussein Onn Malaysia, Fac Mech &amp; Mfg Engn, Batu Pahat 86400, Johor, Malaysia; [Jian, Jinbao] Guangxi Minzu Univ, Guangxi Key Lab Hybrid Comp &amp; IC Design Anal, Nanning 530006, Peoples R China</t>
  </si>
  <si>
    <t>Guangxi Minzu University; University of Tun Hussein Onn Malaysia; Guangxi Minzu University</t>
  </si>
  <si>
    <t>Jian, JB (corresponding author), Guangxi Minzu Univ, Coll Math &amp; Phys, Ctr Appl Math Guangxi, Nanning 530006, Peoples R China.</t>
  </si>
  <si>
    <t>ongp@uthm.edu.my; jianjb@gxu.edu.cn; jianghuayin1017@126.com; mgd2006@163.com</t>
  </si>
  <si>
    <t>Department of Science and Technology of Guangxi Zhuang Autonomous Region; ASEAN Talented Young Scientist Program of Guangxi [AD23023001]; Guangxi Science-Technology Base and Talents Special Program; [ATYSP 2022007]</t>
  </si>
  <si>
    <t>Department of Science and Technology of Guangxi Zhuang Autonomous Region; ASEAN Talented Young Scientist Program of Guangxi; Guangxi Science-Technology Base and Talents Special Program;</t>
  </si>
  <si>
    <t>The authors would like to express the deepest appreciation to the Department of Science and Technology of Guangxi Zhuang Autonomous Region for funding this project through ASEAN Talented Young Scientist Program of Guangxi (ATYSP 2022007) , and the project supported by Guangxi Science-Technology Base and Talents Special Program (Grant AD23023001) .</t>
  </si>
  <si>
    <t>10.1016/j.saa.2023.123095</t>
  </si>
  <si>
    <t>Q6EK1</t>
  </si>
  <si>
    <t>WOS:001058431900001</t>
  </si>
  <si>
    <t>Reisi, S; Farimaniraad, H; Yavari, MA; Baghdadi, M</t>
  </si>
  <si>
    <t>Reisi, Saba; Farimaniraad, Hamidreza; Yavari, Mohammad Ali; Baghdadi, Majid</t>
  </si>
  <si>
    <t>Preparation of waste face masks modified with MnO2/poly (m-phenylenediamine) as a novel adsorbent for hexavalent chromium removal: Comprehensive batch and column study</t>
  </si>
  <si>
    <t>Surgical face mask; Adsorption; Hexavalent chromium; Removal; In-situ -surface polymerization; m-phenylenediamine</t>
  </si>
  <si>
    <t>ACTIVATED CARBON; ADSORPTION; CR(VI); IONS</t>
  </si>
  <si>
    <t>Single-use surgical face masks (SFM) have become one of the most used personal protective equipment (PPE) for preventing the transmission of diseases, especially COVID-19. However, the environment is being threatened by the huge amount of plastic waste generated by this material. In this study, a novel environmentally-friendly insitu-surface polymerization method was employed to modify the surface of SFM with m-phenylenediamine (mPDA) for removing hexavalent chromium. The synthesized adsorbent was characterized by Field EmissionScanning Electron Microscopy (FESEM) and Fourier Transform Infrared Spectroscopy (FTIR). The investigations showed that the polymer and oxidant solution can be reused for several cycles, which was not possible in the conventional chemical polymerization method with ammonium persulfate (APS). The influence of various variables on the adsorption process was assessed and the optimum results was reported (adsorbent dosage: 3 g L-1, contact time: 60 min, pH: 2). The modeling investigations demonstrated that the process is followed by pseudo-second-order kinetic and University of Tehran (UT) isotherm model's assumptions, respectively. The obtained thermodynamic parameters at the investigated temperatures revealed the spontaneity and endothermic nature of Cr(VI) adsorption on the modified adsorbent. The column study was conducted and the impact of the flow rate and the feed concentration of Cr(VI) were evaluated. The experimental findings were analyzed using the Thomas model to discover how the concentration changes over time in the column operation. It was revealed that when the flow rate rose, the service volume declined.</t>
  </si>
  <si>
    <t>[Reisi, Saba; Farimaniraad, Hamidreza; Yavari, Mohammad Ali; Baghdadi, Majid] Univ Tehran, Grad Fac Environm, Dept Environm Engn, POB 1417853111, Tehran, Iran</t>
  </si>
  <si>
    <t>University of Tehran</t>
  </si>
  <si>
    <t>Baghdadi, M (corresponding author), Univ Tehran, Grad Fac Environm, Dept Environm Engn, POB 1417853111, Tehran, Iran.</t>
  </si>
  <si>
    <t>saba.reisi@ut.ac.ir; hamidreza.fraad@ut.ac.ir; yavari68@ut.ac.ir; m.baghdadi@ut.ac.ir</t>
  </si>
  <si>
    <t>Nanotechnology Research Department of Environmental Engineering, Graduate Faculty of Environment, University of Tehran, Tehran, Iran</t>
  </si>
  <si>
    <t>Thanks to the Nanotechnology Research Department of Environmental Engineering, Graduate Faculty of Environment, University of Tehran, Tehran, Iran, for supporting this research.</t>
  </si>
  <si>
    <t>10.1016/j.molstruc.2023.136218</t>
  </si>
  <si>
    <t>P2LH1</t>
  </si>
  <si>
    <t>WOS:001049000700001</t>
  </si>
  <si>
    <t>Schaal, H; Castany, P; Laheurte, P; Gloriant, T</t>
  </si>
  <si>
    <t>Schaal, Hugo; Castany, Philippe; Laheurte, Pascal; Gloriant, Thierry</t>
  </si>
  <si>
    <t>Design of a low Young's modulus Ti-Zr-Nb-Sn biocompatible alloy by in situ laser powder bed fusion additive manufacturing process</t>
  </si>
  <si>
    <t>Additive manufacturing; in situ elaboration; Titanium alloys; Low Young's modulus; High strength</t>
  </si>
  <si>
    <t>BETA-TITANIUM ALLOY; MECHANICAL-PROPERTIES; HEAT-TREATMENT; MICROSTRUCTURE; BEHAVIOR; TI-6AL-4V; PRECIPITATION; ELABORATION; PARAMETERS; COMPOSITE</t>
  </si>
  <si>
    <t>A new metastable beta Ti-22Zr-11 Nb-2Sn (at%) biomedical titanium alloy was elaborated from elemental powders by in situ laser powder bed fusion technique (L-PBF). Iterative design of experiments was used to identify optimized manufacturing parameters to obtain dense and homogeneous parts (&gt;99.3%) with low unmolten niobium fraction (&lt;0.05%). The microstructural and mechanical properties of this alloy were investigated in its as-fabricated state and after two heat-treatments at 400 C and 700 C, respectively. The alloy, showing a beta-type microstructure, possesses a very low Young's modulus (-50 GPa) combined with a high tensile strength reaching about 1100 MPa after heat-treatment. These properties are very suitable for medical devices in osseous site such as hip prostheses or dental implants and the results were compared to the Ti-6Al-4 V ELI (wt%) medical grade fabricated from pre-alloyed powders. Thus, the present work demonstrates the significant potential of the in situ L-PBF technique to elaborate highly biocompatible titanium alloys with tailored chemical compositions.</t>
  </si>
  <si>
    <t>[Schaal, Hugo; Castany, Philippe; Gloriant, Thierry] Univ Rennes, CNRS, UMR 6226, ISCR,INSA Rennes, F-35000 Rennes, France; [Schaal, Hugo] SLS France, 32 Blvd Haie Cognets, F-35136 St Jacques De La Lande, France; [Laheurte, Pascal] Univ Lorraine, CNRS, UMR 7239, LEM3, F-57045 Metz, France</t>
  </si>
  <si>
    <t>Universite de Rennes; Centre National de la Recherche Scientifique (CNRS); CNRS - Institute of Chemistry (INC); Institut National des Sciences Appliquees de Rennes; Centre National de la Recherche Scientifique (CNRS); CNRS - Institute for Engineering &amp; Systems Sciences (INSIS); Universite de Lorraine; Arts et Metiers Institute of Technology</t>
  </si>
  <si>
    <t>Gloriant, T (corresponding author), Univ Rennes, CNRS, UMR 6226, ISCR,INSA Rennes, F-35000 Rennes, France.</t>
  </si>
  <si>
    <t>thierry.gloriant@insa-rennes.fr</t>
  </si>
  <si>
    <t>Castany, Philippe/E-3066-2014</t>
  </si>
  <si>
    <t>Castany, Philippe/0000-0002-0070-4388</t>
  </si>
  <si>
    <t>10.1016/j.jallcom.2023.171539</t>
  </si>
  <si>
    <t>P9HD6</t>
  </si>
  <si>
    <t>WOS:001053704800001</t>
  </si>
  <si>
    <t>Song, SY; Liu, JS; Wang, HC; Wang, YY; Huang, X; Zeng, MS</t>
  </si>
  <si>
    <t>Song, Siying; Liu, Jingsong; Wang, Huachang; Wang, Yuanyu; Huang, Xu; Zeng, Mengshi</t>
  </si>
  <si>
    <t>Improving electric-energy transmission performance of LixNi1-xO linear ceramic resistors by Li+/Ni3+ion occupation regulation for pulsed power technology</t>
  </si>
  <si>
    <t>LixNi1-xO linear ceramic resistor; Complex impedance; Nonlinear coefficient; Electric-energy transmission</t>
  </si>
  <si>
    <t>NIO; DENSITY; LI</t>
  </si>
  <si>
    <t>Linear ceramic resistor receives extensive attention for its great advantages of fast energy transmission in pulsed power technology. However, the research about improving the linear current-voltage characteristics and pulsed charge-discharge speed of LixNi1-xO solid solution is rarely reported. Herein, we fabricated the LixNi1-xO linear ceramic resistors through a solid-phase reaction method, and the effects of the Li+ ion on the microstructure, current-voltage characteristics and pulsed charge-discharge properties were studied. Specifically, the electron holes exchange between divalent and trivalent nickel ions is enhanced by Li substitution, which contributed to the significantly decreasing in nonlinear coefficient (&amp; alpha;) and resistivity. On a separate note, the rising edge of pulse charge-discharge is influenced by the linearity of LixNi1-xO ceramic resistors. The closer the nonlinear coefficient is to 1, the shorter the pulsed charge-discharge time is. Meanwhile, the defect dipoles induced by Li substitution may also contribute to the reduction of discharge time of LixNi1-xO linear ceramic resistors. As a result, the Li0.03Ni0.97O linear ceramic resistor with an excellent nonlinear coefficient of 1.03 exhibits extraor-dinary fast discharge speed (t0.9 = 94.8 ns) at 1.0 kV. The investigation on LixNi1-xO linear ceramic resistors suggests the potential of this material to be applied in the pulsed power system.</t>
  </si>
  <si>
    <t>[Song, Siying; Liu, Jingsong; Huang, Xu; Zeng, Mengshi] Southwest Univ Sci &amp; Technol, Sch Mat Sci &amp; Engn, State Key Lab Environm Friendly Energy Mat, Mianyang 621010, Peoples R China; [Liu, Jingsong] Univ Elect Sci &amp; Technol China, State Key Lab Elect Thin Films &amp; Integrated Device, Chengdu 610054, Peoples R China; [Wang, Huachang; Wang, Yuanyu] Sichuan Yongxing Elect Co Ltd, Chengdu 610500, Peoples R China</t>
  </si>
  <si>
    <t>Southwest University of Science &amp; Technology - China; University of Electronic Science &amp; Technology of China</t>
  </si>
  <si>
    <t>Liu, JS (corresponding author), Southwest Univ Sci &amp; Technol, Sch Mat Sci &amp; Engn, State Key Lab Environm Friendly Energy Mat, Mianyang 621010, Peoples R China.</t>
  </si>
  <si>
    <t>feram@163.com</t>
  </si>
  <si>
    <t>10.1016/j.jallcom.2023.171602</t>
  </si>
  <si>
    <t>P8GR4</t>
  </si>
  <si>
    <t>WOS:001053005600001</t>
  </si>
  <si>
    <t>Wang, L; Sun, Y; Zhang, H; Shi, WQ; Huang, H; Li, YX</t>
  </si>
  <si>
    <t>Wang, Le; Sun, Yue; Zhang, Hao; Shi, Wenqi; Huang, Hui; Li, Yongxin</t>
  </si>
  <si>
    <t>Selective sensing of catechol based on a fluorescent nanozyme with catechol oxidase activity</t>
  </si>
  <si>
    <t>Catechol; Nanozyme; Catechol oxidase; Fluorescence; Sensing</t>
  </si>
  <si>
    <t>ELECTROCHEMICAL DETERMINATION; CRYSTAL-STRUCTURE; HYDROQUINONE; ENZYME; NANOCOMPOSITE; DEGRADATION; RESORCINOL; EFFICIENT; ELECTRODE; DOPAMINE</t>
  </si>
  <si>
    <t>Nanozymes, an unusual category of nanomaterials possessing enzymatic properties, and have generated considerable interest regarding their application feasibilities on several important fronts. In the present work, an innovative sensing device for catechol was established ground on a fluorescent nanozyme (Cu-BDC-NH2) that exhibited catechol oxidase activity. The fluorescent nanozyme combines both functions of catechol recognition and response signal output, and can realize the sensing of catechol without the addition of other chromogenic agents. In the existence of Cu-BDC-NH2, catechol can be oxidized efficiently to produce quinones or polymers with strong electron absorption capacity, which immediately results in efficient fluorescence quenching of CuBDC-NH2. However, other common phenolic compounds, such as phenol, the other two diphenols (hydroquinone and resorcinol), phloroglucinol, and chlorophenol, do not result in efficient fluorescence quenching of Cu-BDCNH2. The method shows a nice linear relationship between catechol concentration prep the fluorescence intensity of Cu-BDC-NH2 in the scope of 0-10 &amp; mu;M, with a detection limit of 0.997 &amp; mu;M. The detection of catechol in actual water samples has also achieved the satisfactory consequences, which provides a new strategy for the convenient and selective detection of catechol.</t>
  </si>
  <si>
    <t>[Wang, Le; Sun, Yue; Zhang, Hao; Shi, Wenqi; Li, Yongxin] Jilin Univ, Key Lab Groundwater Resources &amp; Environm, Key Lab Water Resources &amp; Aquat Environm Jilin Pro, Minist Educ,Coll New Energy &amp; Environm, Changchun 130021, Peoples R China; [Huang, Hui] Jilin Univ, Coll Food Sci &amp; Engn, Changchun 130025, Peoples R China</t>
  </si>
  <si>
    <t>Li, YX (corresponding author), Jilin Univ, Key Lab Groundwater Resources &amp; Environm, Key Lab Water Resources &amp; Aquat Environm Jilin Pro, Minist Educ,Coll New Energy &amp; Environm, Changchun 130021, Peoples R China.</t>
  </si>
  <si>
    <t>liyongxin@jlu.edu.cn</t>
  </si>
  <si>
    <t>National Natural Science Foundation of China [20220101042JC]; Natural Science Foundation of Jilin Province [20220101263JC, 2020C023-5]; Jilin Province Development and Reform Commission [2021M691199]; China Postdoctoral Science Foundation; [22176069]</t>
  </si>
  <si>
    <t>National Natural Science Foundation of China(National Natural Science Foundation of China (NSFC)); Natural Science Foundation of Jilin Province; Jilin Province Development and Reform Commission; China Postdoctoral Science Foundation(China Postdoctoral Science Foundation);</t>
  </si>
  <si>
    <t>This work was financially supported by National Natural Science Foundation of China (22176069) , Natural Science Foundation of Jilin Province (20220101042JC and 20220101263JC) , Jilin Province Development and Reform Commission (2020C023-5) , and the China Postdoctoral Science Foundation (2021M691199) .</t>
  </si>
  <si>
    <t>10.1016/j.saa.2023.123003</t>
  </si>
  <si>
    <t>Q6HM9</t>
  </si>
  <si>
    <t>WOS:001058513100001</t>
  </si>
  <si>
    <t>Wen, TT; Liu, WD; Wang, LM; Gong, YQ</t>
  </si>
  <si>
    <t>Wen, Tingting; Liu, Weidong; Wang, Limin; Gong, Yaqiong</t>
  </si>
  <si>
    <t>Controlled synthesis of Fe-Ni-S@CoSe2 on nickel foam as an efficient electrocatalyst for oxygen evolution reaction</t>
  </si>
  <si>
    <t>Electrocatalysis; Transition metal sulfide; Heterostructure; Oxygen evolution reaction</t>
  </si>
  <si>
    <t>WATER; NANOSHEETS; CATALYST; OER; NANOPARTICLES; ALKALINE; SULFIDE</t>
  </si>
  <si>
    <t>Serious environmental pollution caused by fossil fuel consumption and urgent energy demand caused by human social development have forced mankind to develop green and reusable energy. Hydrogen energy has received significant attention and because of its eco-friendly, pure and carbon-free. In this paper, OER electrocatalyst FeNi-S@CoSe2/NF covered by nanoparticles Fe-Ni-S (Fe4.005Ni4.995S8) on CoSe2 ultra-thin nanosheets was prepared with a two-step electrodeposition taking nickel foam (NF) into account as the substrate. On the basis of maintaining the CoSe2 electrocatalytic performance, the participation of Fe-Ni-S has greatly improved the OER and water electrolysis performance of Fe-Ni-S@CoSe2/NF composite. Electrochemical assay revealed that Fe-NiS@CoSe2/NF-700 possessed superb OER activity for 1 M KOH solution. The overpotential was 180 mV at 10 mA cm-2. In addition, overpotential showed no obvious variation over 20 h stability test, indicating remarkable overall water electrolysis performance and excellent term resistance of electrocatalyst. This work gives constructive ideas for the preparation of cost-effective green water electrolysis catalyst.</t>
  </si>
  <si>
    <t>[Wen, Tingting; Liu, Weidong; Wang, Limin; Gong, Yaqiong] North Univ China, Sch Chem &amp; Chem Engn, Taiyuan 030051, Peoples R China</t>
  </si>
  <si>
    <t>North University of China</t>
  </si>
  <si>
    <t>Wang, LM; Gong, YQ (corresponding author), North Univ China, Sch Chem &amp; Chem Engn, Taiyuan 030051, Peoples R China.</t>
  </si>
  <si>
    <t>wanglimin@nuc.edu.cn; gyq@nuc.edu.cn</t>
  </si>
  <si>
    <t>Shanxi Scholarship Council of China [22271262]; National Natural Science Foundation of China; [2019070]</t>
  </si>
  <si>
    <t>Shanxi Scholarship Council of China; National Natural Science Foundation of China(National Natural Science Foundation of China (NSFC));</t>
  </si>
  <si>
    <t>This work was financially supported by Shanxi Scholarship Council of China (2019070) , and the National Natural Science Foundation of China (22271262) .</t>
  </si>
  <si>
    <t>10.1016/j.jallcom.2023.171550</t>
  </si>
  <si>
    <t>P8GO2</t>
  </si>
  <si>
    <t>WOS:001053002400001</t>
  </si>
  <si>
    <t>Yang, M; Feng, JW; Hu, HD; Niu, TT; Gao, W; Zou, GD; Fernandez, C; Ren, LQ; Peng, QM</t>
  </si>
  <si>
    <t>Yang, Meng; Feng, Jiawen; Hu, Haidong; Niu, Tingting; Gao, Wei; Zou, Guodong; Fernandez, Carlos; Ren, Liqun; Peng, Qiuming</t>
  </si>
  <si>
    <t>Microstructure and corrosion resistance of ultrahigh pressure Mg-8Li based alloys</t>
  </si>
  <si>
    <t>Mg-Li alloys; Ultrahigh pressure; Surface films; Corrosion properties</t>
  </si>
  <si>
    <t>STRENGTH</t>
  </si>
  <si>
    <t>High anti-corrosion Mg alloys is desirable to expand their industrial applications. Herein we report an outstanding corrosion resistance of dual-phase Mg-8Li-Y alloy using ultrahigh pressure (UHP) technology. The average corrosion rate is similar to 0.47 mm/y, overwhelming the majority of Mg-Li alloys reported hitherto. In-situ X-ray diffraction and scanning electron microscope observation demonstrate that a unique multiple-film on UHPed Mg-8Li-Y alloy attributes to the excellent corrosion resistance, which origins from the dynamic dissolution/regeneration of Li2CO3-rich composite film, thus effectively prohibiting corrosion solution permeation. These results provide some implications to design good anti-corrosion coating for Mg, ever stainless Mg alloys.</t>
  </si>
  <si>
    <t>[Yang, Meng; Feng, Jiawen; Hu, Haidong; Niu, Tingting; Gao, Wei; Zou, Guodong; Peng, Qiuming] Yanshan Univ, State Key Lab Metastable Mat Sci &amp; Technol, Qinhuangdao 066004, Peoples R China; [Fernandez, Carlos] Robert Gordon Univ, Sch Pharm &amp; Life Sci, Aberdeen AB107GJ, Scotland; [Ren, Liqun] Chengde Med Univ, Lab Spinal Cord Injury &amp; Rehabil, Chengde 067000, Peoples R China</t>
  </si>
  <si>
    <t>Yanshan University; Robert Gordon University; Chengde Medical University</t>
  </si>
  <si>
    <t>Peng, QM (corresponding author), Yanshan Univ, State Key Lab Metastable Mat Sci &amp; Technol, Qinhuangdao 066004, Peoples R China.</t>
  </si>
  <si>
    <t>pengqiuming@ysu.edu.cn</t>
  </si>
  <si>
    <t>National Natural Science Foundation of China [52171126, 51971194]; Natural Science Foundation of Hebei Province for Innovation Groups Program [2022203003]; Ministry of Education Yangtze River Scholar Professor Program of China [T2020124]; Scientific research start-up fund for high-level talents of Yanshan University of China [8190492]</t>
  </si>
  <si>
    <t>National Natural Science Foundation of China(National Natural Science Foundation of China (NSFC)); Natural Science Foundation of Hebei Province for Innovation Groups Program; Ministry of Education Yangtze River Scholar Professor Program of China; Scientific research start-up fund for high-level talents of Yanshan University of China</t>
  </si>
  <si>
    <t>We greatly acknowledge the financial support from National Natural Science Foundation of China (52171126, 51971194), the Natural Science Foundation of Hebei Province for Innovation Groups Program (No. 2022203003), and Ministry of Education Yangtze River Scholar Professor Program of China (No. T2020124). We would like to express our gratitude to Scientific research start-up fund for high-level talents of Yanshan University of China (No. 8190492).</t>
  </si>
  <si>
    <t>10.1016/j.jallcom.2023.171543</t>
  </si>
  <si>
    <t>P6FO7</t>
  </si>
  <si>
    <t>WOS:001051615700001</t>
  </si>
  <si>
    <t>Zeng, R; Ye, YS; Ou, HS; Hua, YS; Su, YC; Hu, JH; Lu, HL; Tang, J; Liu, J; Xiao, T; Wu, ZS; Tang, W; Li, ZY; Lin, SJ; Zhuang, SB; Xu, GS; Lin, YN; Li, YP; Huang, FR; Zhang, HT</t>
  </si>
  <si>
    <t>Zeng, Rui; Ye, Yongsheng; Ou, Haisheng; Hua, Yisheng; Su, Yuancui; Hu, Junhui; Lu, Hanglin; Tang, Jian; Liu, Jun; Xiao, Teng; Wu, Zhaosheng; Tang, Wang; Li, Zhen-Yan; Lin, Su-juan; Zhuang, Shabin; Xu, Guisheng; Lin, Yuning; Li, Yuanpeng; Huang, Furong; Zhang, Huan-Tian</t>
  </si>
  <si>
    <t>Early osteoarthritis diagnosis based on near-infrared spectroscopy combined with aquaphotomics</t>
  </si>
  <si>
    <t>Near-infrared spectrum; Aquaphotomics; Osteoarthritis; Synovial fluid; Early diagnosis</t>
  </si>
  <si>
    <t>WATER; ASSOCIATION; SOLVATION; CLUSTERS; SPECTRA</t>
  </si>
  <si>
    <t>Osteoarthritis (OA) is the most common joint disease and the leading cause of disability in elderly individuals. Despite rapid advances in imaging techniques, early OA diagnosis remains a clinical challenge. In the present study, the feasibility of early OA diagnosis was explored via near-infrared spectroscopy (NIRS) combined with aquaphotomics. Synovial fluid samples from 65 cases of OA categorized as mild, moderate, and severe according to the Kellgren and Lawrence classification criteria were analyzed via NIRS. The 1st overtone of water (1300-1600 nm) was considered as the research object for an aquaphotomics model, and aquagrams of the mild, moderate, and severe OA cases were generated using 12 water absorption patterns for early OA diagnosis.The aquaphotomics results exhibited clear differences in the region of 1300-1500 nm, and the number of hydrogen bonds of different water species (1412,1424, 1482, and 1496 nm) evidently correlated with OA occurrence and development. With OA progression, the absorption intensity of water molecules without hydrogen bonds (1412 nm/1424 nm) became stronger, while the absorption intensity of water molecules with four hydrogen bonds (1482 nm/1496 nm) decreased.These results together reveal that the established accurate and rapid early OA diagnosis model based on NIRS combined with aquaphotomics is effective and feasible, and that the number of hydrogen bonds can be used as a biomarker for early OA diagnosis.</t>
  </si>
  <si>
    <t>[Zeng, Rui; Ou, Haisheng; Hua, Yisheng; Su, Yuancui; Hu, Junhui; Lu, Hanglin; Tang, Jian; Liu, Jun; Li, Yuanpeng] Guangxi Normal Univ, Coll Phys Sci &amp; Technol, Guilin 541004, Guangxi, Peoples R China; [Ye, Yongsheng; Xiao, Teng; Wu, Zhaosheng; Tang, Wang; Li, Zhen-Yan; Lin, Su-juan; Zhang, Huan-Tian] Jinan Univ, Affiliated Hosp 1, Dept Bone &amp; Joint Surg, Guangzhou 510632, Guangdong, Peoples R China; [Ye, Yongsheng; Zhuang, Shabin] Dongguan Hosp Tradit Chinese Med, Dept Orthoped, Dongguan 523000, Guangdong, Peoples R China; [Xu, Guisheng; Lin, Yuning] First Peoples Hosp Zhaoqing, Dept Joint &amp; Sports Med, Zhaoqing 526000, Guangdong, Peoples R China; [Huang, Furong] Jinan Univ, Dept Optoelect Engn, Guangzhou 510632, Guangdong, Peoples R China</t>
  </si>
  <si>
    <t>Guangxi Normal University; Jinan University; Jinan University</t>
  </si>
  <si>
    <t>Li, YP (corresponding author), Guangxi Normal Univ, Coll Phys Sci &amp; Technol, Guilin 541004, Guangxi, Peoples R China.;Zhang, HT (corresponding author), Jinan Univ, Affiliated Hosp 1, Dept Bone &amp; Joint Surg, Guangzhou 510632, Guangdong, Peoples R China.;Huang, FR (corresponding author), Jinan Univ, Dept Optoelect Engn, Guangzhou 510632, Guangdong, Peoples R China.</t>
  </si>
  <si>
    <t>yuanpengli@gxnu.edu.can; furong_huang@163.com; zhanghuantian@jnu.edu.cn</t>
  </si>
  <si>
    <t>National Natural Science Foundation of China [81871809, 81672224, 2021JJB110003]; Natural Science Foundation of Guangxi Province [2021A1515012154]; Natural Science Foundation of Guangdong Province [2019A1515011082, 2017A030313665, 202102010069]; Guangzhou Science and Technology Project [62005056]; [82072470]</t>
  </si>
  <si>
    <t>National Natural Science Foundation of China(National Natural Science Foundation of China (NSFC)); Natural Science Foundation of Guangxi Province(National Natural Science Foundation of Guangxi Province); Natural Science Foundation of Guangdong Province(National Natural Science Foundation of Guangdong Province); Guangzhou Science and Technology Project;</t>
  </si>
  <si>
    <t>This work was supported by the National Natural Science Foundation of China (62005056) , the Natural Science Foundation of Guangxi Province (2021JJB110003) , the National Natural Science Foundation of China (82072470, 81871809, 81672224) , the Natural Science Foundation of Guangdong Province (2021A1515012154, 2019A1515011082, 2017A030313665) , and the Guangzhou Science and Technology Project (202102010069) .&amp; nbsp;</t>
  </si>
  <si>
    <t>10.1016/j.saa.2023.123120</t>
  </si>
  <si>
    <t>Q6HY8</t>
  </si>
  <si>
    <t>WOS:001058525300001</t>
  </si>
  <si>
    <t>Arian, A; Hashemi, MG; Talebi, V; Ahmadinejad, N; Eslami, B; Sedighi, N; Omranipour, R</t>
  </si>
  <si>
    <t>Arian, Arvin; Hashemi, Mohamad Ghazanfari; Talebi, Vahid; Ahmadinejad, Nasrin; Eslami, Bita; Sedighi, Nahid; Omranipour, Ramesh</t>
  </si>
  <si>
    <t>Abbreviated breast MRI for evaluating breast cancer before initiation of neoadjuvant chemotherapy: A cross-sectional study</t>
  </si>
  <si>
    <t>EUROPEAN JOURNAL OF RADIOLOGY OPEN</t>
  </si>
  <si>
    <t>Breast cancer; Abbreviated breast MRI; Neoadjuvant chemotherapy</t>
  </si>
  <si>
    <t>RESONANCE-IMAGING MRI; PROTOCOL; ADJUVANT; THERAPY</t>
  </si>
  <si>
    <t>Background: Although, there are accumulating evidence about diagnostic role of abbreviated breast magnetic resonance imaging (MRI) in screening setting, the implementation of abbreviated MRI in staging of breast cancer has been poorly elucidated.Objective: To evaluate the diagnostic performance of abbreviated breast MRI in estimating extent of disease before initiation of neoadjuvant chemotherapy.Methods: A total of 54 patients with biopsy-proven main lesion referred to evaluate by standard protocol breast MRI before initiation of neoadjuvant chemotherapy were retrospectively enrolled. From a standard protocol, a data set of abbreviated protocol consisting fatsaturated T1-weighted (T1W) precontrast and first two fat-saturated T1W post-contrast series with reconstruction of their subtraction including maximum intensity pro-jection (MIP) were obtained and interpreted. The concordance rate of abbreviated with standard protocol (as a reference standard) were compared. Diagnostic accuracy, sensitivity, specificity, and positive and negative predictive value were calculated, as well.Results: The maximum size of the main mass was 38.6 &amp; PLUSMN; 17.3 and 40.7 &amp; PLUSMN; 17.9 for abbreviated and standard protocol, respectively. All of the main mass was detected by abbreviated protocol with 100% concordance. Concordance was 98.1% and 94.4% in terms of multifocal/multicentric status and for estimating of NME, respectively. The abbreviated protocol has high sensitivity and specificity with more than 90% value regarding main mass detection, measurement of the maximum size of the main mass, determination of multifocal/multicenter status and NAC involvement.Conclusion: Abbreviated protocol may be a reliable surrogate for standard protocol breast MRI in evaluating extent of breast cancer.</t>
  </si>
  <si>
    <t>[Arian, Arvin; Ahmadinejad, Nasrin; Sedighi, Nahid] Univ Tehran Med Sci, Imam Khomeini Hosp, Adv Diagnost &amp; Intervent Radiol Res Ctr ADIR, Tehran, Iran; [Arian, Arvin; Hashemi, Mohamad Ghazanfari; Talebi, Vahid; Ahmadinejad, Nasrin] Univ Tehran Med Sci, Imam Khomeini Hosp, Canc Inst, Dept Radiol, Tehran, Iran; [Eslami, Bita] Univ Tehran Med Sci, Canc Inst, Breast Dis Res Ctr, Tehran, Iran; [Omranipour, Ramesh] Univ Tehran Med Sci, Imam Khomeini Hosp Complex, Canc Inst, Dept Pathol, Tehran, Iran</t>
  </si>
  <si>
    <t>Tehran University of Medical Sciences; Tehran University of Medical Sciences; Tehran University of Medical Sciences; Tehran University of Medical Sciences</t>
  </si>
  <si>
    <t>Hashemi, MG; Talebi, V (corresponding author), Univ Tehran Med Sci, Imam Khomeini Hosp, Canc Inst, Dept Radiol, Tehran, Iran.</t>
  </si>
  <si>
    <t>Mohamadghhashemi@gmail.com; vahid_taalebi@yahoo.com; omranipour@tums.ac.ir</t>
  </si>
  <si>
    <t>2352-0477</t>
  </si>
  <si>
    <t>EUR J RADIOL OPEN</t>
  </si>
  <si>
    <t>Eur. J. Radiol. Open</t>
  </si>
  <si>
    <t>DEC</t>
  </si>
  <si>
    <t>10.1016/j.ejro.2023.100517</t>
  </si>
  <si>
    <t>Radiology, Nuclear Medicine &amp; Medical Imaging</t>
  </si>
  <si>
    <t>Q6GX9</t>
  </si>
  <si>
    <t>Green Published, hybrid</t>
  </si>
  <si>
    <t>WOS:001058498000001</t>
  </si>
  <si>
    <t>Awad, A; Goyanes, A; Orlu, M; Gaisford, S; Basit, AW</t>
  </si>
  <si>
    <t>Awad, Atheer; Goyanes, Alvaro; Orlu, Mine; Gaisford, Simon; Basit, Abdul W.</t>
  </si>
  <si>
    <t>3D printed infliximab suppositories for rectal biologic delivery</t>
  </si>
  <si>
    <t>INTERNATIONAL JOURNAL OF PHARMACEUTICS-X</t>
  </si>
  <si>
    <t>Ulcerative colitis (UC) and Crohn's disease (CD); Rectal drug delivery; Biologicals and monoclonal antibodies; Pressure-assisted syringe; Digital medicine production; Tumour necrosis factor-alpha (TNF-alpha) in-hibitors; Extrusion-assisted additve manufacturing of a suppository formulation</t>
  </si>
  <si>
    <t>INFLAMMATORY-BOWEL-DISEASE; CORTICOSTEROID-THERAPY; NATURAL-HISTORY; PROTEINS; STABILIZATION; FORMULATION; STABILITY; EFFICACY; COLITIS; SERUM</t>
  </si>
  <si>
    <t>Infliximab is a monoclonal antibody that plays an important role in the management and treatment of chronic inflammatory bowel diseases (IBD). Due to its macromolecular structure, its delivery through the oral route is challenging, limiting its administration to only via the parenteral route. The rectal route offers an alternative way for administering infliximab, allowing it to be localised at the disease site and circumventing its passage across the alimentary canal and thus, maintaining its integrity and bioactivity. Three-dimensional (3D) printing is an advanced production technology that permits the creation of dose-flexible drug products from digital designs. The current study assessed the feasibility of utilising semi-solid extrusion 3D printing for the fabrication of infliximab-loaded suppositories for the local treatment of IBD. Various printing inks composed of Gelucire (R) (48/16 or 44/14) mixed with coconut oil and/or purified water were investigated. It was shown that following reconstitution in water, the infliximab solution can be directly incorporated into the printing ink of Gelucire (R) 48/16 and can withstand the extrusion process, resulting in well-defined suppositories. Since water content and temperature are critical for safeguarding infliximab's potency, the effect of changing the composition of the printing inks and printing parameters on infliximab's biologic efficiency was evaluated by measuring its binding capacity (i.e., the amount of infliximab that actively binds to its antigen to exert an effect). Despite drug loading assays showing that infliximab remains intact following printing, it was found that the incorporation of water in isolation results in only similar to 65% binding capacity. However, when oil is added to the mixture, infliximab's binding capacity increases up to similar to 85%. These promising results demonstrate that 3D printing has the potential to be exploited as a novel platform for fabricating dosage forms containing biopharmaceuticals, avoiding patients' compliance issues observed with injectables and addressing their unmet needs.</t>
  </si>
  <si>
    <t>[Awad, Atheer; Goyanes, Alvaro; Orlu, Mine; Gaisford, Simon; Basit, Abdul W.] UCL, UCL Sch Pharm, Dept Pharmaceut, 29-39 Brunswick Sq, London WC1N 1AX, England; [Goyanes, Alvaro; Basit, Abdul W.] FabRx Ltd, Henwood House, Ashford TN24 8DH, Kent, England; [Goyanes, Alvaro] Univ Santiago de Compostela, Dept Farmacol Farm &amp; Tecnol Farmaceut, I D Farma GI 1645, Fac Farm,Mat Inst iMATUS, Santiago De Compostela 15782, Spain; [Goyanes, Alvaro] Univ Santiago de Compostela, Hlth Res Inst IDIS, Santiago De Compostela 15782, Spain</t>
  </si>
  <si>
    <t>University of London; University College London; Universidade de Santiago de Compostela; Universidade de Santiago de Compostela</t>
  </si>
  <si>
    <t>Awad, A (corresponding author), UCL, UCL Sch Pharm, Dept Pharmaceut, 29-39 Brunswick Sq, London WC1N 1AX, England.</t>
  </si>
  <si>
    <t>atheer.awad.15@ucl.ac.uk</t>
  </si>
  <si>
    <t>Awad, Atheer/GXW-2064-2022</t>
  </si>
  <si>
    <t>Awad, Atheer/0000-0001-5245-0570</t>
  </si>
  <si>
    <t>European Regional Development Fund</t>
  </si>
  <si>
    <t>European Regional Development Fund(European Union (EU))</t>
  </si>
  <si>
    <t>This project has received &amp; nbsp;Funding &amp; nbsp;from the Interreg 2 Seas programme 2014-2020 co-funded by the European Regional Development Fund under subsidy contract Site Drug 2S07-033.</t>
  </si>
  <si>
    <t>2590-1567</t>
  </si>
  <si>
    <t>INT J PHARM-X</t>
  </si>
  <si>
    <t>Int. J. Pharm. X</t>
  </si>
  <si>
    <t>10.1016/j.ijpx.2023.100176</t>
  </si>
  <si>
    <t>Pharmacology &amp; Pharmacy</t>
  </si>
  <si>
    <t>R2ML5</t>
  </si>
  <si>
    <t>WOS:001062738600001</t>
  </si>
  <si>
    <t>Bagkavos, D; Patil, PN</t>
  </si>
  <si>
    <t>Bagkavos, Dimitrios; Patil, Prakash N.</t>
  </si>
  <si>
    <t>Goodness-of-fit testing for normal mixture densities</t>
  </si>
  <si>
    <t>COMPUTATIONAL STATISTICS &amp; DATA ANALYSIS</t>
  </si>
  <si>
    <t>Goodness-of-fit; Normal mixtures; Power optimal bandwidth; Edgeworth expansion</t>
  </si>
  <si>
    <t>CONSISTENT NONPARAMETRIC TEST; LIKELIHOOD RATIO TEST; BANDWIDTH SELECTION; KERNEL; MODELS; IDENTIFICATION; COMPONENTS; INFERENCE; NUMBER; ORDER</t>
  </si>
  <si>
    <t>A novel goodness-of-fit test for assessing the validity of maximum likelihood estimates of normal mixture densities with known number of components is introduced. The theoretical contributions include analytic quantification of the test statistic's size and power functions under fixed and local alternatives. These are used to derive a closed-form bandwidth rule which optimizes the test's power while keeping its size constant at a given significance level, and a cut-off point suitable for finite sample implementations of the test. An extensive simulation study compares the performance of the new test to well-established tests in the literature and demonstrates the superiority of the former in all examples considered. Finally, its practical usefulness is demonstrated in the analysis of two real world datasets.&amp; COPY; 2023 Elsevier B.V. All rights reserved.</t>
  </si>
  <si>
    <t>[Bagkavos, Dimitrios] Univ Ioannina, Dept Math, Ioannina 45110, Greece; [Patil, Prakash N.] Mississippi State Univ, Dept Math &amp; Stat, Mississippi State, MS USA</t>
  </si>
  <si>
    <t>University of Ioannina; Mississippi State University</t>
  </si>
  <si>
    <t>Bagkavos, D (corresponding author), Univ Ioannina, Dept Math, Ioannina 45110, Greece.</t>
  </si>
  <si>
    <t>dimitrios.bagkavos@gmail.com</t>
  </si>
  <si>
    <t>0167-9473</t>
  </si>
  <si>
    <t>1872-7352</t>
  </si>
  <si>
    <t>COMPUT STAT DATA AN</t>
  </si>
  <si>
    <t>Comput. Stat. Data Anal.</t>
  </si>
  <si>
    <t>10.1016/j.csda.2023.107815</t>
  </si>
  <si>
    <t>Computer Science, Interdisciplinary Applications; Statistics &amp; Probability</t>
  </si>
  <si>
    <t>Computer Science; Mathematics</t>
  </si>
  <si>
    <t>S3AT1</t>
  </si>
  <si>
    <t>WOS:001069937300001</t>
  </si>
  <si>
    <t>Bian, WH; Yang, J; Wang, KX; Xu, DM</t>
  </si>
  <si>
    <t>Bian, Wenhui; Yang, Jun; Wang, Kexue; Xu, Dongming</t>
  </si>
  <si>
    <t>Application of excavation compensation method for constructing shallowly-buried super-large span subway tunnel</t>
  </si>
  <si>
    <t>CASE STUDIES IN CONSTRUCTION MATERIALS</t>
  </si>
  <si>
    <t>Shallow-buried large-span tunnel; Excavation compensation method; Excavation unloading; NPR rock bolt support; High prestress compensation</t>
  </si>
  <si>
    <t>COLLAPSE; OPTIMIZATION</t>
  </si>
  <si>
    <t>Stress loss at the excavation face, stemming from underground chamber excavation, is the pri-mary culprit behind geotechnical accidents. Implementing timely stress compensation is vital to control potential instability or failure in the surrounding rock effectively. Shallow-buried, large-span subway tunnels, characterized by complex geological conditions, significant construction challenges, and extensive engineering risks, often exceed traditional methods' capacities, resulting in excessive deformation of initial support or localized stress surpassing the overload limit during construction. This study delves into the excavation unloading effect, namely radial stress loss and tangential structural damage, offering a comprehensive understanding of rock excavation's mechanical behavior. It introduces an excavation compensation method, formulated from a mechanical perspective, specifically tailored for controlling shallow-buried, large-span tunnels. An excavation equivalent stress compensation experiment was designed, validating the substantial influence of compensation stress in controlling rock cracking, mitigating tensile stress areas in the arch, augmenting peak bearing capacity, and enhancing plastic deformation capacity. The final part of the study conducts a comparative analysis of the tensile mechanical properties and shear resistance of Negative Poisson's Ratio (NPR) anchor steel. The results reveal that NPR anchor bolt exhibits high strength, constant resistance, and substantial elongation. When compared with ordinary anchor bolt, its tensile strength and elongation surpass the latter by more than double, and its shear energy absorption is 4.37 times that of traditional Poisson's Ratio (PR) material anchors. NPR bolt demonstrates uniform deformation during tension and shearing processes, without significant necking, and prestressing can be applied to 70%-90% of the yield strength, thus providing a material foundation for radial stress compensation and tangential structural compensation. This technology has been successfully applied to shallow-buried, large-span subway tunnels, effectively controlling the deformation and settlement of large-span tunnels and thereby demonstrating the applicability of the proposed excavation compensation methods and techniques.</t>
  </si>
  <si>
    <t>[Bian, Wenhui; Wang, Kexue; Xu, Dongming] China Univ Min &amp; Technol, Sch Mech &amp; Civil Engn, Beijing 100083, Peoples R China; [Bian, Wenhui; Yang, Jun] State Key Lab Geomech &amp; Deep Underground Engn, Beijing 100083, Peoples R China</t>
  </si>
  <si>
    <t>China University of Mining &amp; Technology</t>
  </si>
  <si>
    <t>Yang, J (corresponding author), State Key Lab Geomech &amp; Deep Underground Engn, Beijing 100083, Peoples R China.</t>
  </si>
  <si>
    <t>yangjun@cumtb.edu.cn</t>
  </si>
  <si>
    <t>yang, jun/JEF-7538-2023</t>
  </si>
  <si>
    <t>National Natural Science Foundation of China [2018YFC0603705]; National Key Research and Development Program [2016YFC0600901]; [51674265]</t>
  </si>
  <si>
    <t>National Natural Science Foundation of China(National Natural Science Foundation of China (NSFC)); National Key Research and Development Program;</t>
  </si>
  <si>
    <t>This work was supported by the National Natural Science Foundation of China [grant numbers 51674265] ; the National Key Research and Development Program [grant number 2018YFC0603705, 2016YFC0600901] ; and the Yue Qi outstanding scholar award program of China University of Mining &amp; Technology, Beijing.</t>
  </si>
  <si>
    <t>2214-5095</t>
  </si>
  <si>
    <t>CASE STUD CONSTR MAT</t>
  </si>
  <si>
    <t>Case Stud. Constr. Mater.</t>
  </si>
  <si>
    <t>e02388</t>
  </si>
  <si>
    <t>10.1016/j.cscm.2023.e02388</t>
  </si>
  <si>
    <t>Construction &amp; Building Technology; Engineering, Civil; Materials Science, Multidisciplinary</t>
  </si>
  <si>
    <t>Construction &amp; Building Technology; Engineering; Materials Science</t>
  </si>
  <si>
    <t>Q5NO0</t>
  </si>
  <si>
    <t>WOS:001057990500001</t>
  </si>
  <si>
    <t>Bojago, E; Delango, MW; Milkias, D</t>
  </si>
  <si>
    <t>Bojago, Elias; Delango, Mesele Woldemichael; Milkias, Daniel</t>
  </si>
  <si>
    <t>Effects of soil and water conservation practices and landscape position on soil physicochemical properties in Anuwa watershed, Southern Ethiopia</t>
  </si>
  <si>
    <t>JOURNAL OF AGRICULTURE AND FOOD RESEARCH</t>
  </si>
  <si>
    <t>Complete randomized block design; Soil and water conservation; Soil erosion; Soil quality improvement; Sustainable conservation measure; Topography</t>
  </si>
  <si>
    <t>EROSION; TECHNOLOGIES; HIGHLANDS; ADOPTION; RISK</t>
  </si>
  <si>
    <t>Ethiopia's main environmental problem has been soil erosion. To control and reverse the problem, soil and water conservation (SWC) techniques have been deployed over the past two to three decades. The purpose of this study is to evaluate the effect of implemented soil and water conservation measures on soil physicochemical properties in the Anuwa watershed, southern Ethiopia, under various conservation structures (Soil bund, Fanya Juu, Stone bund and Micro Basin) and topographic positions (upper, middle and lower) of conserved plots. The soil samples were collected from 45 locations to analyze topsoil texture, bulk density (?d), pH, soil organic carbon (SOC), total nitrogen (TN), available phosphorus (AP), CEC, exchangeable Na+, K+, Ca2+, and Mg2+. All soil samples were analyzed using standard and recommended methods. Using the SPSS computer program 21, the effect of independent variables (SWC practices and landscape position) on the dependent variables (soil properties) was statistically tested. The significance test was performed using two-way ANOVA. The findings indicated that the SWC measure significantly decreases the percent values of sandy soil texture, while it increased the mean values of organic carbon, available phosphorus, exchangeable Na+, K+, Ca2+, and Mg2+, and CEC (P &lt; 0.05). The sand content, the bulk density, the SOC, and the total nitrogen showed statistically significant variations between the conserved and non-conserved upper topography (P &lt; 0.05). The effects of conservation measures were significant in almost all soil physicochemical properties at P &lt; 0.01 except for the silt content, bulk density, and Ca2+ in the lower topography. The study findings revealed that Fanya Juu SWC measures are by far the most efficient, and recommended method to minimizing soil erosion, and improving selected soil physical and chemical quality in the Anuwa watershed. Local governments and other stakeholders should work cooperatively to strengthen and sustain the implementation process.</t>
  </si>
  <si>
    <t>[Bojago, Elias] Wolaita Sodo Univ, Coll Nat &amp; Computat Sci, Dept Environm Sci, POB 138, Wolaita Sodo, Ethiopia; [Delango, Mesele Woldemichael] Wolaita Sodo Univ, Coll Social Sci &amp; Humanities, POB 138, Wolaita Sodo, Ethiopia; [Milkias, Daniel] Wolaita Sodo Univ, Coll Nat &amp; Computat Sci, Dept Chem, POB 138, Wolaita Sodo, Ethiopia</t>
  </si>
  <si>
    <t>Milkias, D (corresponding author), Wolaita Sodo Univ, Coll Nat &amp; Computat Sci, Dept Chem, POB 138, Wolaita Sodo, Ethiopia.</t>
  </si>
  <si>
    <t>danielmilkias6@gmail.com</t>
  </si>
  <si>
    <t>Bojago, Elias/AAK-9342-2021</t>
  </si>
  <si>
    <t>Bojago, Elias/0000-0002-7235-8760</t>
  </si>
  <si>
    <t>2666-1543</t>
  </si>
  <si>
    <t>J AGR FOOD RES</t>
  </si>
  <si>
    <t>J. Agric. Food Res.</t>
  </si>
  <si>
    <t>10.1016/j.jafr.2023.100705</t>
  </si>
  <si>
    <t>Agriculture, Multidisciplinary; Food Science &amp; Technology</t>
  </si>
  <si>
    <t>Agriculture; Food Science &amp; Technology</t>
  </si>
  <si>
    <t>Q1TM4</t>
  </si>
  <si>
    <t>WOS:001055413600001</t>
  </si>
  <si>
    <t>Brochet, L; Varazzani, A; Delay, A; Bouletreau, P; Rasteau, S</t>
  </si>
  <si>
    <t>Brochet, Louis; Varazzani, Andrea; Delay, Alexandra; Bouletreau, Pierre; Rasteau, Simon</t>
  </si>
  <si>
    <t>Photography in orthognathic surgery: A standardized protocol and storage legal implications</t>
  </si>
  <si>
    <t>JOURNAL OF STOMATOLOGY ORAL AND MAXILLOFACIAL SURGERY</t>
  </si>
  <si>
    <t>Orthognathic surgery; Photography; Standardized protocol</t>
  </si>
  <si>
    <t>NATURAL HEAD POSITION; DIGITAL PHOTOGRAPHY; PLASTIC-SURGERY</t>
  </si>
  <si>
    <t>Medical photography is an essential tool in orthognathic surgery to facilitate diagnosis, preoperative planning, and follow-up. Photographic documentation has clinical, research, teaching and legal applications. An accurate diagnostic approach and surgical planning of dentofacial deformity requires the ability to work with reproducible and measurable photographic images. It must also respect certain legislative rules for its use within a health institution and the dissemination of images in the educational and scientific framework. We propose through this narrative review a standardized protocol to obtain reproducible images in the different planes of space. We also review and discuss fundamental points for setting up a photographic room dedicated to photography in orthognathic surgery.&amp; COPY; 2023 Elsevier Masson SAS. All rights reserved.</t>
  </si>
  <si>
    <t>[Brochet, Louis; Varazzani, Andrea; Bouletreau, Pierre; Rasteau, Simon] Claude Bernard Lyon 1 Univ, Maxillofacial Surg, Stomatol &amp; Oral Surg, Hosp Civils Lyon,Facial Plast Surg,Lyon Sud Hosp, 165 Chemin Grand Revoyet, F-69310 Pierre Benite, France; [Delay, Alexandra] Grenoble Univ Hosp, Maxillofacial Surg, Facial Plast Surg, Stomatol &amp; Oral Surg, Ave Maquis du Gresivaudan, F-38700 La Tronche, France</t>
  </si>
  <si>
    <t>CHU Lyon; UDICE-French Research Universities; Universite Claude Bernard Lyon 1; Communaute Universite Grenoble Alpes; UDICE-French Research Universities; Universite Grenoble Alpes (UGA); CHU Grenoble Alpes</t>
  </si>
  <si>
    <t>Brochet, L (corresponding author), Claude Bernard Lyon 1 Univ, Maxillofacial Surg, Stomatol &amp; Oral Surg, Hosp Civils Lyon,Facial Plast Surg,Lyon Sud Hosp, 165 Chemin Grand Revoyet, F-69310 Pierre Benite, France.</t>
  </si>
  <si>
    <t>louis.brochet@chu-lyon.fr</t>
  </si>
  <si>
    <t>DELAY, Alexandra/0000-0002-4831-440X; Brochet, Louis/0000-0001-6728-5328</t>
  </si>
  <si>
    <t>2468-8509</t>
  </si>
  <si>
    <t>2468-7855</t>
  </si>
  <si>
    <t>J STOMATOL ORAL MAXI</t>
  </si>
  <si>
    <t>J. Stomatol. Oral Maxillofac. Surg.</t>
  </si>
  <si>
    <t>10.1016/j.jormas.2023.101467</t>
  </si>
  <si>
    <t>Dentistry, Oral Surgery &amp; Medicine</t>
  </si>
  <si>
    <t>S6CT4</t>
  </si>
  <si>
    <t>WOS:001072029600001</t>
  </si>
  <si>
    <t>Bullock, JL; Gillette, DD; Smith, JA</t>
  </si>
  <si>
    <t>Bullock, Jeanee L.; Gillette, Devyn D.; Smith, Jacqueline A.</t>
  </si>
  <si>
    <t>Small molecule, nanoparticle and liposomal strategies for LAT1-mediated chemotherapy delivery</t>
  </si>
  <si>
    <t>RESULTS IN CHEMISTRY</t>
  </si>
  <si>
    <t>AMINO-ACID TRANSPORTER; HEAVY-CHAIN; 1 LAT1; ANTICANCER AGENT; L-LEUCINE; EXPRESSION; DRUG; GEMCITABINE; ACCUMULATION; CARCINOMAS</t>
  </si>
  <si>
    <t>LAT1 has become a popular target for anti-cancer therapeutics due to its role as a nutrient transporter and abundant expression in cancer cells. Although small molecule inhibition has been the major focus of LAT1-based chemotherapies, using LAT1-substrates as a carrier will allow delivery of known drugs to cells, improving their intracellular uptake and thus decreasing concentrations required to give the desired biological effect. This review highlights the current efforts in using LAT1-amino acid substrates as carriers for chemotherapeutic delivery.</t>
  </si>
  <si>
    <t>[Bullock, Jeanee L.; Gillette, Devyn D.; Smith, Jacqueline A.] Bowie State Univ, Dept Nat Sci, 14000 Jericho Pk Rd, Bowie, MD 20715 USA</t>
  </si>
  <si>
    <t>University System of Maryland; Bowie State University</t>
  </si>
  <si>
    <t>Smith, JA (corresponding author), Bowie State Univ, Dept Nat Sci, 14000 Jericho Pk Rd, Bowie, MD 20715 USA.</t>
  </si>
  <si>
    <t>jsmith@bowiestate.edu</t>
  </si>
  <si>
    <t>2211-7156</t>
  </si>
  <si>
    <t>RESULTS CHEM</t>
  </si>
  <si>
    <t>Results Chem.</t>
  </si>
  <si>
    <t>10.1016/j.rechem.2023.101056</t>
  </si>
  <si>
    <t>Chemistry, Multidisciplinary</t>
  </si>
  <si>
    <t>P8RR8</t>
  </si>
  <si>
    <t>WOS:001053293200001</t>
  </si>
  <si>
    <t>Cai, JC; Xi, SH; Zhang, C; Li, X; Helal, MH; El-Bahy, ZM; Ibrahim, MM; Zhu, HY; Singh, MV; Wasnik, P; Bin Xu, B; Guo, ZH; Algadi, H; Guo, J</t>
  </si>
  <si>
    <t>Cai, Jianchen; Xi, Shaohua; Zhang, Ce; Li, Xu; Helal, Mohamed H.; El-Bahy, Zeinhom M.; Ibrahim, Mohamed M.; Zhu, Haoyu; Singh, Man Vir; Wasnik, Priyanka; Bin Xu, Ben; Guo, Zhanhu; Algadi, Hassan; Guo, Jiang</t>
  </si>
  <si>
    <t>Overview of biomass valorization: Case study of nanocarbons, biofuels and their derivatives</t>
  </si>
  <si>
    <t>Biomass; Carbon; Polluted water; Spilled oil; Biofuel; Composites</t>
  </si>
  <si>
    <t>METAL-ORGANIC FRAMEWORK; EFFECTIVE REMOVAL; AQUEOUS-SOLUTION; FACILE SYNTHESIS; EFFICIENT; HYDROGENATION; PERFORMANCE; CATALYST; SELENIUM; CADMIUM</t>
  </si>
  <si>
    <t>With the increasing awareness of the serious pollution from the usage of fossil fuels and the fast advances of technologies, the usage of biomass has been increased significantly. In this review paper, the biomass serving as carbon precursors and the energy has been reviewed including lotus lives, wheat flour, fish scale, fish skin, wax gourd, etc. The formed carbon nanostructures are reviewed together with their applications including the treatment volatile organic compounds (VOCs), heavy metal ions from polluted water, spilled oil, fillers for advanced composites, etc. This paper gives the usage of biomass in a sustainable and green way.</t>
  </si>
  <si>
    <t>[Cai, Jianchen; Zhang, Ce; Zhu, Haoyu] Quzhou Univ, Coll Mech Engn, Quzhou 324000, Zhejiang, Peoples R China; [Xi, Shaohua; Li, Xu; Guo, Jiang] Shaanxi Univ Sci &amp; Technol, Sch Mat Sci &amp; Engn, Shaanxi Key Lab Green Preparat &amp; Functionalizat In, Xian 710021, Peoples R China; [Helal, Mohamed H.] Northern Border Univ, Fac Arts &amp; Sci, Dept Chem, Rafha, Saudi Arabia; [El-Bahy, Zeinhom M.] Al Azhar Univ, Fac Sci, Dept Chem, Cairo 11884, Egypt; [Ibrahim, Mohamed M.] Taif Univ, Coll Sci, Dept Chem, POB 11099, Taif 21944, Saudi Arabia; [Singh, Man Vir] Dev Bhoomi Uttarakhand Univ, Dept Chem, Dehra Dun 248007, India; [Singh, Man Vir] Chandigarh Univ, Univ Ctr Res &amp; Dev, Mohali 140413, Punjab, India; [Wasnik, Priyanka; Bin Xu, Ben; Guo, Zhanhu] Northumbria Univ, Fac Engn &amp; Environm, Mech &amp; Construct Engn, Newcastle Upon Tyne NE1 8ST, England; [Algadi, Hassan] Najran Univ, Fac Engn, Dept Elect Engn, Najran 11001, Saudi Arabia</t>
  </si>
  <si>
    <t>Quzhou University; Shaanxi University of Science &amp; Technology; Northern Border University; Egyptian Knowledge Bank (EKB); Al Azhar University; Taif University; Chandigarh University; Northumbria University; Najran University</t>
  </si>
  <si>
    <t>Cai, JC (corresponding author), Quzhou Univ, Coll Mech Engn, Quzhou 324000, Zhejiang, Peoples R China.;Guo, J (corresponding author), Shaanxi Univ Sci &amp; Technol, Sch Mat Sci &amp; Engn, Shaanxi Key Lab Green Preparat &amp; Functionalizat In, Xian 710021, Peoples R China.;Singh, MV (corresponding author), Dev Bhoomi Uttarakhand Univ, Dept Chem, Dehra Dun 248007, India.;Bin Xu, B; Guo, ZH (corresponding author), Northumbria Univ, Fac Engn &amp; Environm, Mech &amp; Construct Engn, Newcastle Upon Tyne NE1 8ST, England.</t>
  </si>
  <si>
    <t>cai198666@126.com; manvir24365@gmail.com; ben.xu@northumbria.ac.uk; zhanhu.guo@northumbria.ac.uk; jguo@sust.edu.cn</t>
  </si>
  <si>
    <t>XU, BEN BIN/F-5412-2013; Algadi, Hassan/AAI-9727-2021</t>
  </si>
  <si>
    <t>XU, BEN BIN/0000-0002-6747-2016; Algadi, Hassan/0000-0001-6231-5575</t>
  </si>
  <si>
    <t>Zhejiang Basic Public Welfare Research Project [LTGS23E030001, LTGC23E050001]; National Natural Science Foundation of China [62102227]; Science and Technology Major Projects of Quzhou [2021K29]; Deanship of Scientific Research at Northern Border University, Arar, KSA [NBU-FFR-2023-0073]; Deanship of Scientific Research at Najran University [NU/RG/SERC/12/10]</t>
  </si>
  <si>
    <t>Zhejiang Basic Public Welfare Research Project; National Natural Science Foundation of China(National Natural Science Foundation of China (NSFC)); Science and Technology Major Projects of Quzhou; Deanship of Scientific Research at Northern Border University, Arar, KSA; Deanship of Scientific Research at Najran University</t>
  </si>
  <si>
    <t>This work was supported by the Zhejiang Basic Public Welfare Research Project (No. LTGS23E030001, LTGC23E050001) , National Natural Science Foundation of China (No. 62102227) , Science and Technology Major Projects of Quzhou (2021K29) . The authors extend their appreciation to the Deanship of Scientific Research at Northern Border University, Arar, KSA for funding this research work through the project number NBU-FFR-2023-0073. The authors are thankful to the Deanship of Scientific Research at Najran University for funding this work, under the Research Groups Funding program grant code (NU/RG/SERC/12/10) .</t>
  </si>
  <si>
    <t>10.1016/j.jafr.2023.100714</t>
  </si>
  <si>
    <t>P8HB5</t>
  </si>
  <si>
    <t>WOS:001053015700001</t>
  </si>
  <si>
    <t>Cao, HW; Pei, QM; Yu, X; Santosh, M; Li, GM; Zhang, LK; Zou, H; Dong, L; Gao, K; Dai, ZW; Ai, JB; Lan, SS; Xiang, F; Cao, AB</t>
  </si>
  <si>
    <t>Cao, Hua-Wen; Pei, Qiu-Ming; Yu, Xiao; Santosh, M.; Li, Guang-Ming; Zhang, Lin-Kui; Zou, Hao; Dong, Lei; Gao, Ke; Dai, Zuo-Wen; Ai, Jin-Biao; Lan, Shuang-Shuang; Xiang, Fan; Cao, Ai-Bin</t>
  </si>
  <si>
    <t>Discovery of the large-scale Eocene Xiwu Pb-Zn-Ag deposit in the Tethyan Himalaya: Geochronology, geochemistry, and C-H-O-S-Pb-Sr- Nd isotopes</t>
  </si>
  <si>
    <t>GONDWANA RESEARCH</t>
  </si>
  <si>
    <t>Sediment-hosted; Pb-Zn-Ag deposit; C-H-O-S-Pb-Sr-Nd isotopes; Tethyan Himalaya; Xiwu</t>
  </si>
  <si>
    <t>MULTIPLE MINERALIZATION EVENTS; SOUTHERN TIBET; METALLOGENIC BELT; ANTIMONY MINERALIZATION; POLYMETALLIC DEPOSIT; CONTINENTAL-CRUST; SULFUR ISOTOPE; CARBON-ISOTOPE; EVOLUTION; OXYGEN</t>
  </si>
  <si>
    <t>The known Pb-Zn-Sb-Au polymetallic deposits in the Himalaya mainly formed during the main-collisional convergence (65-41 Ma) and post-collisional crustal extension (25-0 Ma) tectonic settings. Here, we report the discovery and genesis of the large-scale Eocene Xiwu Pb-Zn-Ag deposit that formed during the late-collisional tectonic transition stage (40-26 Ma) in the eastern Himalaya. The surrounding ore-hosting rocks are mainly low-grade metamorphosed Jurassic clastic rocks and Early Cretaceous dia-base. The most important ore-controlling structures are NE-SW thrust faults. The ore minerals include large amounts of galena, sphalerite, tetrahedrite and siderite, with minor chalcopyrite, pyrite, arsenopy-rite, calcite and quartz. In this contribution, we analyzed the S-Pb isotopes of sulfides, fluid inclusions and the C-H-O-Pb-Sr-Nd isotopes of nonmetallic minerals. The results indicate that the ore-forming mate-rials originated from deeper metamorphic rocks of the Greater Himalayan Crystalline Complex. This study infer that the source of ore-forming fluids was mainly metamorphic fluids with moderate temper-atures and salinities, and S and C were mainly derived from microbial sulfate reduction and the decar-boxylation of organic matter, respectively. The main ore-forming mechanism is fluid mixing between the deep ore-bearing metamorphic fluids and shallow formation waters. The Sm-Nd isotopic age of side-rite is 37.4 &amp; PLUSMN; 1.1 Ma, which is slightly younger than the zircon U-Pb age of the Zhunba leucogranite (38. 9 &amp; PLUSMN; 0.4 Ma) but is consistent with the main epoch of early prograde metamorphism (43-36 Ma) in the Himalaya. We propose a new metallogenic model for Himalayan Pb-Zn-Ag deposits that can greatly pro-mote ore prospecting. The genetic type of the Xiwu deposit is a clastic-dominated subtype of sediment-hosted Pb-Zn deposits.&amp; COPY; 2023 International Association for Gondwana Research. Published by Elsevier B.V. All rights reserved.</t>
  </si>
  <si>
    <t>[Cao, Hua-Wen; Zou, Hao] Chengdu Univ Technol, State Key Lab Oil &amp; Gas Reservoir Geol &amp; Exploitat, Chengdu 610059, Peoples R China; [Cao, Hua-Wen; Zou, Hao] Chengdu Univ Technol, Key Lab Tecton Controls Mineralizat &amp; Hydrocarbon, Minist Land &amp; Resources, Chengdu 610059, Peoples R China; [Cao, Hua-Wen; Li, Guang-Ming; Zhang, Lin-Kui; Dong, Lei; Gao, Ke] China Geol Survey, Chengdu Ctr, Geosci Innovat Ctr Southwest China, Beijing 610218, Sichuan, Peoples R China; [Pei, Qiu-Ming] Southwest Jiaotong Univ, Fac Geosci &amp; Environm Engn, Chengdu 611756, Sichuan, Peoples R China; [Yu, Xiao; Xiang, Fan; Cao, Ai-Bin] China Geol Survey, Res Ctr Appl Geol, Beijing 610036, Sichuan, Peoples R China; [Santosh, M.] China Univ Geosci, Sch Earth Sci &amp; Resources, Beijing 100083, Peoples R China; [Santosh, M.] Univ Adelaide, Dept Earth Sci, Adelaide, SA 5005, Australia; [Dai, Zuo-Wen] Univ Sci &amp; Technol Beijing, Sch Civil &amp; Resources Engn, Beijing 100083, Peoples R China; [Ai, Jin-Biao; Lan, Shuang-Shuang] Sichuan Met Geol Explorat Inst, Chengdu 610006, Sichuan, Peoples R China; [Cao, Hua-Wen] Chengdu Univ Technol, 1 East 3rd Rd,Erxianqiao, Chengdu, Sichuan, Peoples R China</t>
  </si>
  <si>
    <t>Chengdu University of Technology; Ministry of Natural Resources of the People's Republic of China; Chengdu University of Technology; China Geological Survey; Southwest Jiaotong University; China Geological Survey; China University of Geosciences; University of Adelaide; University of Science &amp; Technology Beijing; Chengdu University of Technology</t>
  </si>
  <si>
    <t>Cao, HW (corresponding author), Chengdu Univ Technol, 1 East 3rd Rd,Erxianqiao, Chengdu, Sichuan, Peoples R China.</t>
  </si>
  <si>
    <t>caohuawen1988@126.com; pqm@swjtu.edu.cn</t>
  </si>
  <si>
    <t>Cao, Hua-Wen/AFU-1979-2022</t>
  </si>
  <si>
    <t>Cao, Hua-Wen/0000-0002-3703-5843; Pei, Qiuming/0000-0003-4600-1511</t>
  </si>
  <si>
    <t>National Key Ramp;D Programme of China [2021YFC2901803]; National Natural Science Founda-tion of China [92055314, 41802095, 91955208]; China Geological Survey [DD20230049, DD20220983, IGCP-741]</t>
  </si>
  <si>
    <t>National Key Ramp;D Programme of China; National Natural Science Founda-tion of China(National Natural Science Foundation of China (NSFC)); China Geological Survey(China Geological Survey)</t>
  </si>
  <si>
    <t>8. Funding information This work was sponsored by the National Key R &amp; D Programme of China (2021YFC2901803) , the National Natural Science Founda-tion of China (92055314, 41802095 and 91955208) , and the China Geological Survey (DD20230049 and DD20220983) . This is a con-tribution to the International Geoscience Programme (IGCP-741) and Academician Baojun Liu Foundation of the Southwest Geolog-ical Science and Technology Innovation Center.</t>
  </si>
  <si>
    <t>1342-937X</t>
  </si>
  <si>
    <t>1878-0571</t>
  </si>
  <si>
    <t>GONDWANA RES</t>
  </si>
  <si>
    <t>Gondwana Res.</t>
  </si>
  <si>
    <t>10.1016/j.gr.2023.07.001</t>
  </si>
  <si>
    <t>Geosciences, Multidisciplinary</t>
  </si>
  <si>
    <t>Geology</t>
  </si>
  <si>
    <t>O3OS9</t>
  </si>
  <si>
    <t>WOS:001042950800001</t>
  </si>
  <si>
    <t>Carvalho, IDD; Alencar, G; Muniz, CR</t>
  </si>
  <si>
    <t>Carvalho, I. . D. D.; Alencar, G.; Muniz, C. R.</t>
  </si>
  <si>
    <t>Thermodynamics of static and stationary black holes in Einstein-Gauss-Bonnet gravity with dark matter</t>
  </si>
  <si>
    <t>PHYSICS OF THE DARK UNIVERSE</t>
  </si>
  <si>
    <t>Dark matter; Einstein-Gauss-Bonnet theory; Black hole; Einstein-Gauss-Bonnet black holes; Black holes thermodynamic</t>
  </si>
  <si>
    <t>ACCRETION DISK LUMINOSITY; TELESCOPE RESULTS. I.; WORMHOLE FORMATION; SPIRAL GALAXIES; ROTATION CURVE; MILKY-WAY; HALO; ENTROPY; PROFILE; SHADOW</t>
  </si>
  <si>
    <t>This paper studies Einstein-Gauss-Bonnet (EGB) black holes surrounded by three phenomenological distributions of dark matter halos. The main result is obtaining the analytical solutions for the metric and all thermodynamic quantities, such as Hawking temperature, entropy, constant-volume heat capacity, and Gibbs free energy for static and stationary black hole solutions. Consequently, we determine a non-null horizon radius at which the black hole halts its evaporation by vanishing the temperature, indicating the emergence of remnants. In the stationary case, we also obtain the ergosphere regions for the found solutions and compare them. Finally, we find local and global phase transitions by studying the behavior of the heat capacity and Gibbs free energy. &amp; COPY; 2023 Elsevier B.V. All rights reserved.</t>
  </si>
  <si>
    <t>[Carvalho, I. . D. D.; Alencar, G.] Univ Fed Ceara, Dept Fis, Caixa Postal 6030, Campus Pici, BR-60455760 Fortaleza, CE, Brazil; [Muniz, C. R.] Univ Estadual Ceara, Fac Educ Ciencias &amp; Letras Iguatu, Iguatu, CE, Brazil</t>
  </si>
  <si>
    <t>Universidade Federal do Ceara; Universidade Estadual do Ceara</t>
  </si>
  <si>
    <t>Carvalho, IDD (corresponding author), Univ Fed Ceara, Dept Fis, Caixa Postal 6030, Campus Pici, BR-60455760 Fortaleza, CE, Brazil.</t>
  </si>
  <si>
    <t>icarodias@alu.ufc.br; geova@fisica.ufc.br; celio.muniz@uece.br</t>
  </si>
  <si>
    <t>Conselho Nacional de Desenvolvimento Cientfico e Tecnolgico (CNPq) , Brazil; Coordenaao de Aperfeioamento de Pessoal de Nvel Superior (CAPES) , Brazil; Fundacao Cearense de Apoio ao Desenvolvimento Cientifico e Tecnologico (FUNCAP) , Brazil [PNE0112- 00085.01.00/16]</t>
  </si>
  <si>
    <t>Conselho Nacional de Desenvolvimento Cientfico e Tecnolgico (CNPq) , Brazil(Conselho Nacional de Desenvolvimento Cientifico e Tecnologico (CNPQ)); Coordenaao de Aperfeioamento de Pessoal de Nvel Superior (CAPES) , Brazil(Coordenacao de Aperfeicoamento de Pessoal de Nivel Superior (CAPES)); Fundacao Cearense de Apoio ao Desenvolvimento Cientifico e Tecnologico (FUNCAP) , Brazil</t>
  </si>
  <si>
    <t>The authors would like to thanks Alexandra Elbakyan and scihub, for removing all barriers in the way of science We acknowledge the financial support provided by the Conselho Nacional de Desenvolvimento Cientifico e Tecnologico (CNPq) , Brazil, the Coordenacao de Aperfeicoamento de Pessoal de Nivel Superior (CAPES) , Brazil and Fundacao Cearense de Apoio ao Desenvolvimento Cientifico e Tecnologico (FUNCAP) , Brazil through PRONEM PNE0112- 00085.01.00/16.</t>
  </si>
  <si>
    <t>2212-6864</t>
  </si>
  <si>
    <t>PHYS DARK UNIVERSE</t>
  </si>
  <si>
    <t>Phys. Dark Universe</t>
  </si>
  <si>
    <t>10.1016/j.dark.2023.101290</t>
  </si>
  <si>
    <t>P4ZR1</t>
  </si>
  <si>
    <t>WOS:001050766900001</t>
  </si>
  <si>
    <t>Cheang, B; Lim, H</t>
  </si>
  <si>
    <t>Cheang, Bryan; Lim, Hanniel</t>
  </si>
  <si>
    <t>Institutional diversity and state-led development: Singapore as a unique variety of capitalism</t>
  </si>
  <si>
    <t>STRUCTURAL CHANGE AND ECONOMIC DYNAMICS</t>
  </si>
  <si>
    <t>Institutional diversity; Varieties of capitalism; Economic freedom indices; Singapore; Developmental state; Market liberalism</t>
  </si>
  <si>
    <t>ECONOMIC-DEVELOPMENT; FREEDOM; GOVERNANCE; GROWTH</t>
  </si>
  <si>
    <t>This paper provides a critique of economic freedom indices through a case study of Singapore's unique political economy. We argue that these metrics reflect an ahistorical approach to development, obscuring real-world institutional diversity. By instantiating a single ideal of laissez-faire and proceeding to measure the magnitude of economic freedom in nations, these indices implicitly treat capitalist varieties as mere defects of laissez-faire rather than as distinct alternatives.Consequently, owing to the discursive power neoliberal metrics enjoy in country-benchmarking, the varied roles that states play are overlooked in development discourse. Singapore's unique political economy and approach to development is one such institutional innovation being neglected. Through its strategic and calibrated control over factor markets, the Singapore state is ranked as a small government by economic freedom indices while simultaneously enjoying significant influence over economic activity. The wider implication is that nations' unique historical constraints push them onto diverse development trajectories.</t>
  </si>
  <si>
    <t>[Cheang, Bryan] Kings Coll London, Dept Polit Econ, Bush House North East Wing, 30 Aldwych, London WC2B 4BG, England; [Lim, Hanniel] Natl Univ Singapore, Inst Policy Studies, Lee Kuan Yew Sch Publ Policy, 1C Cluny Rd,House 5, Singapore 259599, Singapore</t>
  </si>
  <si>
    <t>University of London; King's College London; National University of Singapore</t>
  </si>
  <si>
    <t>Cheang, B (corresponding author), Kings Coll London, Dept Polit Econ, Bush House North East Wing, 30 Aldwych, London WC2B 4BG, England.</t>
  </si>
  <si>
    <t>bryan.cheang@kcl.ac.uk; hanniel@nus.edu.sg</t>
  </si>
  <si>
    <t>Cheang, Bryan/0000-0002-6598-4069</t>
  </si>
  <si>
    <t>0954-349X</t>
  </si>
  <si>
    <t>1873-6017</t>
  </si>
  <si>
    <t>STRUCT CHANGE ECON D</t>
  </si>
  <si>
    <t>Struct. Change and Econ. Dyn.</t>
  </si>
  <si>
    <t>10.1016/j.strueco.2023.07.007</t>
  </si>
  <si>
    <t>Economics</t>
  </si>
  <si>
    <t>Q7WC8</t>
  </si>
  <si>
    <t>WOS:001059581400001</t>
  </si>
  <si>
    <t>Chen, CX; Hao, Q; Cao, J; Xu, YY; Cheng, Y</t>
  </si>
  <si>
    <t>Chen, Chuanxun; Hao, Qun; Cao, Jie; Xu, Yingying; Cheng, Yang</t>
  </si>
  <si>
    <t>Two-dimensional varifocal scanning imaging based on Alvarez and decentred lenses actuated by dielectric elastomer</t>
  </si>
  <si>
    <t>Varifocal scanning; Two-dimensional; Dielectric elastomer; Alvarez lens; Decentred lens</t>
  </si>
  <si>
    <t>LIQUID MICROLENSES; VARIABLE-FOCUS; ZOOM; ENDOSCOPE</t>
  </si>
  <si>
    <t>A two-dimensional varifocal scanning imaging system has been employed broadly in various fields, such as biomedicine, holographic projection, and optical communication. As a core optical component of the aforementioned imaging system, the two-dimensional varifocal scanning element has intensively been investigated. Although many methods have been proposed for two-dimensional varifocal scanning imaging, they often suffer from several problems, such as small varifocal range, small scanning angle, bulky size, and slow response speed. This paper proposes a novel two-dimensional varifocal scanning element actuated by dielectric elastomer, which consists of two pairs of Alvarez lenses, and a pair of decentred lenses. By applying actuation voltages on the different quadrants of the dielectric elastomers, the two pairs of Alvarez lenses can be moved laterally to change the focal length and the pair of decentred lenses can be shifted to scan the imaging object in a two-dimension direction. The validity of the proposed two-dimensional varifocal scanning imaging is verified by the experiments. The results show that the focal length variation of the proposed two-dimensional varifocal scanning element is up to 3.75 times where the maximum and minimum focal lengths are 19.5 mm and 5.2 mm respectively. The maximum scanning angle is 14.18 degrees. The rise and fall response times are 124 ms and 203 ms, respectively. The proposed varifocal scanning element is expected to be used in the fields of microscopy, biomedicine, virtual reality, etc.</t>
  </si>
  <si>
    <t>[Chen, Chuanxun; Hao, Qun; Cao, Jie; Xu, Yingying; Cheng, Yang] Beijing Inst Technol, Minist Educ, Key Lab Biomimet Robots &amp; Syst, Beijing, Peoples R China; [Hao, Qun; Cao, Jie; Cheng, Yang] Beijing Inst Technol, Yangtze Delta Reg Acad, Jiaxing 314003, Peoples R China; [Hao, Qun] Changchun Univ Sci &amp; Technol, Sch Optoelect Engn, Changchun 130013, Peoples R China; [Xu, Yingying] Natl Inst Metrol, Beijing 100029, Peoples R China</t>
  </si>
  <si>
    <t>Beijing Institute of Technology; Beijing Institute of Technology; Changchun University of Science &amp; Technology; National Institute of Metrology China</t>
  </si>
  <si>
    <t>Cheng, Y (corresponding author), Beijing Inst Technol, Minist Educ, Key Lab Biomimet Robots &amp; Syst, Beijing, Peoples R China.;Cheng, Y (corresponding author), Beijing Inst Technol, Yangtze Delta Reg Acad, Jiaxing 314003, Peoples R China.</t>
  </si>
  <si>
    <t>yangcheng2007@163.com</t>
  </si>
  <si>
    <t>Cheng, Yang/0000-0003-1702-7122</t>
  </si>
  <si>
    <t>National Natural Science Foundation of China [62275017]; SongShan Laboratory Foundation [YYJC072022008]; National Key Research and Development Program [2022YFF0609500]; BIT Research and Innovation Promot-ing Project [2022YCXY034]</t>
  </si>
  <si>
    <t>National Natural Science Foundation of China(National Natural Science Foundation of China (NSFC)); SongShan Laboratory Foundation; National Key Research and Development Program; BIT Research and Innovation Promot-ing Project</t>
  </si>
  <si>
    <t>This work was funded by the National Natural Science Foundation of China (No.62275017) , SongShan Laboratory Foundation (No. YYJC072022008) , National Key Research and Development Program (No.2022YFF0609500) , and the BIT Research and Innovation Promot-ing Project (No. 2022YCXY034) .</t>
  </si>
  <si>
    <t>10.1016/j.optlastec.2023.109805</t>
  </si>
  <si>
    <t>P0VS4</t>
  </si>
  <si>
    <t>WOS:001047909200001</t>
  </si>
  <si>
    <t>Chen, G; Wang, M</t>
  </si>
  <si>
    <t>Chen, Guang; Wang, Min</t>
  </si>
  <si>
    <t>Stock market liberalization and earnings management: Evidence from the China-Hong Kong Stock Connects</t>
  </si>
  <si>
    <t>FINANCE RESEARCH LETTERS</t>
  </si>
  <si>
    <t>China-Hong Kong Stock Connects; Earnings management; Asymmetric information</t>
  </si>
  <si>
    <t>In this paper, we use the China-Hong Kong Stock Connects (the connects) as exogenous shocks of the liberalization of Chinese stock markets to examine the effects of the connects on firm earnings management. We find that the stock market liberalization of capital market significantly reduces firms' earnings management. The decrease of asymmetric information is the underlying driving force behind our findings. Overall, this study provides policy implication that the stock market liberalization reduces the earnings management.</t>
  </si>
  <si>
    <t>[Chen, Guang; Wang, Min] Nanjing Univ, Business Sch, Nanjing, Peoples R China</t>
  </si>
  <si>
    <t>Nanjing University</t>
  </si>
  <si>
    <t>Chen, G (corresponding author), Nanjing Univ, Business Sch, Nanjing, Peoples R China.</t>
  </si>
  <si>
    <t>DG1824879@163.com</t>
  </si>
  <si>
    <t>1544-6123</t>
  </si>
  <si>
    <t>1544-6131</t>
  </si>
  <si>
    <t>FINANC RES LETT</t>
  </si>
  <si>
    <t>Financ. Res. Lett.</t>
  </si>
  <si>
    <t>10.1016/j.frl.2023.104417</t>
  </si>
  <si>
    <t>Business, Finance</t>
  </si>
  <si>
    <t>S4PX0</t>
  </si>
  <si>
    <t>WOS:001071013700001</t>
  </si>
  <si>
    <t>Chen, J; Xie, PS; Dai, QY; Wu, PF; He, Y; Lin, Z; Cai, ZW</t>
  </si>
  <si>
    <t>Chen, Jing; Xie, Peisi; Dai, Qingyuan; Wu, Pengfei; He, Yu; Lin, Zian; Cai, Zongwei</t>
  </si>
  <si>
    <t>Spatial lipidomics and metabolomics of multicellular tumor spheroids using MALDI-2 and trapped ion mobility imaging</t>
  </si>
  <si>
    <t>Mass spectrometry imaging; Matrix-assisted laser desorption/ionization; (MALDI); MALDI combined with laser-induced postioni-zation; Multicellular tumor spheroids; Trapped ion mobility spectrometry</t>
  </si>
  <si>
    <t>MASS-SPECTROMETRY; IN-VIVO; CULTURE</t>
  </si>
  <si>
    <t>Lipids and metabolites are small biological molecules that act major roles in cellular functions. Multicellular tumor spheroids (MCTS) are a highly beneficial three-dimensional cellular model for cancer research due to their ability to imitate numerous characteristics of tumor tissues. Increasing studies have performed spatial lipidomics and metabolomics in MCTS using matrix-assisted laser desorption/ionization mass spectrometry imaging (MALDI-MSI). However, these approaches often lack the sensitivity and specificity to offer a comprehensive characterization of lipids and metabolites within MCTS. In this study, we addressed this challenge by utilizing MALDI combined with laser-induced postionization (MALDI-2) and trapped ion mobility spectrometry (TIMS) imaging in H295R adrenocortical MCTS. Our results showed that MALDI-2 could detect more lipids and me-tabolites in MCTS than the traditional MALDI. TIMS data revealed a successful separation of many isomeric and isobaric ions of lipids and metabolites with different locations (e.g., proliferative region and necrotic region) within MCTS, suggesting an enhanced peak capacity for spatial lipidomics and metabolomics. To further identify these isomeric and isobaric ions, we performed MS/MS imaging experiments to compare the differences in signal intensities and spatial distributions of product ions. Our data highlight the strong potential of MALDI-2 and TIMS imaging for analyzing lipids and metabolites in MCTS, which may serve as valuable tools for numerous fields of biological and medical research.</t>
  </si>
  <si>
    <t>[Chen, Jing; Xie, Peisi; He, Yu; Lin, Zian; Cai, Zongwei] Fuzhou Univ, Coll Chem, Fujian Prov Key Lab Anal &amp; Detect Food Safety, Minist Educ,Key Lab Analyt Sci Food Safety &amp; Biol, Fuzhou 350116, Fujian, Peoples R China; [Dai, Qingyuan; Wu, Pengfei; Cai, Zongwei] Hong Kong Baptist Univ, Dept Chem, State Key Lab Environm &amp; Biol Anal, Hong Kong, Peoples R China; [Wu, Pengfei] Nanjing Forestry Univ, Coll Forestry, Nanjing 210018, Jiangsu, Peoples R China; [Cai, Zongwei] Hong Kong Baptist Univ, Dept Chem, State Key Lab Environm &amp; Biol Anal, Kowloon, Hong Kong 999077, Peoples R China</t>
  </si>
  <si>
    <t>Fuzhou University; Hong Kong Baptist University; Nanjing Forestry University; Hong Kong Baptist University</t>
  </si>
  <si>
    <t>Cai, ZW (corresponding author), Hong Kong Baptist Univ, Dept Chem, State Key Lab Environm &amp; Biol Anal, Kowloon, Hong Kong 999077, Peoples R China.</t>
  </si>
  <si>
    <t>zwcai@hkbu.edu.hk</t>
  </si>
  <si>
    <t>Cai, Zongwei/0000-0002-8724-7684; Dai, Qingyuan/0000-0001-8331-8724</t>
  </si>
  <si>
    <t>National Natural Science Foundation of China [22276034, 22106130]; [22036001]</t>
  </si>
  <si>
    <t>Acknowledgments This work was supported by National Natural Science Foundation of China (22036001, 22276034 and 22106130) .</t>
  </si>
  <si>
    <t>DEC 1</t>
  </si>
  <si>
    <t>10.1016/j.talanta.2023.124795</t>
  </si>
  <si>
    <t>Q6AU4</t>
  </si>
  <si>
    <t>WOS:001058337400001</t>
  </si>
  <si>
    <t>Chen, JP; Qi, DD; Gao, Y; Sun, WT; Li, YC; Ding, CP; Ma, XJ</t>
  </si>
  <si>
    <t>Chen, Juping; Qi, Dandan; Gao, Yue; Sun, Wentao; Li, Yucheng; Ding, Changping; Ma, Xingjie</t>
  </si>
  <si>
    <t>ELAVL4 encoded RNA binding protein HuD controls skin cellular senescence through CDKN1A</t>
  </si>
  <si>
    <t>GENE REPORTS</t>
  </si>
  <si>
    <t>ELAVL4; Skin; Cellular senescence; SASP; CDKN1A</t>
  </si>
  <si>
    <t>CELLS; DISEASE</t>
  </si>
  <si>
    <t>Cellular senescence is described as a stable cell cycle arrest together with secretion of senescence-associated secretory phenotype (SASP) factors. Chronic accumulation of senescent cells in tissues has been revealed to be deleterious as it favors aging and a majority of age-related diseases. Interestingly, the recent discovery of senolytics prompted us to identify more specific senescence markers and to study its internal mechanisms. The ELAVL4 encoded RNA binding protein HuD has been shown to be implicated in some age-associated disorders and skin aging. However, little is known about the regulation of skin cellular senescence by ELAVL4. Here, in this study, we demonstrated that ELVAL4 was upregulated during therapy-induced senescence (TIS). In addition, ELVAL4 knockdown partially delayed the skin cellular senescence and SASP secretion triggered by doxorubicin. Moreover, stabilization of HuD by folic acid (FA) induced a skin cellular senescence phenotype through activating CDKN1A. Altogether, these data indicated that the ELAVL4 encoded HuD controls skin cellular senescence through regulating CDKN1A and thus identified ELAVL4 as a novel skin cellular senescence regulator.</t>
  </si>
  <si>
    <t>[Chen, Juping; Gao, Yue; Sun, Wentao; Ding, Changping; Ma, Xingjie] Yangzhou Univ, Affiliated Hosp, Dept Cent Lab, Yangzhou 225000, Peoples R China; [Qi, Dandan] Dalian Med Univ, Grad Sch, Dalian 116000, Peoples R China; [Chen, Juping] Yangzhou Univ, Affiliated Hosp, Dept Dermatol, Yangzhou 225000, Peoples R China; [Gao, Yue; Sun, Wentao] Yangzhou Univ, Sch Med, Dept Basic Med, Yangzhou 225000, Peoples R China; [Li, Yucheng; Ma, Xingjie] Yangzhou Univ, Affiliated Hosp, Dept Intens Care, Yangzhou 225000, Peoples R China; [Ding, Changping; Ma, Xingjie] 368 Hanjiang Rd, Yangzhou, Jiangsu, Peoples R China</t>
  </si>
  <si>
    <t>Yangzhou University; Dalian Medical University; Yangzhou University; Yangzhou University; Yangzhou University</t>
  </si>
  <si>
    <t>Ding, CP; Ma, XJ (corresponding author), 368 Hanjiang Rd, Yangzhou, Jiangsu, Peoples R China.</t>
  </si>
  <si>
    <t>493422137@qq.com; xingjie.ma@yzu.edu.cn</t>
  </si>
  <si>
    <t>National Natural Science Foundation of China [20KJB180003]; Jiangsu University of Basic Science (Natural Science) Research Project [Z2020002]; Scientific Research Project of Jiangsu Commission of Health; [32000509]</t>
  </si>
  <si>
    <t>National Natural Science Foundation of China(National Natural Science Foundation of China (NSFC)); Jiangsu University of Basic Science (Natural Science) Research Project; Scientific Research Project of Jiangsu Commission of Health;</t>
  </si>
  <si>
    <t>This work was supported by the National Natural Science Foundation of China (32000509) , Jiangsu University of Basic Science (Natural Science) Research Project (20KJB180003) , and the Scientific Research Project of Jiangsu Commission of Health (Z2020002) to X.M.</t>
  </si>
  <si>
    <t>2452-0144</t>
  </si>
  <si>
    <t>GENE REP</t>
  </si>
  <si>
    <t>Gene Rep.</t>
  </si>
  <si>
    <t>10.1016/j.genrep.2023.101823</t>
  </si>
  <si>
    <t>Genetics &amp; Heredity</t>
  </si>
  <si>
    <t>Q7RX6</t>
  </si>
  <si>
    <t>WOS:001059470200001</t>
  </si>
  <si>
    <t>Chen, KK; Dong, XJ; Gao, PL; Zhang, JY; Sun, YT; Tu, GW; Peng, ZK</t>
  </si>
  <si>
    <t>Chen, Kangkang; Dong, Xingjian; Gao, Penglin; Zhang, Jinyu; Sun, Yongtao; Tu, Guowei; Peng, Zhike</t>
  </si>
  <si>
    <t>Multifunctional applications of topological valley-locked elastic waves</t>
  </si>
  <si>
    <t>INTERNATIONAL JOURNAL OF MECHANICAL SCIENCES</t>
  </si>
  <si>
    <t>Elastic waves; Valley-locked waveguide; Signal splitters; Energy concentrators; Logical gates</t>
  </si>
  <si>
    <t>Topological valley metamaterial in classical wave systems has shown great potential for manipulating electromagnetic, acoustic, and elastic waves due to the defect-immune and lossless energy properties. The application prospects of topological valley material on signal processing, structural damage detection, and energy harvesting are worth exploring further. In this study, we combine the valley Hall effect and the tunneling effect of local resonant metamaterials to reveal some novel coupling transport phenomena in elastic systems. Some potential applications are explored experimentally and numerically. First, we implement a low-frequency (&lt;1 kHz) valley locked waveguide in heterostructures based on the topological valley edge state of the local resonant meta material. The robustness of the topological valley-locked waveguide under wide valley-locked layers, impurities, disorder, and bends is verified. Next, we introduce tunneling phenomena into the topological valley-locked waveguide, enabling the realization of an on-off controllable heterojunction by sandwiching crystals with different Dirac cones. The difference between the transmission characteristics of valley-locked waveguides under different tunneling layers (potential barrier and well) is revealed. Finally, we explore potential applications such as signal splitters, energy concentrators, and logical gates, both numerically and experimentally. Beyond the presented applications, this research has promising application prospects for vibration signal processing and high-performance energy harvesting.</t>
  </si>
  <si>
    <t>[Chen, Kangkang; Dong, Xingjian; Gao, Penglin; Zhang, Jinyu; Peng, Zhike] Shanghai Jiao Tong Univ, State Key Lab Mech Syst &amp; Vibrat, Shanghai 200240, Peoples R China; [Sun, Yongtao] Tianjin Univ, Dept Mech, Tianjin 300350, Peoples R China; [Sun, Yongtao] Tianjin Univ, Tianjin Key Lab Nonlinear Dynam &amp; Control, Tianjin 300350, Peoples R China; [Tu, Guowei] Univ Michigan, Dept Civil &amp; Environm Engn, Ann Arbor, MI 48109 USA; [Peng, Zhike] Ningxia Univ, Sch Mech Engn, Yinchuan 750021, Peoples R China</t>
  </si>
  <si>
    <t>Shanghai Jiao Tong University; Tianjin University; Tianjin University; University of Michigan System; University of Michigan; Ningxia University</t>
  </si>
  <si>
    <t>Dong, XJ (corresponding author), Shanghai Jiao Tong Univ, State Key Lab Mech Syst &amp; Vibrat, Shanghai 200240, Peoples R China.;Sun, YT (corresponding author), Tianjin Univ, Dept Mech, Tianjin 300350, Peoples R China.;Sun, YT (corresponding author), Tianjin Univ, Tianjin Key Lab Nonlinear Dynam &amp; Control, Tianjin 300350, Peoples R China.</t>
  </si>
  <si>
    <t>donxij@sjtu.edu.cn; ytsun@tju.edu.cn</t>
  </si>
  <si>
    <t>National Natural Science Foundation of China [12272219, 12121002]</t>
  </si>
  <si>
    <t>This project is supported by the National Natural Science Foundation of China (Grant Nos. 12272219 and 12121002) . We thank Dr. Nan Gao for her helpful guidance.</t>
  </si>
  <si>
    <t>0020-7403</t>
  </si>
  <si>
    <t>1879-2162</t>
  </si>
  <si>
    <t>INT J MECH SCI</t>
  </si>
  <si>
    <t>Int. J. Mech. Sci.</t>
  </si>
  <si>
    <t>10.1016/j.ijmecsci.2023.108589</t>
  </si>
  <si>
    <t>Engineering, Mechanical; Mechanics</t>
  </si>
  <si>
    <t>Engineering; Mechanics</t>
  </si>
  <si>
    <t>P1YS8</t>
  </si>
  <si>
    <t>WOS:001048673800001</t>
  </si>
  <si>
    <t>Chen, KY; Xing, S; Shi, HL; Tang, Y; Yang, MX; Gu, Q; Li, YM; Zhang, J; Ji, BM</t>
  </si>
  <si>
    <t>Chen, Keyu; Xing, Sen; Shi, Hailan; Tang, Yu; Yang, Mingxin; Gu, Qiang; Li, Yaoming; Zhang, Jing; Ji, Baoming</t>
  </si>
  <si>
    <t>Long-term fencing can't benefit plant and microbial network stability of alpine meadow and alpine steppe in Three-River-Source National Park</t>
  </si>
  <si>
    <t>Long-term fencing; Soil bacteria; Soil fungi; Plant community stability; Microbial network stability; Three-River-Source National Park</t>
  </si>
  <si>
    <t>GRAZING EXCLUSION; SOIL PROPERTIES; BACTERIAL COMMUNITY; ORGANIC-MATTER; INNER-MONGOLIA; CARBON STORAGE; DIVERSITY; GRASSLAND; DYNAMICS; MECHANISMS</t>
  </si>
  <si>
    <t>A great number of fencing facilities has been established in Three-River-Source National Park. However, with the transformation of wild animals into the main consumers of grassland ecosystem and the increasing years of fence (&gt;15 years), whether the fence still has a positive effect on grassland ecosystem has become controversial. Therefore, taking the alpine steppe and alpine meadow in Three-River-Source National Park as the case study, this study focused on the effects of long-term enclosure on different ecological components by investigating plant communities, soil physical and chemical characteristics and soil microbial characteristics (16S, ITS). Furthermore, we evaluated the ecological benefits of long-term fencing based on the stability of plant communities and microbial networks. We found that fencing did not significantly promote the stability of plant community in different grassland types. The analysis of bacteria-fungal symbiotic network indicated that fencing significantly reduced the stability of soil microbial network in alpine meadows. The results of structural equation showed that the microbial community was indirectly affected by the changes of soil moisture content (SMC) and soil total nutrient content in the alpine steppe, and the stability of microbial network was significantly correlated with the diversity of fungal community. In alpine meadows, fencing indirectly affected soil microbial community by changing SMC and pH. High SMC was not conducive to microbial network stability, while high plant community stability was beneficial to microbial network stability. Network stability was remarkably related to bacterial community composition and diversity, as well as fungal community diversity. Therefore, in Three-River-Source</t>
  </si>
  <si>
    <t>[Chen, Keyu; Xing, Sen; Shi, Hailan; Tang, Yu; Yang, Mingxin; Li, Yaoming; Zhang, Jing; Ji, Baoming] Beijing Forestry Univ, Sch Grassland Sci, Beijing 100083, Peoples R China; [Yang, Mingxin; Gu, Qiang] China Geol Survey, Xining Nat Resources Comprehens Survey Ctr, Xining, Peoples R China</t>
  </si>
  <si>
    <t>Beijing Forestry University; China Geological Survey</t>
  </si>
  <si>
    <t>Zhang, J; Ji, BM (corresponding author), Beijing Forestry Univ, Sch Grassland Sci, Beijing 100083, Peoples R China.</t>
  </si>
  <si>
    <t>18161224680@163.com; zhangjing_2019@bjfu.edu.cn; baomingji@bjfu.edu.cn</t>
  </si>
  <si>
    <t>Special Program for the Institute of National Parks, Chinese Academy Sciences [KFJ-STS-ZDTP2021-003]; Second Tibetan Plateau Scientific Expedition and Research (STEP) program [2019QZKK0304]</t>
  </si>
  <si>
    <t>Special Program for the Institute of National Parks, Chinese Academy Sciences; Second Tibetan Plateau Scientific Expedition and Research (STEP) program</t>
  </si>
  <si>
    <t>This study was financially supported by the Special Program for the Institute of National Parks, Chinese Academy Sciences (KFJ-STS-ZDTP2021-003) and the Second Tibetan Plateau Scientific Expedition and Research (STEP) program (2019QZKK0304) .</t>
  </si>
  <si>
    <t>10.1016/j.scitotenv.2023.166076</t>
  </si>
  <si>
    <t>R7OO6</t>
  </si>
  <si>
    <t>WOS:001066213400001</t>
  </si>
  <si>
    <t>Chen, ZX; Xu, J; Wan, MM; Tian, JD</t>
  </si>
  <si>
    <t>Chen, Zhenxi; Xu, Jie; Wan, Mingming; Tian, Jindong</t>
  </si>
  <si>
    <t>Monocular 3D-trajectory reconstruction using models-driven weakly supervised learning</t>
  </si>
  <si>
    <t>OPTICS AND LASERS IN ENGINEERING</t>
  </si>
  <si>
    <t>Monocular 3D vision; Models-driven; Weakly supervised learning; Welding spatters; 3D-trajectory reconstruction</t>
  </si>
  <si>
    <t>CLASSIFICATION</t>
  </si>
  <si>
    <t>Neural networks have demonstrated remarkable success in various computer vision tasks, offering benefits such as self-learning, self-organization, and self-adaptation. To maintain these advantages, a high-quality labeled dataset is essential. However, obtaining such a dataset is particularly challenging in monocular threedimensional (3D) tracking of transient objects, like welding spatters, which are so complex that no single model can accurately describe them simultaneously. To address the label acquisition issue in this transient process, we introduce a models-driven weakly supervised learning (MsWSL) approach which is achieved by integrating diverse scopes of multiple models and generating multiple labels for weakly supervised learning. The MsWSL is incorporated into a combination of a feature image transformer encoder and a multilayer perceptron with multiple inputs, enhancing the network's ability to automatically adjust the model and adaptively learn the most suitable label. In the experiments on welding spatters, results from MsWSL show better performance than those from individual models, validating the effectiveness and superiority of MsWSL. We believe that the proposed MsWSL will have broader significant applications in monocular 3D-trajectory reconstruction for multiple, intricate, unrepeatable, and transient objects.</t>
  </si>
  <si>
    <t>[Chen, Zhenxi; Tian, Jindong] Shenzhen Univ, Coll Phys &amp; Optoelect Engn, Shenzhen 518060, Peoples R China; [Xu, Jie; Wan, Mingming; Tian, Jindong] Guangdong Lab Artificial Intelligence &amp; Digital Ec, Shenzhen 518000, Peoples R China</t>
  </si>
  <si>
    <t>Shenzhen University; Guangming Laboratory</t>
  </si>
  <si>
    <t>Tian, JD (corresponding author), Shenzhen Univ, Coll Phys &amp; Optoelect Engn, Shenzhen 518060, Peoples R China.;Tian, JD (corresponding author), Guangdong Lab Artificial Intelligence &amp; Digital Ec, Shenzhen 518000, Peoples R China.</t>
  </si>
  <si>
    <t>jindt@szu.edu.cn</t>
  </si>
  <si>
    <t>National Natural Science Foundation of China [62005175, 61727814, 62075140]</t>
  </si>
  <si>
    <t>This research was supported by National Natural Science Foundation of China (62075140, 62005175, 61727814) .</t>
  </si>
  <si>
    <t>0143-8166</t>
  </si>
  <si>
    <t>1873-0302</t>
  </si>
  <si>
    <t>OPT LASER ENG</t>
  </si>
  <si>
    <t>Opt. Lasers Eng.</t>
  </si>
  <si>
    <t>10.1016/j.optlaseng.2023.107798</t>
  </si>
  <si>
    <t>Optics</t>
  </si>
  <si>
    <t>R7TD3</t>
  </si>
  <si>
    <t>WOS:001066334100001</t>
  </si>
  <si>
    <t>Cholvi, V; Anta, AF; Georgiou, C; Nicolaou, N; Raynal, M; Russo, A</t>
  </si>
  <si>
    <t>Cholvi, Vicent; Anta, Antonio Fernandez; Georgiou, Chryssis; Nicolaou, Nicolas; Raynal, Michel; Russo, Antonio</t>
  </si>
  <si>
    <t>Atomic Appends in Asynchronous Byzantine Distributed Ledgers</t>
  </si>
  <si>
    <t>JOURNAL OF PARALLEL AND DISTRIBUTED COMPUTING</t>
  </si>
  <si>
    <t>Atomic Appends; Asynchrony; Blockchain; Byzantine Fault Tolerance; Distributed Ledger Object</t>
  </si>
  <si>
    <t>A Distributed Ledger Object (DLO) is a concurrent object that maintains a totally ordered sequence of records. In this work we formalize a linearizable Byzantine-tolerant Distributed Ledger Object (BDLO), which is a linearizable DLO where clients and servers processes may deviate arbitrarily from their intended behavior (i.e. they may be Byzantine). The proposed formal definition is accompanied by algorithms that implement BDLOs on top of an underlying Byzantine Atomic Broadcast service.Then we develop a suite of algorithms, based on the previous BDLO implementations, that solve the Atomic Appends problem in the presence of asynchrony, Byzantine clients and Byzantine servers. This problem occurs when clients have a composite record (set of basic records) to append to different BDLOs, in such a way that either each basic record is appended to its BDLO (and this must occur in good circumstances), or no basic record is appended. Distributed algorithms are presented, which solve the Atomic Appends problem when the clients (involved in the Atomic Appends) and the servers (which maintain the BDLOs) may be Byzantine. Finally we provide proof of concept implementations and an experimental evaluation of the presented algorithms.&amp; COPY; 2023 Elsevier Inc. All rights reserved.</t>
  </si>
  <si>
    <t>[Cholvi, Vicent] Univ Jaume 1, Castellon de La Plana, Spain; [Anta, Antonio Fernandez; Russo, Antonio] IMDEA Networks Inst, Leganes, Spain; [Georgiou, Chryssis] Univ Cyprus, Dept Comp Sci, Nicosia, Cyprus; [Nicolaou, Nicolas] Algolysis Ltd, Lemesos, Cyprus; [Raynal, Michel] France &amp; PolyU, IRISA, Hong Kong, Peoples R China; [Russo, Antonio] Univ Carlos III Madrid, Madrid, Spain</t>
  </si>
  <si>
    <t>Universitat Jaume I; IMDEA Networks Institute; University of Cyprus; Universidad Carlos III de Madrid</t>
  </si>
  <si>
    <t>Georgiou, C (corresponding author), Univ Cyprus, Dept Comp Sci, Nicosia, Cyprus.</t>
  </si>
  <si>
    <t>vcholvi@uji.es; antonio.fernandez@imdea.org; chryssis@ucy.ac.cy; nicolas@algolysis.com; michel.raynal@irisa.fr; antonio@antoniorusso.me</t>
  </si>
  <si>
    <t>Regional Government of Madrid (CM) (FSE FEDER) [EdgeData-CM - P2018/TCS4499]; Spanish Ministry of Science and Innovation (FEDER) [PID2019-109805RB-I00, PDC2021-121836-I00, PRX18/000163]</t>
  </si>
  <si>
    <t>Regional Government of Madrid (CM) (FSE FEDER); Spanish Ministry of Science and Innovation (FEDER)(European Union (EU)Spanish Government)</t>
  </si>
  <si>
    <t>This work has been partially supported by the Regional Government of Madrid (CM) grant EdgeData-CM - P2018/TCS4499 (cofunded by FSE &amp; FEDER) and the Spanish Ministry of Science and Innovation grants ECID (PID2019-109805RB-I00) DiscoLedger (PDC2021-121836-I00) and PRX18/000163 (cofunded by FEDER). A preliminary version of this work has appeared in the Proceedings of the 16th European Dependable Computing Conference (EDCC 2020).</t>
  </si>
  <si>
    <t>0743-7315</t>
  </si>
  <si>
    <t>1096-0848</t>
  </si>
  <si>
    <t>J PARALLEL DISTR COM</t>
  </si>
  <si>
    <t>J. Parallel Distrib. Comput.</t>
  </si>
  <si>
    <t>10.1016/j.jpdc.2023.104748</t>
  </si>
  <si>
    <t>Computer Science, Theory &amp; Methods</t>
  </si>
  <si>
    <t>R3XW7</t>
  </si>
  <si>
    <t>WOS:001063723300001</t>
  </si>
  <si>
    <t>Chopin, F; Lepretre, R; El Houicha, M; Schulmann, K; Mikova, J; Barbarand, J; Chebli, R</t>
  </si>
  <si>
    <t>Chopin, Francis; Lepretre, Remi; El Houicha, Mohamed; Schulmann, Karel; Mikova, Jitka; Barbarand, Jocelyn; Chebli, Ryma</t>
  </si>
  <si>
    <t>U-Pb geochronology of Variscan granitoids from the Moroccan Meseta (Northwest Africa): Tectonic implications (vol 117, pg 274, 2023)</t>
  </si>
  <si>
    <t>Correction</t>
  </si>
  <si>
    <t>[Chopin, Francis; Schulmann, Karel; Chebli, Ryma] Univ Strasbourg, CNRS, ITES, UMR 7063, 5 Rue Rene Descartes, F-67084 Strasbourg, France; [Chopin, Francis; Schulmann, Karel; Chebli, Ryma] Czech Geol Survey, Ctr Lithospher Res, Klarov 3, Prague 11821, Czech Republic; [Lepretre, Remi] CY Cergy Paris Univ, Dept Geosci &amp; Environm GEC, 1 Rue Descartes,Oise, F-95000 Neuville, France; [El Houicha, Mohamed] Univ Chouaib Doukkali, Fac Sci, Dept Geol LGG, BP20, El Jadida 24000, Morocco; [Mikova, Jitka] Labs Czech Geol Survey, Geol 6, Prague, Czech Republic; [Barbarand, Jocelyn] Univ Paris Saclay, CNRS, GEOPS, UMR 8148, Rue Belvedere, F-91405ORSAY Orsay, France</t>
  </si>
  <si>
    <t>Centre National de la Recherche Scientifique (CNRS); UDICE-French Research Universities; Universites de Strasbourg Etablissements Associes; Universite de Strasbourg; Czech Geological Survey; CY Cergy Paris Universite; Chouaib Doukkali University of El Jadida; Centre National de la Recherche Scientifique (CNRS); UDICE-French Research Universities; Universite Paris Saclay</t>
  </si>
  <si>
    <t>Chopin, F (corresponding author), Univ Strasbourg, CNRS, ITES, UMR 7063, 5 Rue Rene Descartes, F-67084 Strasbourg, France.;Chopin, F (corresponding author), Czech Geol Survey, Ctr Lithospher Res, Klarov 3, Prague 11821, Czech Republic.</t>
  </si>
  <si>
    <t>f.chopin@unistra.fr</t>
  </si>
  <si>
    <t>10.1016/j.gr.2023.06.016</t>
  </si>
  <si>
    <t>O9OH3</t>
  </si>
  <si>
    <t>WOS:001047034500001</t>
  </si>
  <si>
    <t>Costantini, M; Zoli, M; Ceruti, M; Crudele, R; Guarino, M; Bacenetti, J</t>
  </si>
  <si>
    <t>Costantini, Michele; Zoli, Michele; Ceruti, Matteo; Crudele, Rebecca; Guarino, Marcella; Bacenetti, Jacopo</t>
  </si>
  <si>
    <t>Environmental effect of improved forage fertilization practices in the beef production chain</t>
  </si>
  <si>
    <t>Life cycle assessment; Fertilizers; Anaerobic digestion; Mitigation; Livestock</t>
  </si>
  <si>
    <t>LIFE-CYCLE ASSESSMENT; IMPACT ASSESSMENT; MAIZE SILAGE; SYSTEMS; EMISSIONS; FEED; FOOTPRINT; LCA</t>
  </si>
  <si>
    <t>Feeding is one of the most important factors influencing production efficiency and the environmental impact of livestock production. This study evaluates the possibility of reducing the impact of beef cattle production by optimizing the fertilization management of home-grown forage on the same farms. To this end, two scenarios were compared on two beef cattle farms in northern Italy, a baseline scenario (BS) and a scenario with optimized management (OMS) in terms of nitrogen fertilizer use.The cradle-to-gate LCA (Life Cycle Assessment) approach was used to compare the environmental performances in the different scenarios. Two different functional units (1 t dry matter of forage self-produced and 1 kg live weight of beef cattle produced) were used to express the results in relation to different stages of the supply chain. Inventory data were translated into indicators to reflect environmental pressures as well as resource scarcity by means of the ReCiPe 2016 Midpoint (H) method. The reduction of synthetic nitrogen fertilization, particularly during top fertilization, maintain yields at satisfactory levels while substantially reducing most of the evaluated impacts (e.g., Climate change from 17 % to 23 %). On the other hand, trade-offs among the different impact categories can be identified (e.g., terrestrial acidification grows up to 52 % for wheat silage).The optimization of the fertilization also involves a reduction in the impact of the feed as a whole and then of the beef cattle produced, even though the increasing number of external inputs, not affected by best fertilization practices, for each of these two phases leads to increasingly smaller reductions in impact. Ultimately, the optimization of internal crop production practices is important from an environmental point of view for farms but</t>
  </si>
  <si>
    <t>[Costantini, Michele; Zoli, Michele; Guarino, Marcella; Bacenetti, Jacopo] Univ Milan, Dept Environm Sci &amp; Policy, via Giovanni Celoria 2, I-20133 Milan, Italy; [Ceruti, Matteo] Corteva Agrisci Italia Srl, via Comizi Agrari 10, I-26100 Cremona, Italy; [Crudele, Rebecca] INALCA SpA, via Spilamberto 30-C, I-41014 Castelvetro Di Modena, Italy</t>
  </si>
  <si>
    <t>University of Milan</t>
  </si>
  <si>
    <t>Zoli, M; Bacenetti, J (corresponding author), Univ Milan, Dept Environm Sci &amp; Policy, via Giovanni Celoria 2, I-20133 Milan, Italy.</t>
  </si>
  <si>
    <t>michele.zoli@unimi.it; jacopo.bacenetti@unimi.it</t>
  </si>
  <si>
    <t>10.1016/j.scitotenv.2023.166166</t>
  </si>
  <si>
    <t>R0VQ4</t>
  </si>
  <si>
    <t>WOS:001061610400001</t>
  </si>
  <si>
    <t>Dias, JJ; Carvalho, ID; Buscalioni, AD; Umamaheswaran, R; Lopez-Archilla, AI; Prado, G; de Andrade, JAFG</t>
  </si>
  <si>
    <t>Dias, Jaime Joaquim; Carvalho, Ismar de Souza; Buscalioni, angela Delgado; Umamaheswaran, Raman; Lopez-Archilla, Ana Isabel; Prado, Gustavo; de Andrade, Jose Artur Ferreira Gomes</t>
  </si>
  <si>
    <t>Mayfly larvae preservation from the Early Cretaceous of Brazilian Gondwana: Analogies with modern mats and other Lagerstatten</t>
  </si>
  <si>
    <t>Crato formation; Early Cretaceous; La Huerguina formation; Yixian formation; Vermelha lagoon</t>
  </si>
  <si>
    <t>RIO-DE-JANEIRO; ARARIPE BASIN; MICROBIAL MATS; CRATO FORMATION; YIXIAN FORMATION; TAPHONOMY; GENUS; EPHEMEROPTERA; INSECTA; TISSUE</t>
  </si>
  <si>
    <t>The Crato Formation paleoentomofauna is noticeable for its high abundance, diversity and morphological fidelity, so the preservational approach of the Ephemeroptera larvae fossils becomes relevant, since they are aquatic insects living in a lacustrine environment of one of the major terrestrial ecosystems of the Early Cretaceous in the Gondwana supercontinent. The mayfly larvae fossils were analyzed under a stere-omicroscope and a scanning electron microscope with coupled x-ray spectroscopy (SEM/EDX) for mor-phological, textural and geochemical purposes. The microfabric analysis confirms the most recent hypothesis that the main factor responsible for the preservation of the Crato Formation fossils was the influence of the microbial mats on the fossilization process. The microscopic signatures left by the mats occur in the insect's cuticle and internal parts, represented by micro cracks and wrinkles, micro spheres, filaments and mineralized EPS. These features have been compared in light with deposits containing Quaternary microbial mats in the Vermelha Lagoon and its associated salt pans, in Brazil. Also, we dis-cussed our results with taphonomic data of other mayfly larvae fossils from the Lagerstatten La Huerguina (Spain) and Yixian (China) Formations, specifically in relation to the taphonomic settings regarding these Early Cretaceous ephemeropterans. This study corroborates to the idea of the fundamen-tal role of the microbial mats in the exquisite preservation of the Crato Formation invertebrate fossils, with an approach that permits some fundamental paleoenvironmental and paleoclimatic inferences for the Aptian of the Araripe Basin, in Brazil.&amp; COPY; 2023 International Association for Gondwana Research. Published by Elsevier B.V. All rights reserved.</t>
  </si>
  <si>
    <t>[Dias, Jaime Joaquim; Carvalho, Ismar de Souza] Univ Fed Rio de Janeiro, Ctr Ciencias Matemat &amp; Nat, Dept Geol, Inst Geociencias, J2-21, Cidade Univ Ilha Fundao, Rio De Janeiro BR-21949900B, Brazil; [Carvalho, Ismar de Souza] Univ Coimbra, Ctr Geociencias, Rua Silvio Lima, P-3030790 Coimbra, Portugal; [Buscalioni, angela Delgado] Univ Autonoma Madrid, Dept Biol, Calle Darwin 2, Madrid 28049, Spain; [Buscalioni, angela Delgado; Lopez-Archilla, Ana Isabel] Univ Autonoma Madrid, Ctr integrac Paleobiol CIPb UAM, Calle Darwin 2, Madrid 28049, Spain; [Umamaheswaran, Raman] Indian Inst Technol, Dept Earth Sci, Mumbai 400076, India; [Lopez-Archilla, Ana Isabel] Univ Autonoma Madrid, Dept Ecol, Calle Darwin 2, Madrid 28049, Spain; [Prado, Gustavo] Univ Sao Paulo, Inst Geociencias, Rua Lago 562, BR-05508080 Sao Paulo, SP, Brazil; [de Andrade, Jose Artur Ferreira Gomes] gAgencia Nacl Mineragao, Praga Se 105, Crato BR-63110440B, CE, Brazil</t>
  </si>
  <si>
    <t>Universidade Federal do Rio de Janeiro; Universidade de Coimbra; Autonomous University of Madrid; Autonomous University of Madrid; Indian Institute of Technology System (IIT System); Indian Institute of Technology (IIT) - Bombay; Autonomous University of Madrid; Universidade de Sao Paulo</t>
  </si>
  <si>
    <t>Dias, JJ (corresponding author), Univ Fed Rio de Janeiro, Ctr Ciencias Matemat &amp; Nat, Dept Geol, Inst Geociencias, J2-21, Cidade Univ Ilha Fundao, Rio De Janeiro BR-21949900B, Brazil.</t>
  </si>
  <si>
    <t>ismar@geologia.ufrj.br; ismar@geologia.ufrj.br</t>
  </si>
  <si>
    <t>Fundacao Carlos Chagas Filho de Amparo a Pesquisa do Estado do Rio de Janeiro (FAPERJ) [E-26/200.828/2021]; Coordenacao de Aperfeicoamento de Pessoa de Nivel Superior (CAPES) [88887.481076/2020-00]; Conselho Nacional de Desenvolvimento Cientifico e Tecnologico (CNPq) [808596/2016-3, 141216/2020-74]; Alianza 4 Universidades (Erasmus + KA107 International Mobility Programme); Spanish Ministerio de Ciencias y Tecnologia [PID2019-105546GB-I00]; Junta de Comunidades de Castilla - La Mancha</t>
  </si>
  <si>
    <t>Fundacao Carlos Chagas Filho de Amparo a Pesquisa do Estado do Rio de Janeiro (FAPERJ)(Fundacao Carlos Chagas Filho de Amparo a Pesquisa do Estado do Rio De Janeiro (FAPERJ)); Coordenacao de Aperfeicoamento de Pessoa de Nivel Superior (CAPES)(Coordenacao de Aperfeicoamento de Pessoal de Nivel Superior (CAPES)); Conselho Nacional de Desenvolvimento Cientifico e Tecnologico (CNPq)(Conselho Nacional de Desenvolvimento Cientifico e Tecnologico (CNPQ)); Alianza 4 Universidades (Erasmus + KA107 International Mobility Programme); Spanish Ministerio de Ciencias y Tecnologia; Junta de Comunidades de Castilla - La Mancha(Junta de Comunidades de Castilla-La Mancha)</t>
  </si>
  <si>
    <t>The authors are grateful to Irma T. Yamamoto, head of the paleontological division of the Agencia Nacional de Mineracao (ANM) , for assistance in the authorization for collecting fossils in the Araripe Basin (ANM Process n degrees 000.794/2015) . We also thank Luiz C. Bertolino (Setor de Caracterizacao Tecnologica/CETEM, Rio de Janeiro, Brazil) for helping with MEV/EDX analysis, Gabe Henrique Rodrigues for the statistical survey of the mayfly fossils in the Macrofossil Collection (IGEO/UFRJ) , Pedro Proenca Cunha (Universidade de Coimbra, Portugal) for the discussions in the field for the Vermelha Lagoon, and Flavia Alessandra Figueiredo, Penelope Bosio and Rone Pacheco Ribeiro for their collection management in the Macrofossil Collection (IGEO/UFRJ) . We also would like to thank the editors Ian Somerville and M. Santosh, and the anonymous reviewers for the valuable revisions that improved this manuscript. The financial support was provided by Fundacao Carlos Chagas Filho de Amparo a Pesquisa do Estado do Rio de Janeiro (FAPERJ E-26/200.828/2021) , Coordenacao de Aperfeicoamento de Pessoa de Nivel Superior (CAPES 88887.481076/2020-00) , Conselho Nacional de Desenvolvimento Cientifico e Tecnologico (CNPq 808596/2016-3 and 141216/2020-74) and Alianza 4 Universidades (Erasmus + KA107 International Mobility Programme) . The Las Hoyas funding is provided by the Spanish Ministerio de Ciencias y Tecnologia, Project number PID2019-105546GB-I00, and Junta de Comunidades de Castilla - La Mancha.</t>
  </si>
  <si>
    <t>10.1016/j.gr.2023.07.007</t>
  </si>
  <si>
    <t>O9OC7</t>
  </si>
  <si>
    <t>WOS:001047029900001</t>
  </si>
  <si>
    <t>Dobo, Z; Dinh, T; Kulcsar, T</t>
  </si>
  <si>
    <t>Dobo, Zsolt; Dinh, Truong; Kulcsar, Tibor</t>
  </si>
  <si>
    <t>A review on recycling of spent lithium-ion batteries</t>
  </si>
  <si>
    <t>ENERGY REPORTS</t>
  </si>
  <si>
    <t>Lithium-ion batteries; Waste management; Recycling processes; Hydrometallurgy; Pyrometallurgy; Direct recycling</t>
  </si>
  <si>
    <t>CLOSED-LOOP PROCESS; IRON PHOSPHATE BATTERIES; CATHODIC ACTIVE MATERIALS; ORGANIC CITRIC-ACID; HIGH VALUE METALS; VALUABLE METALS; HYDROMETALLURGICAL PROCESS; SELECTIVE EXTRACTION; THERMAL-TREATMENT; LEACH LIQUOR</t>
  </si>
  <si>
    <t>Lithium-ion batteries (LIBs) with high power density are commonly used in electric vehicles and portable electronic devices. Their applications have been soaring in recent years resulting in an increasing number of used LIBs. Spent LIBs containing heavy metals and toxic hazardous are becoming a severe threat to the environment and human health which must be addressed properly. Recycling is an option for end-of-life LIBs, which not only prevents the pollution of toxic components but also saves natural sources. This paper introduces battery structures and gives an overview of the current state of waste LIBs and their recycling status. Moreover, recent advancements in hydrometallurgy, pyrometallurgy, and direct recycling at both research and industrial levels are deeply analyzed. This document can serve as a useful reference resource for researchers or engineers, who might profit from applying the concept to the examples summarized in the comprehensive review paper. &amp; COPY; 2023 The Author(s). Published by Elsevier Ltd. This is an open access article under the CC BY-NC-ND license (http://creativecommons.org/licenses/by-nc-nd/4.0/).</t>
  </si>
  <si>
    <t>[Dobo, Zsolt; Dinh, Truong] Univ Miskolc, Inst Energy Ceram &amp; Polymer Technol, H-3515 Miskolc, Egyetemvaros, Hungary; [Kulcsar, Tibor] Met Shredder Hungary Zrt, Hegymester 62, H-9012 Gyor, Hungary</t>
  </si>
  <si>
    <t>University of Miskolc</t>
  </si>
  <si>
    <t>Dobo, Z (corresponding author), Univ Miskolc, Inst Energy Ceram &amp; Polymer Technol, H-3515 Miskolc, Egyetemvaros, Hungary.</t>
  </si>
  <si>
    <t>zsolt.dobo@uni-miskolc.hu</t>
  </si>
  <si>
    <t>2352-4847</t>
  </si>
  <si>
    <t>ENERGY REP</t>
  </si>
  <si>
    <t>Energy Rep.</t>
  </si>
  <si>
    <t>10.1016/j.egyr.2023.05.264</t>
  </si>
  <si>
    <t>Energy &amp; Fuels</t>
  </si>
  <si>
    <t>P9TS9</t>
  </si>
  <si>
    <t>WOS:001054039000001</t>
  </si>
  <si>
    <t>Dong, J; Jiang, JF; Wang, Y; Huang, MJ; Liu, YZ; Zhang, Y</t>
  </si>
  <si>
    <t>Dong, Jian; Jiang, Jufu; Wang, Ying; Huang, Minjie; Liu, Yingze; Zhang, Ying</t>
  </si>
  <si>
    <t>Effect of Ti and Sr on the microstructure and mechanical properties of Al-12Si-4.5Cu-2Ni alloy</t>
  </si>
  <si>
    <t>MATERIALS LETTERS</t>
  </si>
  <si>
    <t>Metals and alloys; Microstructure; Mechanical properties; Stacking faults; Fracture</t>
  </si>
  <si>
    <t>ALUMINUM</t>
  </si>
  <si>
    <t>The effect of Ti and Sr on the microstructure and mechanical properties of Al-Si-Cu-Ni alloy was studied. Research showd that the addition of 0.1% Ti and 0.02% Sr significantly reduced grain size and changed the morphology of eutectic Si. Sr promoted the formation of stacking faults and nano-Al2Cu. The strength and plasticity were significantly increased with ultimate tensile strength, yield strength and elongation being 239.6 MPa, 140.6 MPa, and 2.11%, respectively.</t>
  </si>
  <si>
    <t>[Dong, Jian; Jiang, Jufu; Huang, Minjie; Liu, Yingze; Zhang, Ying] Harbin Inst Technol, Sch Mat Sci &amp; Engn, Harbin 150001, Peoples R China; [Wang, Ying] Harbin Inst Technol, Sch Mechatron Engn, Harbin 150001, Peoples R China</t>
  </si>
  <si>
    <t>Harbin Institute of Technology; Harbin Institute of Technology</t>
  </si>
  <si>
    <t>Jiang, JF (corresponding author), Harbin Inst Technol, Sch Mat Sci &amp; Engn, Harbin 150001, Peoples R China.;Wang, Y (corresponding author), Harbin Inst Technol, Sch Mechatron Engn, Harbin 150001, Peoples R China.</t>
  </si>
  <si>
    <t>jiangjufu@hit.edu.cn; wangying1002@hit.edu.cn</t>
  </si>
  <si>
    <t>National Natural Science Foundation of China (NSFC) [2241232]; National Key R amp; D Program of China [2022YFB3404204]</t>
  </si>
  <si>
    <t>National Natural Science Foundation of China (NSFC)(National Natural Science Foundation of China (NSFC)); National Key R amp; D Program of China</t>
  </si>
  <si>
    <t>This work is supported by the National Natural Science Foundation of China (NSFC) under Grant No. 2241232 and The National Key R &amp; D Program of China (No.2022YFB3404204) .</t>
  </si>
  <si>
    <t>0167-577X</t>
  </si>
  <si>
    <t>1873-4979</t>
  </si>
  <si>
    <t>MATER LETT</t>
  </si>
  <si>
    <t>Mater. Lett.</t>
  </si>
  <si>
    <t>10.1016/j.matlet.2023.135129</t>
  </si>
  <si>
    <t>Materials Science, Multidisciplinary; Physics, Applied</t>
  </si>
  <si>
    <t>Materials Science; Physics</t>
  </si>
  <si>
    <t>S2SP6</t>
  </si>
  <si>
    <t>WOS:001069723300001</t>
  </si>
  <si>
    <t>Dou, JX; Yao, HL; Li, H; Li, JL; Jia, RY</t>
  </si>
  <si>
    <t>Dou, Jinxin; Yao, Hongliang; Li, Hui; Li, Jianlei; Jia, Ruyu</t>
  </si>
  <si>
    <t>A track nonlinear energy sink with restricted motion for rotor systems</t>
  </si>
  <si>
    <t>Track nonlinear energy sink; Magnetic nonlinearity; Rotor system; Vibration suppression; Optimization</t>
  </si>
  <si>
    <t>QUASI-ZERO-STIFFNESS; VIBRATION ABSORBER; OSCILLATOR; MITIGATION; DESIGN</t>
  </si>
  <si>
    <t>Aiming at the problem of vibration suppression performance of the traditional track nonlinear energy sink (TNES) is hindered by the energy threshold limitation, a track nonlinear energy sink with restricted motion (RM-TNES), which strategically staggers the dead-zone by incorporating permanent magnets, is proposed in this paper. Firstly, the structure and principles of the RM-TNES are introduced, and the effects of parameters are analyzed. Subsequently, the dynamic model for the rotor-RM-TNES system is developed, and the parameters of the RM-TNES are optimized using a genetic algorithm (GA). Furthermore, the vibration suppression effects of the RM-TNES and traditional TNES are compared and analyzed under steady-state and transient excitation. Finally, experimental studies are carried out on the coupled system. The results indicate that the vibration suppression performance of the traditional TNES is significantly limited at the dead-zone, yielding a vibration suppression rate of only 27.27% for the steady-state response. In contrast, the RM-TNES successfully suppresses vibrations, achieving vibration suppression rates of 77.08% in simulations and 64.04% in experiments under steady-state excitation.</t>
  </si>
  <si>
    <t>[Dou, Jinxin; Yao, Hongliang; Li, Hui; Li, Jianlei; Jia, Ruyu] Northeastern Univ, Sch Mech Engn &amp; Automat, Shenyang 110819, Peoples R China</t>
  </si>
  <si>
    <t>Northeastern University - China</t>
  </si>
  <si>
    <t>Yao, HL (corresponding author), Northeastern Univ, Sch Mech Engn &amp; Automat, Shenyang 110819, Peoples R China.</t>
  </si>
  <si>
    <t>hlyao@mail.neu.edu.cn</t>
  </si>
  <si>
    <t>Jia, Ruyu/0000-0001-8271-7803</t>
  </si>
  <si>
    <t>National Natural Science Foundation of China [52075084]; Fundamental Research Funds for the Central Universities [N2303005]</t>
  </si>
  <si>
    <t>National Natural Science Foundation of China(National Natural Science Foundation of China (NSFC)); Fundamental Research Funds for the Central Universities(Fundamental Research Funds for the Central Universities)</t>
  </si>
  <si>
    <t>The authors would like to gratefully acknowledge the National Natural Science Foundation of China (Grant No. 52075084) and the Fundamental Research Funds for the Central Universities (Grant No. N2303005) for the financial support for this study.</t>
  </si>
  <si>
    <t>10.1016/j.ijmecsci.2023.108631</t>
  </si>
  <si>
    <t>P5EF8</t>
  </si>
  <si>
    <t>WOS:001050897900001</t>
  </si>
  <si>
    <t>Duan, N; Chang, YT; Lv, WH; Li, CX; Lu, CX; Wang, ZP; Wu, SJ</t>
  </si>
  <si>
    <t>Duan, Nuo; Chang, Yuting; Lv, Wenhui; Li, Changxin; Lu, Chunxia; Wang, Zhouping; Wu, Shijia</t>
  </si>
  <si>
    <t>Ratiometric SERS aptasensing for simultaneous quantitative detection of histamine and tyramine in fishes</t>
  </si>
  <si>
    <t>Histamine; Tyramine; Aptasensor; SERS; Ratiometric</t>
  </si>
  <si>
    <t>BIOGENIC-AMINES; MOLECULES</t>
  </si>
  <si>
    <t>Herein, a SiO2@Ag NPs core/shell nanoparticles were synthesized to fabricate a surface-enhanced Raman spectroscopy (SERS) sensor for the simultaneous determination of histamine (HIS) and tyramine (TYR) based on specific aptamer recognition and ratiometric strategy. SiO2@Ag NPs with 4-thiosaminophenol (4-ATP) and Nile blue A (NBA) molecules were used as an internal standard (IS) and labeled with aptamers corresponding to HIS and TYR, respectively. Raman reporter molecules ROX and Cy5 labeled complementary DNA (cDNA) were then hybridized with aptamers to form rigid double-stranded DNA. After the HIS and TYR were captured by their aptamers, resulting in the dissociation of cDNA and separated from the SERS substrate. Therefore, the SERS signal intensity at 1503 cm-1 of ROX and 1358 cm-1 of Cy5 tagged on the terminal of cDNA decreased with the concentration of HIS and TYR increasing, while the SERS signal intensity at 1079 cm-1 of 4-APT and 592 cm-1 of NBA on the substrate remain stable. Thus, the concentrations of HIS and TYR can be determined by the I1503/ I1079 and I1358/I592 values, respectively. This sensing strategy achieves a lower detection limit of 0.2 ng/mL for HIS and 0.05 ng/mL for TYR, respectively, demonstrating promising applications in sensitive detection of BAs in animal-derived foodstuff.</t>
  </si>
  <si>
    <t>[Duan, Nuo; Chang, Yuting; Lv, Wenhui; Li, Changxin; Wang, Zhouping; Wu, Shijia] Jiangnan Univ, Sch Food Sci &amp; Technol, State Key Lab Food Sci &amp; Resources, Int Joint Lab Food Safety, Wuxi 214122, Peoples R China; [Lu, Chunxia] Xinjiang Acad Agr &amp; Reclamat Sci, Inst Anim Husb &amp; Vet Sci, Shihezi 83200, Peoples R China</t>
  </si>
  <si>
    <t>Jiangnan University</t>
  </si>
  <si>
    <t>Wu, SJ (corresponding author), Jiangnan Univ, Sch Food Sci &amp; Technol, State Key Lab Food Sci &amp; Resources, Int Joint Lab Food Safety, Wuxi 214122, Peoples R China.</t>
  </si>
  <si>
    <t>wusj1986@163.com</t>
  </si>
  <si>
    <t>National Natural Science Foundation of China [32272449]; Jiangsu Agriculture Science and Technology Inno- vation Fund [CX (22) 3006]; Guangzhou Science and Technology Project [202206010096]; Fundamental Research Funds for the Central Universities [JUSRP622025]; Collaborative innovation center of food safety and quality control in Jiangsu Province</t>
  </si>
  <si>
    <t>National Natural Science Foundation of China(National Natural Science Foundation of China (NSFC)); Jiangsu Agriculture Science and Technology Inno- vation Fund; Guangzhou Science and Technology Project; Fundamental Research Funds for the Central Universities(Fundamental Research Funds for the Central Universities); Collaborative innovation center of food safety and quality control in Jiangsu Province</t>
  </si>
  <si>
    <t>This work was supported by National Natural Science Foundation of China (32272449) , Jiangsu Agriculture Science and Technology Inno- vation Fund (CX (22) 3006) , Guangzhou Science and Technology Project (202206010096) , the Fundamental Research Funds for the Central Universities (JUSRP622025) , and Collaborative innovation center of food safety and quality control in Jiangsu Province.</t>
  </si>
  <si>
    <t>10.1016/j.talanta.2023.124891</t>
  </si>
  <si>
    <t>P0TF3</t>
  </si>
  <si>
    <t>WOS:001047843700001</t>
  </si>
  <si>
    <t>Duan, XX; Wu, JW; Huang, Y; Lin, HT; Zhou, SW; Zhu, JL; Nie, SH; Wang, GR; Ma, L; Wang, HL</t>
  </si>
  <si>
    <t>Duan, Xiaoxu; Wu, Jiwei; Huang, Yuan; Lin, Haitao; Zhou, Shouwei; Zhu, Junlong; Nie, Shaohua; Wang, Guorong; Ma, Liang; Wang, Hualin</t>
  </si>
  <si>
    <t>Achieving effective and simultaneous consolidation breaking and sand removal in solid fluidization development of natural gas hydrate</t>
  </si>
  <si>
    <t>APPLIED ENERGY</t>
  </si>
  <si>
    <t>Natural gas hydrate; Solid state fluidization; Swirling flow; Consolidation breaking; Multiphase separation</t>
  </si>
  <si>
    <t>METHANE HYDRATE; SEPARATION; DEPRESSURIZATION; DISSOCIATION; DEFORMATION; SEDIMENT</t>
  </si>
  <si>
    <t>Natural gas hydrate (NGH) as the new generation clean energy resource possesses tremendous commercial po-tential and strategic significance. Solid fluidization is one of the major extraction approaches and shows ad-vantages in reducing safety risks as the reservoir pressure is maintained at native condition. Despite of great promises in this technology, one critical challenge embedded within the extraction process is the deep separation of NGH particles from their weakly consolidated sands. Solving this practical issue requires comprehensive understanding of the interactions between NGH fragments and sands yet seldom systematic studies were available. Herein, we proposed to achieve simultaneous NGH-sand consolidation breaking and sand removal by hydro-cyclone technology. We firstly launched a systematic theoretical analysis on the mechanical forces of NGH fragments within the swirling flow field, and then validated the principle of our method on polyproylene-quartz sand research template. We constructed a dual-chamber cyclone desander (DCCD) apparatus and the results showed polypropylene recovery efficiency was as high as 99.8%. Collectively, our solid fluidization technology pioneers the development of safe NGH extraction by killing consolidation breaking and separation these two birds with one stone.</t>
  </si>
  <si>
    <t>[Duan, Xiaoxu; Wu, Jiwei; Nie, Shaohua; Ma, Liang] Sichuan Univ, Coll Architecture &amp; Environm, Chengdu 610065, Peoples R China; [Wu, Jiwei; Ma, Liang] Sichuan Univ, Coll Carbon Neutral Future Technol, Chengdu 610065, Peoples R China; [Huang, Yuan] Shanghai Univ, Inst Environm Pollut &amp; Heath, Sch Environm &amp; Chem Engn, Shanghai 200444, Peoples R China; [Lin, Haitao; Wang, Hualin] East China Univ Sci &amp; Technol, Sch Resources &amp; Environm Engn, Shanghai 200237, Peoples R China; [Zhou, Shouwei; Zhu, Junlong] China Natl Offshore Oil Corp, Beijing 100010, Peoples R China; [Wang, Guorong] Southwest Petr Univ, Inst Energy Equipment, Chengdu 610500, Sichuan, Peoples R China; [Wang, Guorong] Southwest Petr Univ, Coll Mech &amp; Elect Engn, Chengdu 610500, Sichuan, Peoples R China</t>
  </si>
  <si>
    <t>Sichuan University; Sichuan University; Shanghai University; East China University of Science &amp; Technology; China National Offshore Oil Corporation (CNOOC); Southwest Petroleum University; Southwest Petroleum University</t>
  </si>
  <si>
    <t>Wu, JW (corresponding author), Sichuan Univ, Coll Carbon Neutral Future Technol, Chengdu 610065, Peoples R China.</t>
  </si>
  <si>
    <t>wu_jiwei@scu.edu.cn</t>
  </si>
  <si>
    <t>National Natural Science Foundation of China [52100135, 52000071]; Open Fund of State Key Laboratory of Oil and Gas Reservoir Geology and Exploitation; Young Elite Scientists Sponsorship Program by CAST [2022QNRC001]</t>
  </si>
  <si>
    <t>National Natural Science Foundation of China(National Natural Science Foundation of China (NSFC)); Open Fund of State Key Laboratory of Oil and Gas Reservoir Geology and Exploitation; Young Elite Scientists Sponsorship Program by CAST</t>
  </si>
  <si>
    <t>Supported By National Natural Science Foundation of China (52000071) , National Natural Science Foundation of China (52100135) , Open Fund of State Key Laboratory of Oil and Gas Reservoir Geology and Exploitation (Southwest Petroleum University, 2021-10) , Young Elite Scientists Sponsorship Program by CAST (2022QNRC001) .</t>
  </si>
  <si>
    <t>0306-2619</t>
  </si>
  <si>
    <t>1872-9118</t>
  </si>
  <si>
    <t>APPL ENERG</t>
  </si>
  <si>
    <t>Appl. Energy</t>
  </si>
  <si>
    <t>10.1016/j.apenergy.2023.121673</t>
  </si>
  <si>
    <t>S4MO7</t>
  </si>
  <si>
    <t>WOS:001070927400001</t>
  </si>
  <si>
    <t>Fang, Y; Li, X; Ascher, S; Li, YZ; Dai, LL; Ruan, RG; You, SM</t>
  </si>
  <si>
    <t>Fang, Yi; Li, Xian; Ascher, Simon; Li, Yize; Dai, Leilei; Ruan, Roger; You, Siming</t>
  </si>
  <si>
    <t>Life cycle assessment and cost benefit analysis of concentrated solar thermal gasification of biomass for continuous electricity generation</t>
  </si>
  <si>
    <t>Biomass; Concentrated solar thermal; Gasification; Producer gas; Life cycle assessment; Cost benefit analysis; Sensitivity analysis</t>
  </si>
  <si>
    <t>SUPERCRITICAL WATER GASIFICATION; CARBON CAPTURE; HYDROGEN-PRODUCTION; POWER-GENERATION; SEWAGE-SLUDGE; CO2 CAPTURE; PLANT; STORAGE; WASTE; PERFORMANCE</t>
  </si>
  <si>
    <t>The hybridization of solar and biomass energy systems is a promising technology for mitigating the issues of energy generation-related greenhouse gas emissions and high energy prices. The global warming potential and economic feasibility of a hybrid solar-bioenergy system, comprised of a concentrated solar tower, biomass gasifier, thermal storage, and combined cycle gas turbine, have been evaluated by using life cycle assessment and cost benefit analysis, respectively. Sensitivity analysis is carried out to identify the hotspots of costs and emissions. The net present worth of the proposed system at the 30th year was calculated to be about euro-0.7 billion. There are two suggestions to enhance the economic viability of the system, allowing for a payback period of less than 10 years. The first suggestion involves reducing the O &amp; M cost of the system by 19% at 43.9 euro/MWh, and the second suggestion entails increasing the overall efficiency of the system by 20%. This system can save 787.7 kg of CO2-eq/tonwaste-wood and generate a total of about 0.8 million MWh of electricity each year. The findings provide scientific evidence for the design and deployment of the hybrid technology to enhance energy security, while reducing carbon emissions. Overall, this study highlights the potential benefits of hybrid solar-bioenergy systems and encourages the adoption of sustainable energy practices for a greener future.</t>
  </si>
  <si>
    <t>[Fang, Yi; Ascher, Simon; Li, Yize; You, Siming] Univ Glasgow, James Watt Sch Engn, Glasgow G12 8QQ, Scotland; [Li, Xian] ASTAR, Inst High Performance Comp IHPC, 1 Fusionopolis Way,16-16 Connexis, Singapore 138632, Singapore; [Dai, Leilei; Ruan, Roger] Univ Minnesota, Ctr Biorefining, 1390 Eckles Ave, St Paul, MN 55108 USA; [Dai, Leilei; Ruan, Roger] Univ Minnesota, Dept Bioprod &amp; Biosyst Engn, 1390 Eckles Ave, St Paul, MN 55108 USA</t>
  </si>
  <si>
    <t>University of Glasgow; Agency for Science Technology &amp; Research (A*STAR); A*STAR - Institute of High Performance Computing (IHPC); University of Minnesota System; University of Minnesota Twin Cities; University of Minnesota System; University of Minnesota Twin Cities</t>
  </si>
  <si>
    <t>You, SM (corresponding author), Univ Glasgow, James Watt Sch Engn, Glasgow G12 8QQ, Scotland.</t>
  </si>
  <si>
    <t>siming.you@glasgow.ac.uk</t>
  </si>
  <si>
    <t>Li, Xian/IUP-1632-2023</t>
  </si>
  <si>
    <t>Li, Xian/0000-0001-8636-2421</t>
  </si>
  <si>
    <t>Engineering and Physical Sciences Research Council (EPSRC) Programme Grant [EP/V030515/1]; Royal Society International Ex-change Scheme [EC\NSFC\211175]; European Union [101007976]; Marie Curie Actions (MSCA) [101007976] Funding Source: Marie Curie Actions (MSCA)</t>
  </si>
  <si>
    <t>Engineering and Physical Sciences Research Council (EPSRC) Programme Grant(UK Research &amp; Innovation (UKRI)Engineering &amp; Physical Sciences Research Council (EPSRC)); Royal Society International Ex-change Scheme(Royal Society); European Union(European Union (EU)); Marie Curie Actions (MSCA)(Marie Curie Actions)</t>
  </si>
  <si>
    <t>The authors would like to thank Ms. Yang Fang for supporting the design of the figure of graphical abstract. Siming You acknowledges the Engineering and Physical Sciences Research Council (EPSRC) Programme Grant (EP/V030515/1) and Royal Society International Ex-change Scheme (EC\NSFC\211175) . This project was also partially funded by the European Union's Horizon 2020 research and innovation programme under the Marie Sklodowska-Curie grant agreement No. 101007976. All data supporting this study are provided in full in the paper.</t>
  </si>
  <si>
    <t>10.1016/j.energy.2023.128709</t>
  </si>
  <si>
    <t>Q5QE2</t>
  </si>
  <si>
    <t>WOS:001058059400001</t>
  </si>
  <si>
    <t>Faroughi, A; Boostani, R; Tajalizadeh, H; Javidan, R</t>
  </si>
  <si>
    <t>Faroughi, Azadeh; Boostani, Reza; Tajalizadeh, Hadi; Javidan, Reza</t>
  </si>
  <si>
    <t>ARD-Stream: An adaptive radius density-based stream clustering</t>
  </si>
  <si>
    <t>FUTURE GENERATION COMPUTER SYSTEMS-THE INTERNATIONAL JOURNAL OF ESCIENCE</t>
  </si>
  <si>
    <t>Data stream clustering; Micro-clusters; Adaptive radius threshold; Data stream distribution; Shared density; Distance</t>
  </si>
  <si>
    <t>EVOLVING DATA STREAMS; FRAMEWORK</t>
  </si>
  <si>
    <t>With the proliferation of applications generating vast volumes of data streams, numerous clustering methods have emerged to process and extract valuable insights from this data. These methods typically involve online and offline phases. During the online phase, data summaries are stored in micro-clusters, which serve as compact representations of the data. In the subsequent offline phase, static clustering techniques are applied to these micro-clusters to derive the final clusters. However, these methods often employ fixed parameters for creating micro-clusters in the online phase, which can result in the loss of data due to evolving behavioral patterns in the data stream over time. In this study, we propose a novel approach to address this limitation. We introduce a dynamic radius threshold for each micro-cluster in the online phase, allowing for fine adaptation to statistical changes in the data stream distribution. Furthermore, we present a novel method for generating the final clusters in the offline phase. By considering both the shared density and distance between micro-clusters, we overcome the challenge of neglecting density relationships in previous approaches, leading to more accurate clusters. To evaluate the effectiveness of our proposed method, we conduct extensive experiments on synthetic, real-world benchmark, and Twitter datasets. The results demonstrate that our approach outperforms state-of-the-art methods in accurately identifying the correct clusters amidst the dynamic nature of the data streams.&amp; COPY; 2023 Elsevier B.V. All rights reserved.</t>
  </si>
  <si>
    <t>[Faroughi, Azadeh] Univ Kurdistan, Sanandaj, Iran; [Boostani, Reza; Tajalizadeh, Hadi] Shiraz Univ, Shiraz, Iran; [Javidan, Reza] Shiraz Univ Technol, Shiraz, Iran</t>
  </si>
  <si>
    <t>University of Kurdistan; Shiraz University; Shiraz University of Technology</t>
  </si>
  <si>
    <t>Boostani, R (corresponding author), Shiraz Univ, Shiraz, Iran.</t>
  </si>
  <si>
    <t>a.faroughi@uok.ac.ir; boostani@shirazu.ac.ir; h_tajali@shirazu.ac.ir; javidan@sutech.ac.ir</t>
  </si>
  <si>
    <t>Boostani, Reza/0000-0003-0055-4452</t>
  </si>
  <si>
    <t>0167-739X</t>
  </si>
  <si>
    <t>1872-7115</t>
  </si>
  <si>
    <t>FUTURE GENER COMP SY</t>
  </si>
  <si>
    <t>Futur. Gener. Comp. Syst.</t>
  </si>
  <si>
    <t>10.1016/j.future.2023.07.027</t>
  </si>
  <si>
    <t>Q7MM0</t>
  </si>
  <si>
    <t>WOS:001059328200001</t>
  </si>
  <si>
    <t>Fatima, G; Bibi, I; Majid, F; Kamal, S; Nouren, S; Ghafoor, A; Raza, Q; Al-Mijalli, SH; Alnafisi, NM; Iqbal, M</t>
  </si>
  <si>
    <t>Fatima, Gul; Bibi, Ismat; Majid, Farzana; Kamal, Shagufta; Nouren, Shazia; Ghafoor, Aamir; Raza, Qasim; Al-Mijalli, Samiah H.; Alnafisi, Nouf Mohammad; Iqbal, Munawar</t>
  </si>
  <si>
    <t>Mn-doped BaFe12O19 nanoparticles synthesis via micro-emulsion route: Solar light-driven photo-catalytic degradation of CV, MG and RhB dyes and antibacterial activity</t>
  </si>
  <si>
    <t>Micro-emulsion; Barium ferrite; Mn doping; Dielectric properties; Catalytic activity</t>
  </si>
  <si>
    <t>GEL COMBUSTION SYNTHESIS; MAGNETIC-PROPERTIES; ZN FERRITE; SUBSTITUTION; SPINEL</t>
  </si>
  <si>
    <t>A pristine and Mn-doped BaMnxFe12-xO19 (x =0.0-0.3) NMs were synthesized via a facile micro-emulsion route. The impact of substitution was assessed across various properties including structure, ferroelectric behavior, dielectric characteristics, photocatalytic performance, and antibacterial activity. X-ray diffraction analysis confirmed the presence of a single-phase hexagonal structure of barium hexaferrite (BHF). The P-E analysis revealed the high coercivity, Remnant polarization and maximum polarization of doped materials versus pure BaFe12O19. Doping led to a reduction in the energy bandgap, consistent with the observed increase in polari-zation. The photocatalytic activity (PCA) of pure BaFe12O19 (BHF) was compared with highly substituted BaMn0.3Fe12O19 (BMHF5) for the degradation of Crystal Violet, Malachite Green and Rhodamine B dyes under visible light irradiation. The doped BMHF5 exhibited superior PCA (94.6, 92.2 and 96.5 (%) for CV, MG and RhB dyes, respectively). The doped material also showed promising antibacterial activity. Owing to the promising enhanced optical properties, BMHF5 has the potential for the treatment of wastewater under solar light irradiation.</t>
  </si>
  <si>
    <t>[Fatima, Gul; Bibi, Ismat; Ghafoor, Aamir; Raza, Qasim] Islamia Univ Bahawalpur, Inst Chem, Bahawalpur, Pakistan; [Majid, Farzana] Univ Punjab, Dept Phys, Lahore, Pakistan; [Kamal, Shagufta] Govt Coll Univ Faisalabad, Dept Biochem, Faisalabad, Pakistan; [Nouren, Shazia] Govt Coll Women Univ, Dept Chem, Sialkot, Pakistan; [Al-Mijalli, Samiah H.] Princess Nourah Bint Abdulrahman Univ, Coll Sci, Dept Biol, POB 84428, Riyadh 11671, Saudi Arabia; [Alnafisi, Nouf Mohammad] King Saud Bin Abdulaziz Univ Hlth Sci, Dept Echocardivasc Technol, Collage Appl Med Sci, Riyadh, Saudi Arabia; [Iqbal, Munawar] Univ Educ, Dept Chem, Div Sci &amp; Technol, Lahore, Pakistan</t>
  </si>
  <si>
    <t>Islamia University of Bahawalpur; University of Punjab; Government College University Faisalabad; Princess Nourah bint Abdulrahman University; King Saud Bin Abdulaziz University for Health Sciences</t>
  </si>
  <si>
    <t>Bibi, I (corresponding author), Islamia Univ Bahawalpur, Inst Chem, Bahawalpur, Pakistan.;Iqbal, M (corresponding author), Univ Educ, Dept Chem, Div Sci &amp; Technol, Lahore, Pakistan.</t>
  </si>
  <si>
    <t>drismat@iub.edu.pk; bosalvee@yahoo.com</t>
  </si>
  <si>
    <t>Al-mijalli, Samiah/ABB-5085-2021</t>
  </si>
  <si>
    <t>Al-mijalli, Samiah/0000-0003-3160-6008</t>
  </si>
  <si>
    <t>Princess Nourah bint Abdulrahman University, Riyadh, Saudi Arabia; [PNURSP2023R158]</t>
  </si>
  <si>
    <t>Princess Nourah bint Abdulrahman University, Riyadh, Saudi Arabia(Princess Nourah bint Abdulrahman University);</t>
  </si>
  <si>
    <t>This research was funded by Princess Nourah bint Abdulrahman University Researchers Supporting Project number (PNURSP2023R158) , Princess Nourah bint Abdulrahman University, Riyadh, Saudi Arabia.</t>
  </si>
  <si>
    <t>10.1016/j.materresbull.2023.112491</t>
  </si>
  <si>
    <t>Q1ND1</t>
  </si>
  <si>
    <t>WOS:001055245800001</t>
  </si>
  <si>
    <t>Fu, XT; Yan, XW; Liu, Z</t>
  </si>
  <si>
    <t>Fu, Xintao; Yan, Xuewen; Liu, Zhan</t>
  </si>
  <si>
    <t>Coupling thermodynamics and economics of liquid CO2 energy storage system with refrigerant additives</t>
  </si>
  <si>
    <t>Compressed gas energy storage; CO2 mixtures; Optimization; Thermodynamics and economics</t>
  </si>
  <si>
    <t>CARBON-DIOXIDE; PERFORMANCE ANALYSIS; WORKING FLUIDS; AIR; HEAT</t>
  </si>
  <si>
    <t>Compressed gas energy storage has been applied as a significant solution to smooth fluctuation of renewable energy power. The utilization of CO2 as working fluid in the energy storage system is restricted by high operation pressure and severe condensation conditions. A CO2 mixtures energy storage system without cold storage in the charge period is designed. A comprehensive model and evaluation index that couple the system thermodynamics and economics are established, which is performed in an in-house code. The screened refrigerant additives of R32, R1270, R290, R161, R600a and R600 are examined to blend with CO2. Multi-parameter coupling analysis is carried out to focus on the concurrent relationship between design parameters. Results show that larger system efficiency can be expected when the refrigerant mass fraction moves toward to zero, but it will cause huge capital investment to calcium chloride. This indicates the existence of valley value in the levelized cost of electricity versus refrigerant mass fraction. The refrigerant R32 is mostly recommended due to the resulting largest effi-ciency and lowest levelized cost of electricity. The proposed system is demonstrated to be more safe and reliable as the storage pressure in high pressure tank is only 5.64 MPa for CO2/R32 (0.85/0.15) as working fluid. The valve exit temperature should be as low as possible and the charge and discharge pressures are preferably located in the ranges of 14-15 MPa for higher efficiency and lower levelized cost of electricity. More charge time and discharge time, longer operating life time, higher peak-hour electricity price and larger station capacity have positive effect on system economic feasibility.</t>
  </si>
  <si>
    <t>[Fu, Xintao] Yantai Univ, Sch Ocean, Yantai 264005, Peoples R China; [Yan, Xuewen; Liu, Zhan] Qingdao Univ Sci &amp; Technol, Coll Electromech Engn, Qingdao 266061, Peoples R China</t>
  </si>
  <si>
    <t>Yantai University; Qingdao University of Science &amp; Technology</t>
  </si>
  <si>
    <t>Liu, Z (corresponding author), Qingdao Univ Sci &amp; Technol, Coll Electromech Engn, Qingdao 266061, Peoples R China.</t>
  </si>
  <si>
    <t>zhanliu168@qust.edu.cn</t>
  </si>
  <si>
    <t>10.1016/j.energy.2023.128642</t>
  </si>
  <si>
    <t>P8YS9</t>
  </si>
  <si>
    <t>WOS:001053482300001</t>
  </si>
  <si>
    <t>Garg, T; Nitansh; Goyal, A; Kaushik, A; Singhal, S</t>
  </si>
  <si>
    <t>Garg, Twinkle; Nitansh, Anupama; Goyal, Ankita; Kaushik, Anupama; Singhal, Sonal</t>
  </si>
  <si>
    <t>State-of-the-art evolution of g-C3N4 based Z-scheme heterostructures towards energy and environmental applications: A review</t>
  </si>
  <si>
    <t>A. Graphitic carbon nitride; B. Z-scheme; C. Photocatalysis; D. Energy conservation; E. Environmental remediation; F. S-scheme</t>
  </si>
  <si>
    <t>ENHANCED PHOTOCATALYTIC ACTIVITY; GRAPHITIC CARBON NITRIDE; G-C3N4/BI2WO6 Z-SCHEME; VISIBLE-LIGHT DEGRADATION; IN-SITU CONSTRUCTION; SULFUR-DOPED G-C3N4; HETEROJUNCTION PHOTOCATALYST; HYDROGEN EVOLUTION; CHARGE-TRANSFER; CO2 REDUCTION</t>
  </si>
  <si>
    <t>As one of the most fascinating and alluring technologies, semiconductor photocatalysis has become a most promising route to combat the pollution challenge and global energy demands. Due to the unique electronic structure, moderate band gap, high chemical and thermal stability, g-C3N4 has become a research hot-spot to carry out various visible-light driven redox reactions. Though, pristine g-C3N4 suffers the drawback of high recombination rate of photogenerated charge carriers, which thereby leads to the insufficient photocatalytic activity. Recently, g-C3N4 based Z-scheme heterojunctions, mimicking the natural photosynthesis process, have gained global attention due to their enhanced charge carrier separation and augmented redox ability of the photocatalytic systems. This review summarizes the various modes of Z-scheme charge transfer mechanism going on in the g-C3N4 heterostructures followed by their synthesis strategies. Further, it highlights the state-of-art accomplishments of utilizing g-C3N4 based Z-scheme photocatalytic systems in variant applications such as degradation of organic pollutants, photocatalytic water splitting, reduction of carbon-dioxide and heavy metal ions, anti-bacterial activity and photodecomposition of NO. Finally, the review is concluded with prospects and challenges on the emerging research direction.</t>
  </si>
  <si>
    <t>[Garg, Twinkle; Nitansh, Anupama; Singhal, Sonal] Panjab Univ, Dept Chem, Chandigarh 160014, India; [Goyal, Ankita] Post Grad Govt Coll Girls, Dept Chem, Sect 42, Chandigarh 160036, India; [Kaushik, Anupama] Panjab Univ, Dr SS Bhatnagar Univ Inst Chem Engn &amp; Technol, Chandigarh 160014, India</t>
  </si>
  <si>
    <t>Panjab University; Post Graduate Government College for Girls; Panjab University</t>
  </si>
  <si>
    <t>Singhal, S (corresponding author), Panjab Univ, Dept Chem, Chandigarh 160014, India.</t>
  </si>
  <si>
    <t>sonal@pu.ac.in</t>
  </si>
  <si>
    <t>Kaushik, Anupama Sharma/IJE-1543-2023</t>
  </si>
  <si>
    <t>Kaushik, Anupama Sharma/0000-0001-6010-861X</t>
  </si>
  <si>
    <t>University Grants Commission (UGC) [CH0102510095, DST/TMD(EWO)/OWUIS-2018/RS-15(G)]; Department of Science and Technology (DST); [221610107053]</t>
  </si>
  <si>
    <t>University Grants Commission (UGC)(University Grants Commission, India); Department of Science and Technology (DST)(Department of Science &amp; Technology (India));</t>
  </si>
  <si>
    <t>The &amp; nbsp;authors would like to acknowledge University Grants Commission (UGC) (Ref. No. 221610107053, R. No. CH0102510095) and Department of Science and Technology (DST) (Grant No. DST/TMD(EWO)/OWUIS-2018/RS-15(G)) for the financial assistance.</t>
  </si>
  <si>
    <t>10.1016/j.materresbull.2023.112448</t>
  </si>
  <si>
    <t>P9DM5</t>
  </si>
  <si>
    <t>WOS:001053608000001</t>
  </si>
  <si>
    <t>Guo, DD; Xu, WH; Qian, YH; Ding, WP</t>
  </si>
  <si>
    <t>Guo, Doudou; Xu, Weihua; Qian, Yuhua; Ding, Weiping</t>
  </si>
  <si>
    <t>M-FCCL: Memory-based concept-cognitive learning for dynamic fuzzy data classification and knowledge fusion</t>
  </si>
  <si>
    <t>INFORMATION FUSION</t>
  </si>
  <si>
    <t>Concept-cognitive learning; Dynamic data classification; Knowledge fusion; Granular computing; Three-way decision</t>
  </si>
  <si>
    <t>3-WAY DECISION</t>
  </si>
  <si>
    <t>Concept-cognitive learning (CCL) is an emerging field for studying the representation and processing of knowledge embedded in data. Many efforts are focused on this field due to the interpretability and effectiveness of the formal concept (not pseudo concept). However, the standard CCL methods cannot tackle continuous data directly. Although the current fuzzy-based CCL (FCCL) is a straightforward approach to discovering the knowledge embedded in continuous data, it does not sufficiently utilize the native advantage of concepts in simulating the cognitive mechanism. Then it causes it to be incomplete and complex cognition. Inspired by the memory mechanism, this paper combines the recalling and forgetting mechanisms with CCL, called memory-based concept-cognitive learning (M-FCCL). Specifically, a cosine measure is introduced to describe the relationship of samples and construct cosine-similar granules to learn the concept. Subsequently, a fuzzy threeway concept based on the cosine similar granules is defined to represent and discover knowledge. Furthermore, two memory mechanisms are borrowed for the process of concept cognition for dynamic data classification and knowledge fusion: concept-recalling can enhance the effectiveness of concept learning, and concept-forgetting can effectively reduce the complexity of concept cognition. Finally, some experiments are compared with other methods on 16 benchmark datasets to show that M-FCCL achieves superior performance. Specifically, on these datasets, the proposed M-FCCL method achieves 17.02% and 18.54% classification accuracy gain compared with some advanced CCL mechanisms and popular classification methods.</t>
  </si>
  <si>
    <t>[Guo, Doudou; Xu, Weihua] Southwest Univ, Coll Artificial Intelligence, Chongqing 400715, Peoples R China; [Qian, Yuhua] Shanxi Univ, Inst Big Data Sci &amp; Ind, Taiyuan 030006, Peoples R China; [Ding, Weiping] Nantong Univ, Sch Informat Sci &amp; Technol, Nantong 226019, Peoples R China</t>
  </si>
  <si>
    <t>Southwest University - China; Shanxi University; Nantong University</t>
  </si>
  <si>
    <t>Xu, WH (corresponding author), Southwest Univ, Coll Artificial Intelligence, Chongqing 400715, Peoples R China.</t>
  </si>
  <si>
    <t>doudou876517690@126.com; chxuwh@gmail.com; jinchengqyh@126.com; dwp9988@163.com</t>
  </si>
  <si>
    <t>National Natural Science Foundation of China [61976245, 61976120]</t>
  </si>
  <si>
    <t>This paper is supported by the National Natural Science Foundation of China (Nos. 61976245, 61976120). The authors would like to thank Editor-in-Chief, Associate Editor, and Reviewers for their insightful comments and suggestions.</t>
  </si>
  <si>
    <t>1566-2535</t>
  </si>
  <si>
    <t>1872-6305</t>
  </si>
  <si>
    <t>INFORM FUSION</t>
  </si>
  <si>
    <t>Inf. Fusion</t>
  </si>
  <si>
    <t>10.1016/j.inffus.2023.101962</t>
  </si>
  <si>
    <t>Computer Science, Artificial Intelligence; Computer Science, Theory &amp; Methods</t>
  </si>
  <si>
    <t>R5EE4</t>
  </si>
  <si>
    <t>WOS:001064571800001</t>
  </si>
  <si>
    <t>Guo, RQ; Shi, JL; Ma, KW; Zhu, WX; Yang, HW; Sheng, MQ</t>
  </si>
  <si>
    <t>Guo, Ruiqi; Shi, Jialun; Ma, Kaiwen; Zhu, Wenxiang; Yang, Haiwei; Sheng, Minqi</t>
  </si>
  <si>
    <t>Superhydrophilicity boron-doped cobalt phosphide nanosheets decorated carbon nanotube arrays self-supported electrode for overall water splitting</t>
  </si>
  <si>
    <t>Self-supported electrode; Carbon nanotube; Bubble escape behavior; Boron-doped cobalt phosphide; Electrocatalytic water splitting</t>
  </si>
  <si>
    <t>CO-B; EFFICIENT; ELECTROCATALYST; PERFORMANCE</t>
  </si>
  <si>
    <t>Transition metal borides (TMBs) or phosphides (TMPs) have attracted great attention to the design of bifunctional electrocatalysts for energy storage. The superaerophobicity and superhydrophilicity of the catalytic electrode surface are crucial factors to determine the reaction process of the gas electrode. Herein, we report a self-supported electrode of carbon nanotube (CNTs) array grown on carbon cloth (CC) modulated together by boron-doped cobalt phosphide (CoP-B/CNTs/CC). The electrode requires the overpotential of 73.8 mV and 189.5 mV at the current density of &amp; PLUSMN;10 mA cm-2 for hydrogen and oxygen evolution reactions in an alkaline electrolyte (1.0 M KOH), respectively, meanwhile maintaining outstanding long-term durability for more than 300 h. The excellent activity of CoP-B/CNTs/CC is attributed to boron doping regulating its electronic structure and further enriching active sites. The attractive stability of CoP-B/CNTs/CC is due to the unique geometric structure of the self-supported electrode. Furthermore, the superaerophobicity and superhydrophilicity of the electrode surface also accelerate the reaction process of the gas electrode. Expectedly, water splitting cells assembled using CoP-B/CNTs/CC electrodes as cathode and anode, respectively, require a cell voltage of 1.54 V at 10 mA cm � 2, which is lower than that of the Pt/C/CC||RuO2/CC couple (1.69 V at 10 mA cm � 2). Importantly, CoP-B/CNTs/CC||CoP-B/CNTs/CC achieve stable cell voltage under the step current changes (10 mA cm � 2, 50 mA cm � 2, and 100 mA cm � 2) over 300 h. This work highlights a new path to understanding the effects of the static and dynamic behavior of bubbles on the surface of self-supporting electrodes on catalytic performance.</t>
  </si>
  <si>
    <t>[Guo, Ruiqi; Shi, Jialun; Ma, Kaiwen; Sheng, Minqi] Soochow Univ, Sch Iron &amp; Steel, Suzhou 215137, Peoples R China; [Sheng, Minqi] Shanghai Univ, State Key Lab Adv Special Steel, Shanghai Key Lab Adv Ferromet, Shanghai 200072, Peoples R China; [Zhu, Wenxiang; Yang, Haiwei] Soochow Univ, Inst Funct Nano &amp; Soft Mat FUNSOM, Suzhou 215123, Peoples R China</t>
  </si>
  <si>
    <t>Soochow University - China; Shanghai University; Soochow University - China</t>
  </si>
  <si>
    <t>Sheng, MQ (corresponding author), Soochow Univ, Sch Iron &amp; Steel, Suzhou 215137, Peoples R China.;Sheng, MQ (corresponding author), Shanghai Univ, State Key Lab Adv Special Steel, Shanghai Key Lab Adv Ferromet, Shanghai 200072, Peoples R China.</t>
  </si>
  <si>
    <t>shengminqi@suda.edu.cn</t>
  </si>
  <si>
    <t>Sheng, Minqi/0000-0003-2794-336X</t>
  </si>
  <si>
    <t>National Natural Science Foundation of China [52174280]; Natural Science Foundation of Jiangsu Province [BK20220498]; China Postdoctoral Science Foundation [2022M712316]; Science and Technology Program of Suzhou [SYG202022]; Open Project of State Key Laboratory of Advanced Special Steel [SKLASS 2022-03]; Science and Technology Commission of Shanghai Municipality [19DZ2270200]</t>
  </si>
  <si>
    <t>National Natural Science Foundation of China(National Natural Science Foundation of China (NSFC)); Natural Science Foundation of Jiangsu Province(Natural Science Foundation of Jiangsu Province); China Postdoctoral Science Foundation(China Postdoctoral Science Foundation); Science and Technology Program of Suzhou; Open Project of State Key Laboratory of Advanced Special Steel; Science and Technology Commission of Shanghai Municipality(Science &amp; Technology Commission of Shanghai Municipality (STCSM))</t>
  </si>
  <si>
    <t>This work was supported by the National Natural Science Foundation of China (52174280) , Natural Science Foundation of Jiangsu Province (BK20220498) , China Postdoctoral Science Foundation (2022M712316) , Science and Technology Program of Suzhou (SYG202022) , Open Project of State Key Laboratory of Advanced Special Steel, Shanghai Key Laboratory of Advanced Ferrometallurgy, Shanghai University (SKLASS 2022-03) and the Science and Technology Commission of Shanghai Municipality (No. 19DZ2270200) .</t>
  </si>
  <si>
    <t>10.1016/j.jcis.2023.07.176</t>
  </si>
  <si>
    <t>P8CT7</t>
  </si>
  <si>
    <t>WOS:001052903200001</t>
  </si>
  <si>
    <t>Guzman, J; Piovesan, EK; Melo, RM; Almeida-Lima, D; Sousa, ADE; Neumann, VHDL</t>
  </si>
  <si>
    <t>Guzman, Juliana; Piovesan, Enelise Katia; Melo, Robbyson Mendes; Almeida-Lima, Debora; de Jesus e Sousa, Ariany; Neumann, Virginio Henrique de Miranda Lopes</t>
  </si>
  <si>
    <t>Ostracoda and foraminifera biostratigraphy and palaeoenvironmental evolution of the Aptian Santana Group, post-rift of the Araripe Basin, Brazil</t>
  </si>
  <si>
    <t>Microfossils; Biozonation; Post-rift; Salt deposition; Seaway</t>
  </si>
  <si>
    <t>EARLY CRETACEOUS PALEOGEOGRAPHY; PLANKTONIC-FORAMINIFERA; ALAGAMAR FORMATION; SOUTH ATLANTIC; POTIGUAR BASIN; SERGIPE BASIN; NORTHEASTERN; SUCCESSION; PALEOCEANOGRAPHY; PALEOECOLOGY</t>
  </si>
  <si>
    <t>The Santana Group, consisting of the Barbalha, Crato, Ipubi and Romualdo formations, records the post-rift sequence of the Gondwana break-up in the Araripe Basin. The post-rift phase of the South Atlantic rifting is dated as the Alagoas Stage, which corresponds to the ostracod biozone 011. A detailed ostracod stratigraphical distribution along the Santana Group, allowed to standardise a common ostracod for the biozone name and a code, the Pattersoncypris micropapillosa Biozone (OST-011). Four different ostracod associations were recognized establishing the subzones: Pattersoncypris cucurves (OST-011.1), Pattersoncypris cucurves-Neuquenocypris berthoui (OST-011.2), Damonella grandiensis (OST-011.3) and Pattersoncypris crepata (OST-011.4). Planktic foraminifera were also recovered in different associations, leading to identify two international biostratigraphic intervals and calibrate the ostracod subzones, the Early Aptian Leupoldina cabri Zone includes the OST-011.1 and OST-011.2 subzones, and the upper Late Aptian Hedbergella infracretacea-Microhedbergella miniglobularis composite zone correlated to the OST-011.4 subzone. Between these zones there is an interval without foraminiferal biostratigraphy resolution, the OST-011.3 subzone which is assigned to the lower Late Aptian. The palaeoenvironmental evolution of the Santana Group was reconstituted from the integrated study of ostracods, planktic and benthic fora-minifera. Through the Aptian, the Araripe Basin evolved from a transitional to a marine environment, recording estuarine, fluvial to bayhead deltas, a bay coastal watershed that reached better-marine condi-tions under extreme aridity and the full installation of an epeiric sea flooding the area.&amp; COPY; 2023 International Association for Gondwana Research. Published by Elsevier B.V. All rights reserved.</t>
  </si>
  <si>
    <t>[Guzman, Juliana; Piovesan, Enelise Katia; Melo, Robbyson Mendes; Almeida-Lima, Debora; Neumann, Virginio Henrique de Miranda Lopes] Univ Fed Pernambuco, Dept Geol, Appl Micropaleontol Lab LAGESE LITPEG, Av Arquitetura S-N, BR-50740540 Recife, PE, Brazil; [Guzman, Juliana; Piovesan, Enelise Katia; Almeida-Lima, Debora; Neumann, Virginio Henrique de Miranda Lopes] Univ Fed Pernambuco, Technol &amp; Geosci Ctr, Grad Program Geosci, Ave Arquitetura S-N, BR-50740550 Recife, PE, Brazil; [de Jesus e Sousa, Ariany] PETROBRAS CENPES PDIEP GEG CE, Av Horacio Macedo 950, BR-21941915 Rio De Janeiro, RJ, Brazil</t>
  </si>
  <si>
    <t>Universidade Federal de Pernambuco; Universidade Federal de Pernambuco</t>
  </si>
  <si>
    <t>Guzman, J (corresponding author), Univ Fed Pernambuco, Dept Geol, Appl Micropaleontol Lab LAGESE LITPEG, Av Arquitetura S-N, BR-50740540 Recife, PE, Brazil.;Guzman, J (corresponding author), Univ Fed Pernambuco, Technol &amp; Geosci Ctr, Grad Program Geosci, Ave Arquitetura S-N, BR-50740550 Recife, PE, Brazil.</t>
  </si>
  <si>
    <t>julitaguzmang@gmail.com</t>
  </si>
  <si>
    <t>Piovesan, Enelise Katia/Q-2953-2017</t>
  </si>
  <si>
    <t>Piovesan, Enelise Katia/0000-0002-0433-0395; Mendes Melo, Robbyson/0000-0002-6557-3999</t>
  </si>
  <si>
    <t>Brazilian National Petroleum Agency (ANP); PETROBRAS [2017/00263-2, 2018/00320-9]; Conselho Nacional de Desenvolvimento Cientifico e Tecnologico - CNPq [309766/2021-4]</t>
  </si>
  <si>
    <t>Brazilian National Petroleum Agency (ANP); PETROBRAS(Fundacao de Amparo a Pesquisa do Amapa (FAPEAP)Petrobras); Conselho Nacional de Desenvolvimento Cientifico e Tecnologico - CNPq(Conselho Nacional de Desenvolvimento Cientifico e Tecnologico (CNPQ))</t>
  </si>
  <si>
    <t>The authors would like to acknowledge the Brazilian National Petroleum Agency (ANP) and PETROBRAS for financial support through the following projects: ARTUNJA: Correlacoes bioes-tratigraficas dos sistemas fluviolacustres das fases rifte e pos-rifte das bacias do Araripe, Jatoba e Tucano Norte, NE do Brasil/no. 2017/00263-2 and Implantacao da infraestrutura do Laboratorio de Micropaleontologia Aplicada da Universidade Federal de Per-nambuco/no. 2018/00320-9. EKP thanks the Conselho Nacional de Desenvolvimento Cientifico e Tecnologico - CNPq (grant n. 309766/2021-4) . We thank everybody of the LMA/UFPE linked to the ARTUNJA project, Caio Leal Tarragp, Caroline G. G. de Novaes, Pedro Henrique Q. de Brito, Mayara Guedes Sarmento, Regina Buarque, Daniele de Melo Mendes, Gustavo Dias Melo, Mirella Rodrigues Silva and Radarany Jasmine Muniz dos Santos for their contribution preparing samples and picking up the ostracod and foraminifer specimens for the present study. We also thank the reviewers Felix Gradstein (Norway) and Michael Ayress (UK) , and the associate editor Ian Somerville (Ireland) for their useful sugges-tions and comments.</t>
  </si>
  <si>
    <t>10.1016/j.gr.2023.06.014</t>
  </si>
  <si>
    <t>O0VM2</t>
  </si>
  <si>
    <t>WOS:001041085300001</t>
  </si>
  <si>
    <t>He, L; Zhang, WR; Li, JL; Liu, XB; Tong, LF</t>
  </si>
  <si>
    <t>He, Liang; Zhang, Wanru; Li, Jialin; Liu, Xiaobo; Tong, Lifen</t>
  </si>
  <si>
    <t>Preparation and performance of PEN-OH@BNNS-OH/PEN interlayer dielectric films with superior interfacial compatibility</t>
  </si>
  <si>
    <t>MATERIALS TODAY COMMUNICATIONS</t>
  </si>
  <si>
    <t>Polymer dielectrics; BNNS-OH; Thermal conductive; High-temperature-resistant</t>
  </si>
  <si>
    <t>THERMAL-CONDUCTIVITY; COMPOSITES</t>
  </si>
  <si>
    <t>Polymer dielectric composites featuring great thermal stability, excellent mechanicals, and good dielectric properties have sparked considerable attention. Here, the preparation of hybrid filler was first performed. The hydroxyl end-capped polyarylene ether nitrile (PEN-OH) was synthesized and then hydroxy BNNS (BNNS-OH) was combined with PEN-OH to obtain PEN-OH@BNNS-OH, which is fabricated by ultrasonic combined with applying post-solid phase chemical reaction technology. The aim is to use the-OH interactions of BNNS-OH and PEN-OH to form hydrogen bonds that greatly enhance interfacial heat transport. Next, the post-solid phase chemical reaction is utilized to make PEN-OH crystallize, and its crystals located on the two-dimensional planes of BNNS-OH or between the layers can serve as a thermal bridge. Then, the as-prepared film with 10 wt% hybrid filler displays high thermal conductivity (1.17 W/m.K), 13.67%-fold higher than pure PEN film, boasts outstanding mechanical properties (stress 105 MPa, strain 6%), high glass transition temperature (Tg: 224 &amp; DEG;C), a dielectric constant (4.30 at 106 Hz), together with low dielectric loss (0.007 at 106 Hz). Besides, the film was post-treated to increase the thermal conductivity to 1.77 W/m.K, reach a higher Tg of 263 &amp; DEG;C, reduce the dielectric constant and loss to 3.68 and 0.006 at 106 Hz. Thus, it is suitable as a high-temperature-resistant dielectric material.</t>
  </si>
  <si>
    <t>[He, Liang; Zhang, Wanru; Li, Jialin; Liu, Xiaobo; Tong, Lifen] Univ Elect Sci &amp; Technol China, Sch Mat &amp; Energy, Chengdu 610054, Peoples R China; [He, Liang; Zhang, Wanru; Li, Jialin; Liu, Xiaobo; Tong, Lifen] Sichuan Prov Engn Technol Res Ctr Novel CN Polymer, Chengdu 610054, Peoples R China; [He, Liang; Tong, Lifen] Inst Elect &amp; Informat Engn UESTC Guangdong, Dongguan 523808, Guangdong, Peoples R China</t>
  </si>
  <si>
    <t>University of Electronic Science &amp; Technology of China</t>
  </si>
  <si>
    <t>Liu, XB; Tong, LF (corresponding author), Univ Elect Sci &amp; Technol China, Sch Mat &amp; Energy, Chengdu 610054, Peoples R China.</t>
  </si>
  <si>
    <t>liuxb@uestc.edu.cn; tonglifen0214@uestc.edu.cn</t>
  </si>
  <si>
    <t>National Natural Science Foundation of China [51903029, 52073039, 51773028]; Guangdong Basic and Applied Basic Research Foundation [2022A1515110872]</t>
  </si>
  <si>
    <t>National Natural Science Foundation of China(National Natural Science Foundation of China (NSFC)); Guangdong Basic and Applied Basic Research Foundation</t>
  </si>
  <si>
    <t>This work was supported by National Natural Science Foundation of China (Nos.51903029, 52073039, and 51773028) and Guangdong Basic and Applied Basic Research Foundation (No.2022A1515110872) .</t>
  </si>
  <si>
    <t>2352-4928</t>
  </si>
  <si>
    <t>MATER TODAY COMMUN</t>
  </si>
  <si>
    <t>Mater. Today Commun.</t>
  </si>
  <si>
    <t>10.1016/j.mtcomm.2023.106996</t>
  </si>
  <si>
    <t>S5XX5</t>
  </si>
  <si>
    <t>WOS:001071903700001</t>
  </si>
  <si>
    <t>He, XY; Huang, JZ; Liu, ZK; Lin, J; Jing, R; Zhao, YR</t>
  </si>
  <si>
    <t>He, Xianya; Huang, Jingzhi; Liu, Zekun; Lin, Jian; Jing, Rui; Zhao, Yingru</t>
  </si>
  <si>
    <t>Topology optimization of thermally activated building system in high-rise building</t>
  </si>
  <si>
    <t>Thermally activated building system (TABS); Topology optimization; Building energy simulation; Genetic algorithm; Building energy retrofit</t>
  </si>
  <si>
    <t>CONTROL STRATEGIES; ENERGY OPTIMIZATION; MULTILAYER FLOOR; HEAT-TRANSFER; HVAC SYSTEM; PERFORMANCE; SIMULATION; COMFORT; MANAGEMENT; TABS</t>
  </si>
  <si>
    <t>The building sector accounts for nearly 1/3 of global energy end-use and associated carbon emissions. Fulfilling buildings' thermal demand in an efficient way is critical for decarbonizing the building sector. Therefore, this paper introduces the thermally activated building system (TABS) as an energy retrofit solution. A TABS floor-byfloor return water temperature control approach is proposed to reduce buildings' energy use and carbon emissions. The approach includes the topology optimization of TABS and flow control. The bypass pipe connections of the TABS to each floor, namely, the floor-by-floor pipe network topology, have been optimized by using genetic algorithms to achieve the lowest total cost. A case study of a high-rise building located in Beijing demonstrates that the proposed approach can improve the system's energy efficiency compared to the conventional TABS without optimization. The reduction of energy cost can be up to 11.21% with a 13.53% annual emission reduction. In general, the proposed TABS floor-by-floor return water temperature control approach can significantly improve the building efficiency comprehensively, therefore can be considered as a promising energy retrofit solution for the decarbonization of high-rise buildings.</t>
  </si>
  <si>
    <t>[He, Xianya; Huang, Jingzhi; Liu, Zekun; Lin, Jian; Jing, Rui; Zhao, Yingru] Xiamen Univ, Coll Energy, Xiamen, Peoples R China</t>
  </si>
  <si>
    <t>Xiamen University</t>
  </si>
  <si>
    <t>Jing, R; Zhao, YR (corresponding author), Xiamen Univ, Coll Energy, Xiamen, Peoples R China.</t>
  </si>
  <si>
    <t>rjing@xmu.edu.cn; yrzhao@xmu.edu.cn</t>
  </si>
  <si>
    <t>Liu, Zekun/0000-0001-5284-5636</t>
  </si>
  <si>
    <t>Distinguished Young Scholars Fund of Fujian Province [51876181]; National Natural Science Foundation of China [3502Z20206034]; Xiamen Youth Innovation Fund [20720220101]; Fundamental Research Funds for the Central Universities [20720220081]; [2021J06006]</t>
  </si>
  <si>
    <t>Distinguished Young Scholars Fund of Fujian Province; National Natural Science Foundation of China(National Natural Science Foundation of China (NSFC)); Xiamen Youth Innovation Fund; Fundamental Research Funds for the Central Universities(Fundamental Research Funds for the Central Universities);</t>
  </si>
  <si>
    <t>The authors are grateful for the support from the Distinguished Young Scholars Fund of Fujian Province with grant No. 2021J06006. The work is also supported by the National Natural Science Foundation of China under grant No. 51876181, the Xiamen Youth Innovation Fund with grant No. 3502Z20206034, and the Fundamental Research Funds for the Central Universities with grant NO. 20720220101 and 20720220081.</t>
  </si>
  <si>
    <t>10.1016/j.energy.2023.128637</t>
  </si>
  <si>
    <t>Q6WL2</t>
  </si>
  <si>
    <t>WOS:001058906900001</t>
  </si>
  <si>
    <t>Huang, HT; Yang, YH; Zhu, Y</t>
  </si>
  <si>
    <t>Huang, Haotian; Yang, Yuanhang; Zhu, Yuan</t>
  </si>
  <si>
    <t>Accurate 4D thermal imaging of uneven surfaces: Theory and experiments</t>
  </si>
  <si>
    <t>INTERNATIONAL JOURNAL OF HEAT AND MASS TRANSFER</t>
  </si>
  <si>
    <t>4D thermal imaging; Rough/uneven surface; Temperature mapping; Temperature correction; Angle of view; Emissivity</t>
  </si>
  <si>
    <t>FRINGE PROJECTION PROFILOMETRY; TEMPERATURE-MEASUREMENT; DISTANCE</t>
  </si>
  <si>
    <t>Conventional IR thermography is basically a 3D imaging model: pixel position (2D) and temperature (1D). However, the surface roughness, which cannot be depicted by the 2D geometry imaging, may introduce significant error into the temperature measurement, especially in close range. Although there are some principle studies on this theme, quantitative tools for arbitrary-shaped surfaces is still lacking. In this work, we have developed an imaging system composed of a binocular camera using structured illumination and an IR camera to reconstruct 4D uneven surface thermal images. This 4D information includes the 3D geometry of the surface and the temperature mapping over it. Based on the highly accurate surface roughness image obtained, a meshed area calculation tool is used to establish a temperature self-correction module for rough/uneven surfaces, which include convex surface, concave surface or their combinations. The effective emissivity of convex as well as flat surface is easy to calculate, because is this case, there is no inter-radiation or reflection. On contrast, the determination of concave surface emissivity is still posed as a challenge. In this work, some theoretic gap was first filled and then the experimental verification was provided. The temperature-correction takes angle of view and emissivity calibration into account. The angle of view is relative to the position of the object point and the emissivity calibration is based on the 3D geometry of the uneven surfaces. An imaginary flat surface is used to provide an effective emissivity for a local roughness. Experimental results shows that without this temperatuecorrection module, the deviations between IR thermography and thermocouple are from -2.35 &amp; DEG;C (at 50 &amp; DEG;C) to -4.96 &amp; DEG;C (at 300 &amp; DEG;C) and from -2.43 &amp; DEG;C (at 50 &amp; DEG;C) to -4.78 &amp; DEG;C (at 300 &amp; DEG;C), while after the correction, the deviations are from -0.12 &amp; DEG;C (at 50 &amp; DEG;C) to -0.20 &amp; DEG;C (at 300 &amp; DEG;C) and from -0.16 &amp; DEG;C (at 50 &amp; DEG;C) to -0.20 &amp; DEG;C (at 300 &amp; DEG;C). Utilizing the thermal imaging model for recorrection, the deviations are from -0.13 &amp; DEG;C (at 50 &amp; DEG;C) to -0.19 &amp; DEG;C (at 300 &amp; DEG;C) and from -0.16 &amp; DEG;C (at 50 &amp; DEG;C) to -0.19 &amp; DEG;C (at 300 &amp; DEG;C). This generalized solution paves the way for high-accuracy temperature measurement on complexly rough surface, especially for high temperature, at which the measuring deviation can be very large.</t>
  </si>
  <si>
    <t>[Huang, Haotian; Yang, Yuanhang; Zhu, Yuan] Southern Univ Sci &amp; Technol, Sch Microelect, Shenzhen 518055, Peoples R China; [Zhu, Yuan] Southern Univ Sci &amp; Technol, Acad Adv Interdisciplinary Studies, Shenzhen 518055, Peoples R China</t>
  </si>
  <si>
    <t>Southern University of Science &amp; Technology; Southern University of Science &amp; Technology</t>
  </si>
  <si>
    <t>Zhu, Y (corresponding author), Southern Univ Sci &amp; Technol, Sch Microelect, Shenzhen 518055, Peoples R China.</t>
  </si>
  <si>
    <t>zhuy3@sustech.edu.cn</t>
  </si>
  <si>
    <t>National Science Foundation for Excellent Young Scholars [52122607]; National Natural Science Foundation of China [U20A20241]; Shenzhen Stable Support Plan Program for Higher Education Institutions Research Program [20220815110818001]; Technology Innovation Commission of Shenzhen [JCYJ20210324104608024]; Centers for Mechanical Engineering Research and Education at MIT and SUSTech (MechERE Centers at MIT and SUSTech)</t>
  </si>
  <si>
    <t>National Science Foundation for Excellent Young Scholars; National Natural Science Foundation of China(National Natural Science Foundation of China (NSFC)); Shenzhen Stable Support Plan Program for Higher Education Institutions Research Program; Technology Innovation Commission of Shenzhen; Centers for Mechanical Engineering Research and Education at MIT and SUSTech (MechERE Centers at MIT and SUSTech)</t>
  </si>
  <si>
    <t>The authors acknowledge financial supports from National Science Foundation for Excellent Young Scholars (Grant No. 52122607), National Natural Science Foundation of China (Grant No. U20A20241), Shenzhen Stable Support Plan Program for Higher Education Institutions Research Program (Grant No. 20220815110818001), the Technology Innovation Commission of Shenzhen (Grant No. JCYJ20210324104608024), Centers for Mechanical Engineering Research and Education at MIT and SUSTech (MechERE Centers at MIT and SUSTech).</t>
  </si>
  <si>
    <t>0017-9310</t>
  </si>
  <si>
    <t>1879-2189</t>
  </si>
  <si>
    <t>INT J HEAT MASS TRAN</t>
  </si>
  <si>
    <t>Int. J. Heat Mass Transf.</t>
  </si>
  <si>
    <t>10.1016/j.ijheatmasstransfer.2023.124580</t>
  </si>
  <si>
    <t>Thermodynamics; Engineering, Mechanical; Mechanics</t>
  </si>
  <si>
    <t>Thermodynamics; Engineering; Mechanics</t>
  </si>
  <si>
    <t>R7PW0</t>
  </si>
  <si>
    <t>WOS:001066247700001</t>
  </si>
  <si>
    <t>Irmler, S; Bavan, T; Binz, E; Portmann, R</t>
  </si>
  <si>
    <t>Irmler, Stefan; Bavan, Tharmatha; Binz, Eliane; Portmann, Reto</t>
  </si>
  <si>
    <t>Ability of Latilactobacillus curvatus FAM25164 to produce tryptamine: Identification of a novel tryptophan decarboxylase</t>
  </si>
  <si>
    <t>FOOD MICROBIOLOGY</t>
  </si>
  <si>
    <t>Latilactobacillus curvatus; Tryptamine; Tryptophan decarboxylase; Cheese</t>
  </si>
  <si>
    <t>LACTIC-ACID BACTERIA; TYROSINE DECARBOXYLASE; LACTOBACILLUS-CURVATUS; BIOGENIC-AMINES; TYRAMINE; STRAIN; PUTRESCINE; EXPRESSION</t>
  </si>
  <si>
    <t>Screenings of cheese isolates revealed that the Latilactobacillus curvatus strain FAM25164 formed tryptamine and tyramine. In the present study, it was studied whether a tryptophan decarboxylase, which has rarely been described in bacteria, could be involved in the production of tryptamine. The genome of strain FAM25164 was sequenced and two amino acid decarboxylase genes of interest were identified by sequence comparisons and gene context analyses. One of the two genes, named tdc1, showed 99% identity to the tdcA gene that has recently been demonstrated by knockout studies to play a role in tyramine formation in L. curvatus. The second gene, named tdc2, was predicted to have an amino acid decarboxylase function, but could not be assigned to a metabolic function. Its protein sequence has 51% identity with Tdc1 and the tdc2 gene is part of a gene cluster not often found in publicly available genome sequences of L. curvatus. Among others, the gene cluster includes a tryptophan-tRNA ligase, indicating that tdc2 plays a role in tryptophan metabolism. To study decarboxylase activity, tdc1 and tdc2 were cloned and expressed as His6-tagged proteins in Escherichia coli. The recombinant E. coli expressing tdc1 produced tyramine, whereas E. coli expressing tdc2 produced tryptamine. The purified recombinant Tdc1 protein decarboxylated tyrosine and 2,3-dihydroxy-L-phenylalanine (L-DOPA), but not tryp-tophan and phenylalanine. In contrast, the purified Tdc2 was capable of decarboxylating tryptophan but not L -DOPA, tyrosine, or phenylalanine. This study describes a novel bacterial tryptophan decarboxylase (EC 4.1.1.105) that may be responsible for tryptamine formation in cheese.</t>
  </si>
  <si>
    <t>[Irmler, Stefan; Bavan, Tharmatha; Binz, Eliane; Portmann, Reto] Agroscope, Bern, Switzerland; [Irmler, Stefan] Agroscope, Biochem Milk &amp; Microorganisms, CH-3003 Bern, Switzerland</t>
  </si>
  <si>
    <t>Swiss Federal Research Station Agroscope; Swiss Federal Research Station Agroscope</t>
  </si>
  <si>
    <t>Irmler, S (corresponding author), Agroscope, Biochem Milk &amp; Microorganisms, CH-3003 Bern, Switzerland.</t>
  </si>
  <si>
    <t>stefan.irmler@agroscope.admin.ch</t>
  </si>
  <si>
    <t>0740-0020</t>
  </si>
  <si>
    <t>1095-9998</t>
  </si>
  <si>
    <t>FOOD MICROBIOL</t>
  </si>
  <si>
    <t>Food Microbiol.</t>
  </si>
  <si>
    <t>10.1016/j.fm.2023.104343</t>
  </si>
  <si>
    <t>Biotechnology &amp; Applied Microbiology; Food Science &amp; Technology; Microbiology</t>
  </si>
  <si>
    <t>P7ZU2</t>
  </si>
  <si>
    <t>WOS:001052825000001</t>
  </si>
  <si>
    <t>Junfeng, C; Maohua, Z; Peiyun, Q; Zeng, L; Jiacheng, C</t>
  </si>
  <si>
    <t>Junfeng, Chen; Maohua, Zhong; Peiyun, Qiu; Zeng, Long; Jiacheng, Chen</t>
  </si>
  <si>
    <t>Mapping the fire risk in buildings: A hybrid method of ASET-RSET concept and FED concept</t>
  </si>
  <si>
    <t>RELIABILITY ENGINEERING &amp; SYSTEM SAFETY</t>
  </si>
  <si>
    <t>Fire hazard ranking; Map analysis; Risk assessment; Numerical simulation</t>
  </si>
  <si>
    <t>NUMERICAL-SIMULATION; VENTILATION MODE; SUBWAY STATION; EVACUATION; SMOKE; OPTIMIZATION; REPRESENTATION; PLATFORM</t>
  </si>
  <si>
    <t>Fire is a critical threat to large buildings. With the fire smoke diffusion, the risk of injury and death exists over a wide area. To investigate the fire risk level of large buildings, a Risk Index is defined as the fractional effective dose at the moment of required safe egress time to model the maximum potential fire risk of an area. Then, the map-based method is adopted to acquire a Risk Index map for each fire scenario and a Risk Index scenario map for the whole building. Finally, the overall fire risk of a fire scenario and a building could be acquired by integrating the Risk Index in each area and the Risk Index scenario in each fire scenario. The platform of a subway station is taken as a case study to validate the applicability of the proposed method. The results indicate that the method provides a more detailed and accurate evaluation of fire risk distribution of each fire scenario and the whole platform. Besides, the proposed method can provide more flexible and adaptive evacuation strategy recommendations. The results could be used for future fire risk evaluation, worst fire scenario identification and evacuation strategy design in different buildings.</t>
  </si>
  <si>
    <t>[Junfeng, Chen; Maohua, Zhong; Peiyun, Qiu; Zeng, Long] Tsinghua Univ, Inst Publ Safety Res, Dept Engn Phys, Beijing 100084, Peoples R China; [Peiyun, Qiu; Jiacheng, Chen] Guangzhou Metro Grp Co Ltd, Guangzhou 510330, Guangdong, Peoples R China</t>
  </si>
  <si>
    <t>Tsinghua University</t>
  </si>
  <si>
    <t>Maohua, Z (corresponding author), Tsinghua Univ, Inst Publ Safety Res, Dept Engn Phys, Beijing 100084, Peoples R China.</t>
  </si>
  <si>
    <t>mhzhong@tsinghua.edu.cn</t>
  </si>
  <si>
    <t>Science and Technology Project of Fire and Rescue Department Ministry of Emergency Management [2021XFZD02]; National Natural Science Foundation of China [52104198, 72091512]</t>
  </si>
  <si>
    <t>Science and Technology Project of Fire and Rescue Department Ministry of Emergency Management; National Natural Science Foundation of China(National Natural Science Foundation of China (NSFC))</t>
  </si>
  <si>
    <t>This work was supported by Science and Technology Project of Fire and Rescue Department Ministry of Emergency Management (2021XFZD02) , National Natural Science Foundation of China (52104198, 72091512) .</t>
  </si>
  <si>
    <t>0951-8320</t>
  </si>
  <si>
    <t>1879-0836</t>
  </si>
  <si>
    <t>RELIAB ENG SYST SAFE</t>
  </si>
  <si>
    <t>Reliab. Eng. Syst. Saf.</t>
  </si>
  <si>
    <t>10.1016/j.ress.2023.109571</t>
  </si>
  <si>
    <t>Engineering, Industrial; Operations Research &amp; Management Science</t>
  </si>
  <si>
    <t>Engineering; Operations Research &amp; Management Science</t>
  </si>
  <si>
    <t>R8AA6</t>
  </si>
  <si>
    <t>WOS:001066515600001</t>
  </si>
  <si>
    <t>Kapuganti, RS; Sahoo, L; Mohanty, PP; Hayat, B; Parija, S; Alone, DP</t>
  </si>
  <si>
    <t>Kapuganti, Ramani Shyam; Sahoo, Lipsa; Mohanty, Pranjya Paramita; Hayat, Bushra; Parija, Sucheta; Alone, Debasmita Pankaj</t>
  </si>
  <si>
    <t>Role of clusterin gene 3'-UTR polymorphisms and promoter hypomethylation in the pathogenesis of pseudoexfoliation syndrome and pseudoexfoliation glaucoma</t>
  </si>
  <si>
    <t>BIOCHIMICA ET BIOPHYSICA ACTA-GENE REGULATORY MECHANISMS</t>
  </si>
  <si>
    <t>Pseudoexfoliation; glaucoma; Clusterin; 3 '-UTR variants; Promoter hypomethylation</t>
  </si>
  <si>
    <t>COMMON SEQUENCE VARIANTS; ALZHEIMERS-DISEASE; ASSOCIATION; EXPRESSION; LOXL1; SUSCEPTIBILITY; GWAS; GERMAN; LOCI; EYES</t>
  </si>
  <si>
    <t>Pseudoexfoliation (PEX) is a multifactorial age-related disease characterized by the deposition of extracellular fibrillar aggregates in the anterior ocular tissues. This study aims to identify the genetic and epigenetic contribution of clusterin (CLU) in PEX pathology. CLU is a molecular chaperone upregulated in PEX and genetically associated with the disease. Sequencing of a 2.9 kb region encompassing the previously associated rs2279590 in 250 control and 313 PEX [(207 pseudoexfoliation syndrome (PEXS) and 106 pseudoexfoliation glaucoma (PEXG)] individuals identified three single nucleotide polymorphisms (SNPs), rs9331942, rs9331949 and rs9331950, in the 3'-UTR of CLU of which rs9331942 and rs9331949 were found to be significantly associated with PEXS and PEXG as risk factors. Following in silico analysis, in vitro luciferase reporter assays in human embryonic kidney cells revealed that risk alleles at rs9331942 and rs9331949 bind to miR-223 and miR-1283, respectively, suggesting differential regulation of clusterin in the presence of risk alleles at the SNPs. Further, through bisulfite sequencing, we also identified that CLU promoter is hypomethylated in DNA from blood and lens capsules of PEX patients compared to controls that correlated with decreased expression of DNA methyltransferase 1 (DNMT1). Promoter demethylation of CLU using DNMT inhibitor, 5 &amp; PRIME;-aza-dC, in human lens epithelial cells increased CLU expression. Chromatin immunoprecipitation assays showed that the demethylated CLU promoter provides increased access to the transcription factor, Sp1, which might lead to enhanced expression of CLU. In conclusion, this study highlights the different molecular mechanisms of clusterin regulation in pseudoexfoliation pathology.</t>
  </si>
  <si>
    <t>[Kapuganti, Ramani Shyam; Sahoo, Lipsa; Hayat, Bushra; Alone, Debasmita Pankaj] Natl Inst Sci Educ &amp; Res NISER, Sch Biol Sci, PO Bhimpur Padanpur, Khurja 752050, Odisha, India; [Kapuganti, Ramani Shyam; Sahoo, Lipsa; Hayat, Bushra; Alone, Debasmita Pankaj] Homi Bhabha Natl Inst HBNI, Training Sch Complex, Mumbai 400094, India; [Mohanty, Pranjya Paramita] Sri Sri Borda Hosp, Bhubaneswar 751002, Odisha, India; [Parija, Sucheta] All India Inst Med Sci, Bhubaneswar 751019, Odisha, India; [Alone, Debasmita Pankaj] Natl Inst Sci Educ &amp; Res NISER, Sch Biol Sci, Mol Genet Lab, PO Jatni, Khurja 752050, Odisha, India</t>
  </si>
  <si>
    <t>National Institute of Science Education &amp; Research (NISER); Homi Bhabha National Institute; All India Institute of Medical Sciences (AIIMS) Bhubaneswar; National Institute of Science Education &amp; Research (NISER)</t>
  </si>
  <si>
    <t>Alone, DP (corresponding author), Natl Inst Sci Educ &amp; Res NISER, Sch Biol Sci, Mol Genet Lab, PO Jatni, Khurja 752050, Odisha, India.</t>
  </si>
  <si>
    <t>debasmita@niser.ac.in</t>
  </si>
  <si>
    <t>Science and Engineering Research Board, India [CRG/2019/002705]; Council of Scientific and Industrial Research, India [27 (0317) /16/EMR-II]; National Institute of Science Education and Research (NISER) under Department of Atomic Energy, Government of India</t>
  </si>
  <si>
    <t>Science and Engineering Research Board, India; Council of Scientific and Industrial Research, India(Council of Scientific &amp; Industrial Research (CSIR) - India); National Institute of Science Education and Research (NISER) under Department of Atomic Energy, Government of India</t>
  </si>
  <si>
    <t>This work was supported by extramural research grants from the Science and Engineering Research Board, India (CRG/2019/002705) , the Council of Scientific and Industrial Research, India (27 (0317) /16/EMR-II) , and an intramural grant (RIN-4002-SBS) from National Institute of Science Education and Research (NISER) , an autonomous organization under Department of Atomic Energy, Government of India.</t>
  </si>
  <si>
    <t>1874-9399</t>
  </si>
  <si>
    <t>1876-4320</t>
  </si>
  <si>
    <t>BBA-GENE REGUL MECH</t>
  </si>
  <si>
    <t>Biochim. Biophys. Acta-Gene Regul. Mech.</t>
  </si>
  <si>
    <t>10.1016/j.bbagrm.2023.194980</t>
  </si>
  <si>
    <t>Biochemistry &amp; Molecular Biology; Biophysics</t>
  </si>
  <si>
    <t>S6WN8</t>
  </si>
  <si>
    <t>WOS:001072552200001</t>
  </si>
  <si>
    <t>Kennedy, BM; De Barra, E; Hampshire, S; Kelleher, MC</t>
  </si>
  <si>
    <t>Kennedy, Brendan M.; De Barra, Eamonn; Hampshire, Stuart; Kelleher, Maura C.</t>
  </si>
  <si>
    <t>Investigation of oleic acid as a dispersant for hydroxyapatite powders for use in ceramic filled photo-curable resins for stereolithography</t>
  </si>
  <si>
    <t>JOURNAL OF THE EUROPEAN CERAMIC SOCIETY</t>
  </si>
  <si>
    <t>Hydroxyapatite; Oleic acid; Stereolithography; Ceramic bone scaffold; Additive manufacturing</t>
  </si>
  <si>
    <t>MECHANICAL-PROPERTIES; SUSPENSIONS; BEHAVIOR; SCAFFOLDS; STRENGTH; SIZE; DENSIFICATION; BIOCERAMICS; FABRICATION; PARTICLES</t>
  </si>
  <si>
    <t>Stereolithography allows production of porous hydroxyapatite scaffolds for bone regeneration but is limited by the challenging rheology of ceramic filled resins. Oleic acid, a natural fatty acid, was applied in concentrations of 0.0-0.3 wt% to improve the rheological properties of HAp resins for the fabrication of solid cylinders and scaffolds by digital light processing (DLP) printing in a wiperless system. Bonding by chemisorption was confirmed by FTIR analysis. The powders were then incorporated into a photo-curable resin of 1-6 hexanediol diacrylate at 18-30 vol%. The shear viscosity and sedimentation rates of photocurable resins containing HAp powder decreased with increasing concentration of oleic acid. The curing depth and width of resins containing the HAp were unchanged as a result of the presence of oleic acid. Oleic acid improved the printing behaviour of the resins allowing the fabrication of scaffolds with continuous macro-porosity on a wiperless DLP system.</t>
  </si>
  <si>
    <t>[Kennedy, Brendan M.; Kelleher, Maura C.] Technol Univ Dublin, Sch Mech Engn, Bolton St, Dublin 1, Ireland; [Kennedy, Brendan M.; Kelleher, Maura C.] Technol Univ Dublin, Environm Sustainabil &amp; Hlth Inst, Dublin, Ireland; [De Barra, Eamonn; Hampshire, Stuart] Univ Limerick, Bernal Inst, Limerick, Ireland</t>
  </si>
  <si>
    <t>University of Limerick</t>
  </si>
  <si>
    <t>Kennedy, BM (corresponding author), Technol Univ Dublin, Sch Mech Engn, Bolton St, Dublin 1, Ireland.</t>
  </si>
  <si>
    <t>brendan.kennedy@tudublin.ie</t>
  </si>
  <si>
    <t>Technological University Dublin Fiosraigh PhD scholarship program</t>
  </si>
  <si>
    <t>This work was funded by the Technological University Dublin Fiosraigh PhD scholarship program. We wish to thank Henkel AG &amp; amp; Co. KGaA Ireland for granting access to use their viscometers.</t>
  </si>
  <si>
    <t>0955-2219</t>
  </si>
  <si>
    <t>1873-619X</t>
  </si>
  <si>
    <t>J EUR CERAM SOC</t>
  </si>
  <si>
    <t>J. Eur. Ceram. Soc.</t>
  </si>
  <si>
    <t>10.1016/j.jeurceramsoc.2023.07.028</t>
  </si>
  <si>
    <t>Materials Science, Ceramics</t>
  </si>
  <si>
    <t>R2PA1</t>
  </si>
  <si>
    <t>WOS:001062807500001</t>
  </si>
  <si>
    <t>Keyser, A; Paczos, W</t>
  </si>
  <si>
    <t>Keyser, Alice; Paczos, Wojtek</t>
  </si>
  <si>
    <t>Sovereign risk, debt composition and exchange rate regimes*</t>
  </si>
  <si>
    <t>Sovereign risk; Public debt; Debt composition; Exchange rate regimes</t>
  </si>
  <si>
    <t>BOND YIELDS; DETERMINANTS; ECONOMY</t>
  </si>
  <si>
    <t>Domestic and foreign debt risks, like exchange rate fluctuations and defaults, are influenced by the exchange rate regime. Analyzing data from 2004 to 2021 for 46 economies, we find that risk increases with higher public debt-to-GDP ratios (size effect), and a larger proportion of foreign debt (composition effect). However, the effects vary based on exchange rate regimes: composition effect is strong in floating, ambiguous in managed, and absent in monetary unions. The size effect is strong in monetary unions, weak in floating, and absent in managed regimes.</t>
  </si>
  <si>
    <t>[Keyser, Alice] Univ Bristol, Bristol, England; [Paczos, Wojtek] Cardiff Univ, Cardiff, Wales; [Paczos, Wojtek] Polish Acad Sci, Inst Econ, Warsaw, Poland</t>
  </si>
  <si>
    <t>University of Bristol; Cardiff University; Polish Academy of Sciences; Institute of Economics of the Polish Academy of Sciences</t>
  </si>
  <si>
    <t>Paczos, W (corresponding author), Cardiff Univ, Cardiff, Wales.;Paczos, W (corresponding author), Polish Acad Sci, Inst Econ, Warsaw, Poland.</t>
  </si>
  <si>
    <t>paczosw@cardiff.ac.uk</t>
  </si>
  <si>
    <t>10.1016/j.frl.2023.104396</t>
  </si>
  <si>
    <t>S7JW4</t>
  </si>
  <si>
    <t>WOS:001072905900001</t>
  </si>
  <si>
    <t>Khorshidi, S; Khoobbakht, F; Mirmoghtadaie, L; Hosseini, SM</t>
  </si>
  <si>
    <t>Khorshidi, Sadaf; Khoobbakht, Faezeh; Mirmoghtadaie, Leila; Hosseini, Seyede Marzieh</t>
  </si>
  <si>
    <t>Characterization of gellan gum-chitosan based hydrogel to evaluate as a potential gelatin substitute</t>
  </si>
  <si>
    <t>FOOD HYDROCOLLOIDS</t>
  </si>
  <si>
    <t>Gellan gum; Chitosan; Gelatin substitute; Polyelectrolyte complex; Rheology</t>
  </si>
  <si>
    <t>RHEOLOGICAL PROPERTIES; TEXTURE PROFILE; POLYELECTROLYTE COMPLEXES; MECHANICAL-PROPERTIES; FUNCTIONAL-PROPERTIES; GELLING PROPERTIES; GELS; STARCH; MICROSTRUCTURE; AGAR</t>
  </si>
  <si>
    <t>Although low-acyl gellan forms a hard and brittle gel, it can be used to replace of gelatin if it is modified according to the required properties of the end product. In this study, the effect of the chitosan on the mechanical, rheological, and structural properties of low acyl gellan gum (GG) hydrogel was investigated. Polyelectrolyte complex interaction of low acyl gellan gum and chitosan (GG/CS) was induced by the addition of salt (potassium citrate) and citric acid. All concentrations were optimized using the central composite design to approach the gel hardness and springiness to those values of high bloom gelatin. The interaction of gellan and chitosan was confirmed by Fourier transform-infra-red spectroscopy, differential scanning calorimetry, and scanning electron microscopy. The TPA results showed that chitosan could increase the springiness of GG hydrogel from 0.705 &amp; PLUSMN; 0.04 to 0.848 &amp; PLUSMN; 0.02 and decrease the hardness from 2849.32 &amp; PLUSMN; 101.90 to 1061.36 &amp; PLUSMN; 20.15 (p &lt; 0.05). In addition, the syneresis of GG hydrogel (1.92%) was decreased to 1.56% in GG/CS hydrogel. Furthermore, the results of zeta potential measurements showed an increase of the value from -24.33 &amp; PLUSMN; 0.45 to -5.1 &amp; PLUSMN; 0.65 for GG and GG/CS hydrogels, respectively. The results revealed that in this method, chitosan could establish electrostatic interaction with gellan gum, which makes it a proper replacer for high bloom gelatin.</t>
  </si>
  <si>
    <t>[Khorshidi, Sadaf; Khoobbakht, Faezeh; Mirmoghtadaie, Leila; Hosseini, Seyede Marzieh] Shahid Beheshti Univ Med Sci, Natl Nutr &amp; Food Technol Res Inst, Fac Nutr Sci &amp; Food Technol, Dept Food Sci &amp; Technol, Tehran, Iran</t>
  </si>
  <si>
    <t>Shahid Beheshti University Medical Sciences</t>
  </si>
  <si>
    <t>Mirmoghtadaie, L; Hosseini, SM (corresponding author), Shahid Beheshti Univ Med Sci, Natl Nutr &amp; Food Technol Res Inst, Fac Nutr Sci &amp; Food Technol, Dept Food Sci &amp; Technol, Tehran, Iran.</t>
  </si>
  <si>
    <t>mirmoghtadaie@sbmu.ac.ir; Sm_hosseini@sbmu.ac.ir</t>
  </si>
  <si>
    <t>0268-005X</t>
  </si>
  <si>
    <t>1873-7137</t>
  </si>
  <si>
    <t>FOOD HYDROCOLLOID</t>
  </si>
  <si>
    <t>Food Hydrocolloids</t>
  </si>
  <si>
    <t>10.1016/j.foodhyd.2023.109038</t>
  </si>
  <si>
    <t>O3RK2</t>
  </si>
  <si>
    <t>WOS:001043020300001</t>
  </si>
  <si>
    <t>Kirupakaran, S; Preethi, V; Prabhavathy, A; Preyadarshi, S; Chandana, S</t>
  </si>
  <si>
    <t>Kirupakaran, Shanmugam; Preethi, V; Prabhavathy, Angeline; Preyadarshi, S.; Chandana, Sri</t>
  </si>
  <si>
    <t>A study on the mechanical and durability properties of bacterial culture with Ground Granulated Blast Furnace Slag (GGBS) as partial replacement for cement</t>
  </si>
  <si>
    <t>Bioconcrete; Bacillus cereus KOV15; Load-deflection studies; Durability; Bacterial culture</t>
  </si>
  <si>
    <t>SELF-HEALING AGENT; SPOROSARCINA-PASTEURII; CONCRETE; PRECIPITATION; BIOCEMENT; INSIGHTS; STRAIN; WATER</t>
  </si>
  <si>
    <t>In concrete structures, the formation of cracks leads to reduction in the strength of the structures. Bioconcrete is an environmentally friendly material used for healing of cracks. In this study, the indigenous bacteria Bacillus cereus KOV15 obtained from the soil is used in bioconcrete with Ground Granulated Blast Furnace Slag (GGBS) as partial replacement for cement. Five different mixes of concrete such as conventional concrete and various mixes of concrete with bacterial broth culture (30% GGBS + 5% bacterial broth culture), (30% GGBS +10% bacterial broth culture), (40% GGBS + 5% bacterial broth culture) and (40% GGBS + 10% bacterial broth culture) were used to find the mechanical and durability properties and to study the microstructure of bioconcrete. The maximum percentage increase in the cube compressive strength, the split tensile strength and the flexural strength of bioconcrete was 26.79%, 11.69% and 21.3% respectively for concrete with 30% cement replaced with GGBS and 10% bacterial broth culture in comparison with the control concrete at the 28th day. The XRD, SEM and EDX analyses were performed to identify the calcium carbonate formation in bioconcrete. The SEM images of the bioconcrete with GGBS as replacement for cement have better hydrated form and have lesser pores than the conventional concrete. The EDX results exhibited a significant increase in the amount of calcium in the bioconcretewith 30% GGBS and 10% bacterial broth culture by 103.82% than that of the conventional concrete.The permeability of chloride ion was very low (903.2 Coulombs) in concrete with 10% bacterial broth culture and 30% GGBS as partial replacement for cement. The water absorption was maximum (3.03%) in the conventional concrete specimens when compared to other bioconcrete specimens with bacterial broth culture and GGBS as partial replacement for cement. Bioconcrete showed very low permeability and higher acid resistance than the conventional concrete. The Load deflection studies exhibited higher ultimate load and ductility factor for bioconcrete and the failure pattern of bioconcrete indicated lesser number of cracks, minimum crack width and no shear failure pattern. The indigenous Bacillicus Cereus KOV15 strains can be used for the synthesis of green construction materials like calcite-based biocement.</t>
  </si>
  <si>
    <t>[Kirupakaran, Shanmugam; Preethi, V] Hindustan Inst Technol &amp; Sci, Dept Civil Engn, Chennai, Tamil Nadu, India; [Prabhavathy, Angeline] Annai Vailankanni Coll Engn, Pottalkulam, Tamil Nadu, India; [Preyadarshi, S.] Vels Inst Sci Technol &amp; Adv Studies, Pallvaram, India; [Chandana, Sri] Annamacharya Inst Technol &amp; Sci, Dept Civil Engn, Kadapa, Andhra Pradesh, India</t>
  </si>
  <si>
    <t>Hindustan Institute of Technology &amp; Science; Vels Institute of Science, Technology &amp; Advanced Studies</t>
  </si>
  <si>
    <t>Kirupakaran, S; Preethi, V (corresponding author), Hindustan Inst Technol &amp; Sci, Dept Civil Engn, Chennai, Tamil Nadu, India.</t>
  </si>
  <si>
    <t>shan.thamarai@gmail.com; preethi_enviro@hotmail.com</t>
  </si>
  <si>
    <t>e02325</t>
  </si>
  <si>
    <t>10.1016/j.cscm.2023.e02325</t>
  </si>
  <si>
    <t>Q6BT3</t>
  </si>
  <si>
    <t>WOS:001058362700001</t>
  </si>
  <si>
    <t>Kronenberg, E; Schepmann, D; Wunsch, B</t>
  </si>
  <si>
    <t>Kronenberg, Elisabeth; Schepmann, Dirk; Wuensch, Bernhard</t>
  </si>
  <si>
    <t>Relationships between the structure of spiro[[2] benzopyran-1,1'-cyclohexan]-4'-amines and their a1 receptor affinity and selectivity</t>
  </si>
  <si>
    <t>Spirocyclic 2-benzopyans; Exocyclic amines; Cis/trans-configuration; Structure-affinity relationships; a1 receptor ligands; Selectivity; a2 ligands; KOR ligands; Opioid receptors</t>
  </si>
  <si>
    <t>PHARMACOLOGICAL EVALUATION; SIGMA-1 RECEPTORS; NEUROPATHIC PAIN; LIGANDS; BINDING; CLONING; ANTAGONIST; EXPRESSION; CHANNELS; MOIETY</t>
  </si>
  <si>
    <t>A set of 31 secondary and tertiary amines of type 5 was synthesized by reductive amination of ketones 6 and 22-24 with amines and NaBH(OAc)3. Usually, cis-configured amines display higher a1 affinity than trans -configured analogs. Elongation of the distance between the amino moiety and the terminal phenyl ring from one to three CH2 moieties increased the a1 affinity. Tertiary amines with one small N-substituent are well tolerated by the a1 receptor. Within this class of compounds, the cyclohexylpiperazines trans -21a (Ki(a1) = 6.3 nM) and cis -21b (Ki(a1) = 4.4 nM) show very high a1 affinity and selectivity over related receptors (a2 receptor, MOR, DOR, KOR). On the other hand, the cis-configured p-fluorophenylpiperazine cis -20b was identified as high-affinity a2 ligand (Ki(a2) = 11 nM) with considerable selectivity over a1 receptor, MOR, DOR and KOR. Very high MOR affinity (Ki = 2.3 nM), but only moderate affinity towards both a receptor subtypes was detected for the cis -configured piperidine cis -17b without aryl moiety at the piperidine ring. Thus, cis -17b represents a novel MOR chemotype with high MOR affinity and high selectivity over both a receptors, DOR and KOR.</t>
  </si>
  <si>
    <t>[Kronenberg, Elisabeth; Schepmann, Dirk; Wuensch, Bernhard] Univ Munster, Inst Pharmazeut &amp; Med Chem, Corrensstr 48, D-48149 Munster, Germany</t>
  </si>
  <si>
    <t>University of Munster</t>
  </si>
  <si>
    <t>Wunsch, B (corresponding author), Univ Munster, Inst Pharmazeut &amp; Med Chem, Corrensstr 48, D-48149 Munster, Germany.</t>
  </si>
  <si>
    <t>wuensch@uni-muenster.de</t>
  </si>
  <si>
    <t>Deutsche Forschungsgemeinschaft</t>
  </si>
  <si>
    <t>Deutsche Forschungsgemeinschaft(German Research Foundation (DFG))</t>
  </si>
  <si>
    <t>This work was supported by the Deutsche Forschungsgemeinschaft, which is gratefully acknowledged.</t>
  </si>
  <si>
    <t>10.1016/j.rechem.2023.101057</t>
  </si>
  <si>
    <t>P8VN6</t>
  </si>
  <si>
    <t>WOS:001053396300001</t>
  </si>
  <si>
    <t>Kuppusamy, S; Venkateswarlu, K; Megharaj, M; Sellappa, K; Lee, YB</t>
  </si>
  <si>
    <t>Kuppusamy, Saranya; Venkateswarlu, Kadiyala; Megharaj, Mallavarapu; Sellappa, Kanmani; Lee, Yong Bok</t>
  </si>
  <si>
    <t>Contamination of long-term manure-fertilized Indian paddy soils with veterinary antibiotics: Impact on bacterial communities and antibiotics resistance genes</t>
  </si>
  <si>
    <t>APPLIED SOIL ECOLOGY</t>
  </si>
  <si>
    <t>Veterinary antibiotics; Animal manure; NPK fertilizer; Bacterial community and diversity; Antimicrobial resistance genes (ARGs)</t>
  </si>
  <si>
    <t>ORGANIC VEGETABLE FARMS; HEAVY-METALS; RISK-ASSESSMENT; QUINOLONE ANTIBIOTICS; ENZYMATIC-ACTIVITIES; SUBTROPICAL CITY; FARMLAND SOIL; TETRACYCLINE; SULFONAMIDE; SOUTH</t>
  </si>
  <si>
    <t>In the present study, we investigated the implication of long-term fertilization of Indian rice paddies with animal manures on the prevalence of veterinary antibiotics (VAs) residues, enrichment of soil microorganisms, and abundance of antibiotic resistance genes (ARGs). The most frequently detected antibiotics in Indian paddy soils were tetracyclines followed by sulfonamides. The soils long-term fertilized with poultry manure (PM) and cow manure (CM) contained significant amounts of VAs (137.20 &amp; mu;g kg-1) in soil. Members of Actinobacteria, Streptomyces, Rubrobacter, Pseudonocardia, Pseudomonas and Rhizobium were predominant in soils that received PM or CM. ARGs such as mtrA, arlR, bcrA, novA, oleC, sul4 and kdpE that confer resistance mostly to macrolides, aminocoumarins, multi-drugs, and sulfonamides were predominant, and the main phyla that contributed ARGs included Actinobacteria (55 %) and Proteobacteria (22 %). Antibiotic modification/degradation was the major (58.30 %) antibiotic resistance mechanism in bacteria enriched in long-term fertilized soils. Residues of tetracyclines, quinolones, sulfonamides, Cu and Cd in soils positively correlated with ARGs. Notably, this study is the first evidence on the prevalence of VAs, antibiotic-resistant microbes, and ARGs in paddy soils of India long-term fertilized with PM or CM and shed light on the interactions between antibiotics, heavy metals and ARGs.</t>
  </si>
  <si>
    <t>[Kuppusamy, Saranya; Sellappa, Kanmani] Anna Univ, Coll Engn Guindy, Ctr Environm Studies, Dept Civil Engn, Chennai 600025, Tamil Nadu, India; [Venkateswarlu, Kadiyala] Sri Krishnadevaraya Univ, Dept Microbiol, Anantapuramu 515003, India; [Megharaj, Mallavarapu] Univ Newcastle, Global Ctr Environm Remediat, Coll Engn Sci &amp; Environm, Callaghan, NSW 2308, Australia; [Lee, Yong Bok] Gyeongsang Natl Univ, Div Appl Life Sci Plus BK21, Jinju 52828, South Korea</t>
  </si>
  <si>
    <t>Anna University; Anna University Chennai; College of Engineering Guindy; Sri Krishnadevaraya University; University of Newcastle; Gyeongsang National University</t>
  </si>
  <si>
    <t>Kuppusamy, S (corresponding author), Anna Univ, Coll Engn Guindy, Ctr Environm Studies, Dept Civil Engn, Chennai 600025, Tamil Nadu, India.</t>
  </si>
  <si>
    <t>saran.miles2go@gmail.com</t>
  </si>
  <si>
    <t>DST-SERB (Department of Science and Technology - Science and Engineering Research Board) Ramanujan Fellowship grant [SB/S2/RJN-182/2017]</t>
  </si>
  <si>
    <t>DST-SERB (Department of Science and Technology - Science and Engineering Research Board) Ramanujan Fellowship grant</t>
  </si>
  <si>
    <t>The support from the Indian government offered through a DST-SERB (Department of Science and Technology - Science and Engineering Research Board) Ramanujan Fellowship grant (Sanction Order No. SB/S2/RJN-182/2017) to SK is acknowledged.</t>
  </si>
  <si>
    <t>0929-1393</t>
  </si>
  <si>
    <t>1873-0272</t>
  </si>
  <si>
    <t>APPL SOIL ECOL</t>
  </si>
  <si>
    <t>Appl. Soil Ecol.</t>
  </si>
  <si>
    <t>10.1016/j.apsoil.2023.105106</t>
  </si>
  <si>
    <t>Soil Science</t>
  </si>
  <si>
    <t>Agriculture</t>
  </si>
  <si>
    <t>S4EJ7</t>
  </si>
  <si>
    <t>WOS:001070713300001</t>
  </si>
  <si>
    <t>Lee, JY; Reiner, DM</t>
  </si>
  <si>
    <t>Lee, Juyong; Reiner, David M.</t>
  </si>
  <si>
    <t>Determinants of public preferences on low-carbon energy sources: Evidence from the United Kingdom</t>
  </si>
  <si>
    <t>Low-carbon energy; Nuclear power; Renewable energy; Variable selection models; Public trust; Climate change perceptions</t>
  </si>
  <si>
    <t>CLIMATE-CHANGE; NUCLEAR-POWER; RISK PERCEPTIONS; ATTITUDES; ACCEPTANCE; REGRESSION; KNOWLEDGE; POLICY; TECHNOLOGIES; INFORMATION</t>
  </si>
  <si>
    <t>We empirically derive the determinants of British public preferences for different low-carbon energy sources using machine learning algorithm-based variable selection methods (ridge, lasso, and elastic net regression models). We seek to understand the drivers of support for solar, wind, biomass, and nuclear energy, which are the largest low-carbon energy sources and together account for the majority of UK power generation. Explanatory variables examined include those related to demographics, knowledge, perceptions of climate change, and government policy. We carry out a comparative study by synthesising the results of our independent analyses for each energy source and find that the preferred energy sources vary with respondents' views on anticipated climate change impacts. Those who believe that potential effects of climate change will be catastrophic tend to prefer renewable energy sources whereas those less concerned about climate change tend to prefer nuclear power. The public also prefers energy sources about which they are more familiar or knowledgeable. Energy transition policies should be adjusted to better consider the factors that drive public acceptance of low-carbon energy sources, including exploring ways to secure policy support that considers energy source-specific characteristics and expanding public awareness of climate change and individual technologies, particularly among certain demographics.</t>
  </si>
  <si>
    <t>[Lee, Juyong; Reiner, David M.] Univ Cambridge, Cambridge Judge Business Sch, Energy Policy Res Grp, Trumpington St, Cambridge CB2 1AG, England; [Lee, Juyong] Changwon Natl Univ, Dept Ind &amp; Syst Engn, Chang Won, South Korea</t>
  </si>
  <si>
    <t>University of Cambridge; Changwon National University</t>
  </si>
  <si>
    <t>Lee, JY (corresponding author), Changwon Natl Univ, Dept Ind &amp; Syst Engn, Chang Won, South Korea.</t>
  </si>
  <si>
    <t>jylee@changwon.ac.kr; d.reiner@jbs.cam.ac.uk</t>
  </si>
  <si>
    <t>10.1016/j.energy.2023.128704</t>
  </si>
  <si>
    <t>Q7IT7</t>
  </si>
  <si>
    <t>WOS:001059230500001</t>
  </si>
  <si>
    <t>Li, BJ; Tang, WJ; Zhou, Y; Liu, JC; Sun, D; Wang, XY; Zhang, GL; Li, BB; Ge, YX</t>
  </si>
  <si>
    <t>Li, Bojun; Tang, Wenjing; Zhou, Yue; Liu, Jincheng; Sun, De; Wang, Xiangyu; Zhang, Guoliang; Li, Bingbing; Ge, Yanxia</t>
  </si>
  <si>
    <t>Ultrasonic-mediated electrochemical design of graphene/polyacrylonitrile conductive membrane for antifouling and electrofiltration</t>
  </si>
  <si>
    <t>Graphene; Polyacrylonitrile; Conductive membrane; Electrofiltration; Antifouling</t>
  </si>
  <si>
    <t>FILTER MEMBRANE; ELECTRIC-FIELD; GRAPHENE; EXFOLIATION; PERFORMANCE; PROPERTY; POWER</t>
  </si>
  <si>
    <t>Electrofiltration using conductive membranes can effectively alleviate membrane fouling. However, poor dispersion and aggregation in water severely constrain the ability of graphene (Gr) to synthesize conductive membranes. Herein, the water-dispersible Gr with high conductivity is tailored by ultrasonic-assisted electrochemical exfoliation and loaded onto the polyacrylonitrile (PAN) membrane by classical vacuum filtering in layers. The customization at 6 V voltage, 40 W ultrasonic power, and 23.87 g/m2 mass loading endows an optimal improvement in membrane pore structure, permeability, mechanical behavior, and electrochemical properties. The graphene/polyacrylonitrile (Gr/PAN) conductive membrane exhibits a high conductivity of 6.43 S/cm and a water flux of 450.19 L m -2h- 1. The membrane shows remarkable antifouling capabilities by achieving a 99.8% rejection rate, 89.74% flow rate recovery, and only 10.26% irreversible fouling using yeast as a pollutant model. The normalized flux of the membrane can stay high at 0.41 after electrofiltration for 120 min, outperforming other conductive membranes in comparison. Cyclic electrofiltration of the developed membrane exhibits a 53.85% higher normalized flux than when no electric field is present, demonstrating its potential for long-lasting antifouling under electric fields. This study offered a novel strategy for the straightforward construction of highly functional graphene-based conductive membranes utilized in electrofiltration.</t>
  </si>
  <si>
    <t>[Li, Bojun; Tang, Wenjing; Sun, De; Wang, Xiangyu; Zhang, Guoliang; Li, Bingbing; Ge, Yanxia] Changchun Univ Technol, Dept Chem Engn, 2055 Yanan St, Changchun 130012, Peoples R China; [Li, Bojun] Beijing Normal Univ, Sch Environm, State Key Lab Water Environm Simulat, Beijing 100875, Peoples R China; [Tang, Wenjing] China Agr Univ, Coll Resources &amp; Environm Sci, Beijing Key Lab Farmland Soil Pollut Prevent &amp; Rem, Beijing 100193, Peoples R China; [Li, Bojun; Tang, Wenjing; Sun, De; Wang, Xiangyu; Zhang, Guoliang; Li, Bingbing; Ge, Yanxia] Key Lab Adv Funct Polymer Membrane Mat Jilin Prov, 2055 Yanan St, Changchun 130012, Peoples R China; [Zhou, Yue] Daqing Petrochem Co Plast Factory PetroChina, Daqing 163714, Peoples R China; [Liu, Jincheng] CNPC, Petrochina Petrochem Res Inst, Daqing Chem Res Ctr, Daqing 163714, Peoples R China</t>
  </si>
  <si>
    <t>Changchun University of Technology; Beijing Normal University; China Agricultural University; China National Petroleum Corporation</t>
  </si>
  <si>
    <t>Sun, D; Li, BB; Ge, YX (corresponding author), Changchun Univ Technol, Dept Chem Engn, 2055 Yanan St, Changchun 130012, Peoples R China.</t>
  </si>
  <si>
    <t>sunde@ccut.edu.cn; lbingbing2002@163.com; 79533880@qq.com</t>
  </si>
  <si>
    <t>Sun, De/0000-0003-0928-3185</t>
  </si>
  <si>
    <t>National Key RD Plan [2022YFB3903200, 2022YFB3903203]; Jilin Provincial Science &amp; Technology Department [20230201144GX]</t>
  </si>
  <si>
    <t>National Key RD Plan; Jilin Provincial Science &amp; Technology Department</t>
  </si>
  <si>
    <t>This work is supported by the National Key R&amp;D Plan [grant numbers 2022YFB3903200, 2022YFB3903203]; the financial support from Jilin Provincial Science &amp; Technology Department [grant number 20230201144GX].</t>
  </si>
  <si>
    <t>10.1016/j.seppur.2023.124727</t>
  </si>
  <si>
    <t>R2WG6</t>
  </si>
  <si>
    <t>WOS:001062998700001</t>
  </si>
  <si>
    <t>Li, F; Song, FG</t>
  </si>
  <si>
    <t>Li, Feng; Song, Fengguang</t>
  </si>
  <si>
    <t>Efficient in-situ workflow planning for geographically distributed heterogeneous environments</t>
  </si>
  <si>
    <t>In-situ workflows; Geographically distributed heterogeneous; ecosystem; Resource planning; Scheduling algorithms; Scientific workflows; High-performance computing</t>
  </si>
  <si>
    <t>SYSTEM; MODEL</t>
  </si>
  <si>
    <t>In-situ workflows are a particular class of scientific workflows where different components (such as simulation, visualization, machine learning, and data analysis) run concurrently. In an in-situ workflow, data continuously flows between components during the whole workflow lifetime in a pipeline fashion. The overall throughput of an in-situ workflow is limited by the slowest moving part of the workflow: either a time-consuming computation component or an expensive data transfer operation between different components. Given geographically distributed heterogeneous computing environments and an in-situ workflow comprising various component applications, it is challenging to produce optimized deployment plans to decide where to launch each component application and how much computing resources to allocate for each component. In this work, we first formulate and define the in-situ workflow planning problem and then discuss the uniqueness of the problem. We design a heuristic-based solver based on our new Scheduled-Neighbors-Lookup(SNL) algorithm, which produces effective deployment plans with much less time, compared with the mathematicaloptimization-based solver using CPLEX. Our experiments with both synthetic and real-world workflows show that the SNL algorithm can find optimized solutions whose qualities are comparable to that of the CPLEX optimization method with significantly reduced problem-solving time (e.g., more than 20,000 times faster on average for in-situ workflows with 14 components). Compared with existing methods such as HEFT, R-Storm, and T3 schedulers, the SNL algorithm can generate resource plans with higher throughput, with increased time and resource efficiency.</t>
  </si>
  <si>
    <t>[Li, Feng; Song, Fengguang] Purdue Univ, Indiana Univ, Dept Comp Sci, Indianapolis, IN 46202 USA; [Song, Fengguang] IUPUI, Dept Comp Sci, Indianapolis, IN USA</t>
  </si>
  <si>
    <t>Purdue University System; Purdue University; Indiana University System; Indiana University-Purdue University Indianapolis; Indiana University System; Indiana University-Purdue University Indianapolis</t>
  </si>
  <si>
    <t>Song, FG (corresponding author), Purdue Univ, Indiana Univ, Dept Comp Sci, Indianapolis, IN 46202 USA.</t>
  </si>
  <si>
    <t>lifen@iupui.edu; fgsong@iupui.edu</t>
  </si>
  <si>
    <t>National Science Foundation, United States [ACI-1548562, 1835817]</t>
  </si>
  <si>
    <t>National Science Foundation, United States(National Science Foundation (NSF))</t>
  </si>
  <si>
    <t>This work was supported by the National Science Foundation, United States 1835817. This work also used the Extreme Science and Engineering Discovery Environment (XSEDE), which is supported by National Science Foundation, United States grant number ACI-1548562.</t>
  </si>
  <si>
    <t>10.1016/j.future.2023.07.010</t>
  </si>
  <si>
    <t>P4VS8</t>
  </si>
  <si>
    <t>WOS:001050661200001</t>
  </si>
  <si>
    <t>Li, K; Li, HN; Xue, YR; Yang, HC; Zhang, C; Xu, ZK</t>
  </si>
  <si>
    <t>Li, Kai; Li, Hao-Nan; Xue, Yu-Ren; Yang, Hao-Cheng; Zhang, Chao; Xu, Zhi-Kang</t>
  </si>
  <si>
    <t>Photothermal Janus fabrics enabling persistent directional sweat-wicking in personal wet-thermal management</t>
  </si>
  <si>
    <t>Persistent sweat-wicking; Janus fabrics; Photothermal conversion; Directional liquid transport; Personal management</t>
  </si>
  <si>
    <t>COTTON FABRICS; DROPLET</t>
  </si>
  <si>
    <t>Directional sweat-wicking by Janus fabrics has gained substantial attention in promoting personal wet-thermal management for optimal human comfort. During intense physical exercise, excessive sweating can cause the flooding of fabrics and weaken their wicking capabilities once the inner capillary channels are saturated. To address this issue, we develop a photothermal Janus fabric through a facile polydopamine (PDA) deposition followed by single-sided spray-coating of hydrophobic polydimethylsiloxane (PDMS). Such innovative fabrics enable directional sweat-wicking through a Janus structure and persistent removal of excessive sweat by solar-powered evaporation. Under sunlight, our photothermal Janus fabrics exhibit an enhanced evaporation rate, approximately twice compared with that of conventional Janus fabrics (similar to 1.143 +/- 0.027 kg m(-2)h(-1)), making them suitable for high sweating rates during vigorous exercise. Furthermore, these fabrics help to maintain the skin temperature within the normal range, preventing hypothermia caused by profuse sweating. In addition, our photothermal Janus fabrics exhibit excellent washing durability even after multiple washing cycles, ensuring prolonged performance and safety.</t>
  </si>
  <si>
    <t>[Li, Kai; Li, Hao-Nan; Xue, Yu-Ren; Yang, Hao-Cheng; Zhang, Chao; Xu, Zhi-Kang] Zhejiang Univ, MOE Engn Ctr Membranes Water Treatment, Dept Polymer Sci &amp; Engn, Key Lab Adsorpt &amp; Separat Mat &amp; Technol Zhejiang P, Hangzhou 310027, Peoples R China; [Li, Kai; Li, Hao-Nan; Xue, Yu-Ren; Yang, Hao-Cheng; Zhang, Chao; Xu, Zhi-Kang] Zhejiang Univ, Int Res Ctr Polymers 10, Belt &amp; Rd Sino Portugal Joint Lab Adv Mat, Hangzhou 310027, Peoples R China</t>
  </si>
  <si>
    <t>Zhejiang University; Zhejiang University</t>
  </si>
  <si>
    <t>Yang, HC; Zhang, C; Xu, ZK (corresponding author), Zhejiang Univ, MOE Engn Ctr Membranes Water Treatment, Dept Polymer Sci &amp; Engn, Key Lab Adsorpt &amp; Separat Mat &amp; Technol Zhejiang P, Hangzhou 310027, Peoples R China.;Yang, HC; Zhang, C; Xu, ZK (corresponding author), Zhejiang Univ, Int Res Ctr Polymers 10, Belt &amp; Rd Sino Portugal Joint Lab Adv Mat, Hangzhou 310027, Peoples R China.</t>
  </si>
  <si>
    <t>yanghch@zju.edu.cn; zhangchao7@zju.edu.cn; xuzk@zju.edu.cn</t>
  </si>
  <si>
    <t>; Yang, Hao-Cheng/A-7111-2016</t>
  </si>
  <si>
    <t>zhang, chao/0000-0002-1275-7794; Yang, Hao-Cheng/0000-0002-5669-4916</t>
  </si>
  <si>
    <t>National Natural Science Foundation of China [U21A20300]; Guangdong Basic and Applied Basic Research</t>
  </si>
  <si>
    <t>National Natural Science Foundation of China(National Natural Science Foundation of China (NSFC)); Guangdong Basic and Applied Basic Research</t>
  </si>
  <si>
    <t>We thank Dr. C. Liu for his assistance in language polishing and Ms. Y. Guo for her help in conducting SEM measurements. This work is financially supported by the National Natural Science Foundation of China (U21A20300) and Guangdong Basic and Applied Basic Research</t>
  </si>
  <si>
    <t>10.1016/j.jcis.2023.08.044</t>
  </si>
  <si>
    <t>Q8RS9</t>
  </si>
  <si>
    <t>WOS:001060144700001</t>
  </si>
  <si>
    <t>Liang, C; Li, Z; Wang, C; Li, K; Xiang, Y; Jia, XS</t>
  </si>
  <si>
    <t>Liang, Chang; Li, Zhou; Wang, Cong; Li, Kai; Xiang, Yang; Jia, Xianshi</t>
  </si>
  <si>
    <t>Laser drilling of alumina ceramic substrates: A review</t>
  </si>
  <si>
    <t>Alumina ceramic; Laser drilling; Combined pulse laser; Liquid-assisted laser drilling</t>
  </si>
  <si>
    <t>CONTINUOUS-WAVE LASER; ND-YAG LASER; SILICON-NITRIDE; MILLISECOND LASER; NANOSECOND LASER; MICRO-HOLES; PULSE; FEMTOSECOND; ABLATION; SURFACE</t>
  </si>
  <si>
    <t>Alumina ceramic substrate is an ideal material for the new generation of microelectronic systems and devices, which is widely used in aerospace, 5G communication, high-power semiconductors, and high-power LED lighting, etc. The high-quality micro-hole processing of the alumina ceramic is the basis for system interconnection and device packaging. The existing laser processing methods, such as the single millisecond laser drilling and nanosecond laser drilling, et al., are difficult to achieve high processing efficiency and quality at the same time. So, hybrid laser processing technologies, such as combined pulse laser (CPL) and liquid-assisted laser drilling, have been widely studied. In this review, we detail the current research status of laser drilling theory of alumina ceramic and its development trend. Also, the current status of the drilling research of long-pulsed laser, short-pulsed laser, and ultrafast laser is discussed, and their advantageous points and respective limitations are compared. In addition, the research hotspot of hybrid laser processing technology is highlighted, specifically from the CPL drilling and liquid-assisted laser drilling. Finally, the future key research directions that need to be conducted in the field of laser drilling of alumina ceramic substrates are discussed to further promote the applicability of the laser drilling technology.</t>
  </si>
  <si>
    <t>[Liang, Chang] Changsha Univ, Coll Mech &amp; Elect Engn, Changsha 410022, Peoples R China; [Li, Zhou; Wang, Cong; Li, Kai; Jia, Xianshi] Cent South Univ, Coll Mech &amp; Elect Engn, State Key Lab Precis Mfg Extreme Serv Performance, Changsha 410083, Peoples R China; [Xiang, Yang] Wuhan Huaray Precis Laser Co Ltd, Profess Manufacturer High end Lasers, Wuhan 430074, Peoples R China</t>
  </si>
  <si>
    <t>Changsha University; Central South University</t>
  </si>
  <si>
    <t>Jia, XS (corresponding author), Cent South Univ, Coll Mech &amp; Elect Engn, State Key Lab Precis Mfg Extreme Serv Performance, Changsha 410083, Peoples R China.;Xiang, Y (corresponding author), Wuhan Huaray Precis Laser Co Ltd, Profess Manufacturer High end Lasers, Wuhan 430074, Peoples R China.</t>
  </si>
  <si>
    <t>xiangyang@huaraylaser.com; 221026@csu.edu.cn</t>
  </si>
  <si>
    <t>Jia, Xianshi/0000-0002-8861-9726</t>
  </si>
  <si>
    <t>National Natural Science Foundation of China [52105498]; Natural Science Foundation of Hunan Province [2022JJ40597, 2022JJ40600, 2022JJ40624]; State Key Laboratory of Precision Manufacturing for Extreme Service Performance [ZZYJKT2023-08]; Advanced Laser Technology Laboratory of Anhui Province [AHL2022KF04]; National Key R amp; D Program of China [2017YFB1104300]; Project of State Key Laboratory of High Performance Complex Manufacturing [ZZYJKT2021-12]; Research Project of State Key Laboratory of Pulsed Power Laser Technology [SKL2021KF01]; State Key Laboratory of Mechanical System [MSV202214]; National Key Laboratory of Science [WDZC2022-14]; National Natural Science Foundation of China Joint Fund for Regional Innovation Development (Hunan Province) [U22A20200]; General Project of the Education Department of Hunan [22C0584]</t>
  </si>
  <si>
    <t>National Natural Science Foundation of China(National Natural Science Foundation of China (NSFC)); Natural Science Foundation of Hunan Province(Natural Science Foundation of Hunan Province); State Key Laboratory of Precision Manufacturing for Extreme Service Performance; Advanced Laser Technology Laboratory of Anhui Province; National Key R amp; D Program of China; Project of State Key Laboratory of High Performance Complex Manufacturing; Research Project of State Key Laboratory of Pulsed Power Laser Technology; State Key Laboratory of Mechanical System; National Key Laboratory of Science; National Natural Science Foundation of China Joint Fund for Regional Innovation Development (Hunan Province); General Project of the Education Department of Hunan</t>
  </si>
  <si>
    <t>&amp; nbsp;We are grateful for financial supports from National Natural Science Foundation of China (Grant No. 52105498) , Natural Science Foundation of Hunan Province (Grant No. 2022JJ40597, 2022JJ40600, 2022JJ40624) , State Key Laboratory of Precision Manufacturing for Extreme Service Performance (Grant No. ZZYJKT2023-08) , Advanced Laser Technology Laboratory of Anhui Province (Grant No. AHL2022KF04) , National Key R &amp; amp; D Program of China (Grant No. 2017YFB1104300) , the Project of State Key Laboratory of High Performance Complex Manufacturing (Grant No. ZZYJKT2021-12) , Research Project of State Key Laboratory of Pulsed Power Laser Technology (SKL2021KF01) , State Key Laboratory of Mechanical System and Vibration (MSV202214) , National Key Laboratory of Science and Technology on Materials under Shock and Impact (WDZC2022-14) , National Natural Science Foundation of China Joint Fund for Regional Innovation Development (Hunan Province) U22A20200, and General Project of the Education Department of Hunan (22C0584) .</t>
  </si>
  <si>
    <t>10.1016/j.optlastec.2023.109828</t>
  </si>
  <si>
    <t>P1ME5</t>
  </si>
  <si>
    <t>WOS:001048343200001</t>
  </si>
  <si>
    <t>Liao, J; Lin, BQ; Wang, HJ; Wu, ZQ</t>
  </si>
  <si>
    <t>Liao, Jian; Lin, Bin-Quan; Wang, Hao-Jie; Wu, Zhen-Qi</t>
  </si>
  <si>
    <t>Genetic structural variation in mitochondrial genomes of four species of Gomphidae and their phylogenetic implications</t>
  </si>
  <si>
    <t>Mitogenomes; Dragonfly; The family Gomphidae; Protein-coding genes; Phylogeny</t>
  </si>
  <si>
    <t>ODONATA; CHINA; REARRANGEMENT; LEPIDOPTERA; ALGORITHM; INSECTA</t>
  </si>
  <si>
    <t>The Gomphids are the most diverse and important group in the (sub)tropics. Currently, research on Gomphids is mainly focused on fieldwork and morphological classification, however, the molecular-based study is still insufficient. Here, complete mitogenomes of Nihonogomphus semanticus (15,368 bp), Nihonogomphus lieftincki (15,342 bp), Asiagomphus septimus (15,334 bp), and Davidius fruhstorferi (15,682 bp) were obtained by high-throughput sequencing. Of the 37 genes conserved in order and orientation, 9 protein-coding genes (PCGs) and 14 tRNA genes were encoded by heavy strand, while the rest were encoded by light strand. The secondary structures of the protein encoded by 13 PCGs showed a general trend of proportion: alpha helix &gt; random coil &gt; extended strand &gt; beta turn. The trnS1 gene lacked a dihydrouridine arm and was thus reduced to a loop. The 3D structures of the protein encoded by 13 PCGs showed moderate to high levels of consistency among species. Phylogenetic analysis showed that Gomphids were well-supported monophyletic group, both BI and ML tree showed clear phylogenetic relationships in known Gomphidae: ((((D. lunatus + D. fruhstorferi) + A. septimus) + ((N. semanticus + N. lieftincki) + Ophiogomphus cecilia)) + Ictinogomphus sp MT 2014). Our study provides insight into the gene or their protein structure features of the family Gomphidae mitogenomes and lays the foundation for further phylogenetic studies.</t>
  </si>
  <si>
    <t>[Liao, Jian; Lin, Bin-Quan] Guangdong Ocean Univ, Fisheries Coll, Zhanjiang 524025, Peoples R China; [Liao, Jian; Wang, Hao-Jie; Wu, Zhen-Qi] Jinan Univ, Dept Ecol, Guangzhou 510632, Peoples R China; [Liao, Jian; Wang, Hao-Jie; Wu, Zhen-Qi] Jinan Univ, Inst Hydrobiol, Guangzhou 510632, Peoples R China</t>
  </si>
  <si>
    <t>Guangdong Ocean University; Jinan University; Jinan University; Chinese Academy of Sciences</t>
  </si>
  <si>
    <t>Liao, J (corresponding author), Guangdong Ocean Univ, Fisheries Coll, Zhanjiang 524025, Peoples R China.</t>
  </si>
  <si>
    <t>liaojian05@outlook.com</t>
  </si>
  <si>
    <t>Liao, Jian/0009-0005-0459-2060</t>
  </si>
  <si>
    <t>10.1016/j.genrep.2023.101808</t>
  </si>
  <si>
    <t>Q7UB7</t>
  </si>
  <si>
    <t>WOS:001059527300001</t>
  </si>
  <si>
    <t>Lima, MTNS; Howsam, M; Delayre-Orthez, C; Jacolot, P; Jaisson, S; Criquet, J; Billamboz, M; Ghinet, A; Fradin, C; Boulanger, E; Bray, F; Flament, S; Rolando, C; Gillery, P; Niquet-Leridon, C; Tessier, FJ</t>
  </si>
  <si>
    <t>Lima, M. T. Nogueira Silva; Howsam, M.; Delayre-Orthez, C.; Jacolot, P.; Jaisson, S.; Criquet, J.; Billamboz, M.; Ghinet, A.; Fradin, C.; Boulanger, E.; Bray, F.; Flament, S.; Rolando, C.; Gillery, P.; Niquet-Leridon, C.; Tessier, F. J.</t>
  </si>
  <si>
    <t>Glycated bovine serum albumin for use in feeding trials with animal models-In vitro methodology and characterization of a glycated substrate for modifying feed pellets</t>
  </si>
  <si>
    <t>Carboxymethyllysine; Glycation; BSA; Glyoxal</t>
  </si>
  <si>
    <t>N-EPSILON-CARBOXYMETHYLLYSINE; MAILLARD REACTION-PRODUCTS; END-PRODUCTS; REDUCTIVE AMINATION; MASS-SPECTROMETRY; PROTEINS; N-EPSILON-(CARBOXYMETHYL)LYSINE; MECHANISM; ALDEHYDES; FUROSINE</t>
  </si>
  <si>
    <t>This study investigated different methods to produce N &amp; epsilon;-carboxymethyl-lysine (CML)-enriched bovine serum albumin (BSA) as alternatives to the classical approach using glyoxylic acid (GA) and sodium cyanoborohydride (NaBH3CN) which results in toxic hydrogen cyanide (HCN). The reaction of GA (6 mmol/L) and NaBH3CN (21 mmol/L) to produce CML remained the most effective with CML yields of 24-35%, followed by 13-24% using 300 mmol/L glyoxal (GO). GA promoted specific modification of lysine to CML, and fewer structural modifications of the BSA molecule compared with GO, as evidenced by fluorescence and proteomic analyses. GO promoted greater arginine modification compared with GA (76 vs 23%). Despite structural changes to BSA with GO, murine fecal clearance of CML was similar to literature values. Hence, BSA glycation with 300 mmol/L glyoxal is a suitable alternative to GA and NaBH3CN for generating CML-enriched protein free of HCN, but a CML-only fortification model remains to be described.</t>
  </si>
  <si>
    <t>[Lima, M. T. Nogueira Silva; Howsam, M.; Billamboz, M.; Ghinet, A.; Fradin, C.; Boulanger, E.; Tessier, F. J.] Univ Lille, Inst Pasteur Lille, Inserm, CHU Lille,U1167 RID AGE Facteurs Risque &amp; Determin, F-59000 Lille, France; [Delayre-Orthez, C.; Jacolot, P.; Niquet-Leridon, C.] Univ Artois, Inst Polytech UniLaSalle, ULR 7519, F-60000 Beauvais, France; [Jaisson, S.; Gillery, P.] Univ Reims, CNRS URCA UMR MEDyC 7369, Fac Med, Lab Biochem &amp; Mol Biol, F-51095 Reims, France; [Jaisson, S.; Gillery, P.] Univ Hosp Reims, Lab Biochem Pharmacol Toxicol, F-51092 Reims, France; [Criquet, J.] Univ Lille, Lab Adv Spect Interact React &amp; Environm, CNRS UMR LASIRE 8516, F-59000 Lille, France; [Billamboz, M.; Ghinet, A.] Lab Sustainable Chem &amp; Hlth, Junia Hlth &amp; Environm, F-59000 Lille, France; [Bray, F.; Flament, S.; Rolando, C.] Univ Lille, Miniaturizat Synth Anal &amp; Prote, UAR 3290, CNRS, F-59655 Villeneuve Dascq, France</t>
  </si>
  <si>
    <t>Universite de Lille - ISITE; Universite de Lille; CHU Lille; Institut National de la Sante et de la Recherche Medicale (Inserm); Le Reseau International des Instituts Pasteur (RIIP); Institut Pasteur Lille; UniLaSalle; Universite d'Artois; Universite de Reims Champagne-Ardenne; Universite de Reims Champagne-Ardenne; Universite de Lille - ISITE; Universite de Lille; Universite de Lille - ISITE; Universite de Lille; Centre National de la Recherche Scientifique (CNRS)</t>
  </si>
  <si>
    <t>Tessier, FJ (corresponding author), Univ Lille, Inst Pasteur Lille, Inserm, CHU Lille,U1167 RID AGE Facteurs Risque &amp; Determin, F-59000 Lille, France.</t>
  </si>
  <si>
    <t>frederic.tessier@univ-lille.fr</t>
  </si>
  <si>
    <t>French Agence Nationale de la Recherche [ANR-19-CE34-0013]</t>
  </si>
  <si>
    <t>Acknowledgement This study was funded by the French Agence Nationale de la Recherche (ANR-19-CE34-0013 ExoAGEing) . The authors thank S. Balasanyants for preliminary bibliographical research.</t>
  </si>
  <si>
    <t>10.1016/j.foodchem.2023.136815</t>
  </si>
  <si>
    <t>O8ZU1</t>
  </si>
  <si>
    <t>WOS:001046654400001</t>
  </si>
  <si>
    <t>Lin, TT; Zhou, YF; Dadmohammadi, Y; Yaghoobi, M; Meletharayil, G; Kapoor, R; Abbaspourrad, A</t>
  </si>
  <si>
    <t>Lin, Tiantian; Zhou, Yufeng; Dadmohammadi, Younas; Yaghoobi, Mohammad; Meletharayil, Gopinathan; Kapoor, Rohit; Abbaspourrad, Alireza</t>
  </si>
  <si>
    <t>Encapsulation and stabilization of lactoferrin in polyelectrolyte ternary complexes</t>
  </si>
  <si>
    <t>Lactoferrin; Ternary complex; Coacervate; Multiphase coacervate; Thermal stability; Antibacterial activity</t>
  </si>
  <si>
    <t>IN-VITRO DIGESTION; BOVINE LACTOFERRIN; COACERVATION; FORMS</t>
  </si>
  <si>
    <t>Effective delivery of the bioactive protein, lactoferrin (LF), remains a challenge as it is sensitive to environmental changes and easily denatured during heating, restricting its application in functional food products. To overcome these challenges, we formulated novel polyelectrolyte ternary complexes of LF with gelatin (G) and negatively charged polysaccharides, to improve the thermal stability of LF with retained antibacterial activity. Linear, highly charged polysaccharides were able to form interpolymeric complexes with LF and G, while coacervates were formed with branched polysaccharides. A unique multiphase coacervate was observed in the gum Arabic GA-LF-G complex, where a special coacervate-in-coacervate structure was found. The ternary complexes made with GA, soy soluble polysaccharide (SSP), or high methoxyl pectin (HMP) preserved the protein structures and demonstrated enhanced thermal stability of LF. The GA-LF-G complex was especially stable with &gt;90% retention of the native LF after treatment at 90 degrees C for 2 min in a water bath or at 145 degrees C for 30 s, while the LF control had only similar to 7% undenatured LF under both conditions. In comparison to untreated LF, LF in ternary complex retained significant antibacterial activity on both Gram-positive and Gram-negative bacteria, even after heat treatment. These ternary complexes of LF maintained the desired functionality of LF, thermal stability and antibacterial activity, in the final products. The ternary complex structure, particularly the multiphase coacervate, may serve as a template for the encapsulation and stabilization of other bioactives and peptides.</t>
  </si>
  <si>
    <t>[Lin, Tiantian; Zhou, Yufeng; Dadmohammadi, Younas; Yaghoobi, Mohammad; Abbaspourrad, Alireza] Cornell Univ, Coll Agr &amp; Life Sci, Dept Food Sci, Ithaca, NY 14850 USA; [Meletharayil, Gopinathan; Kapoor, Rohit] Dairy Management Inc, Rosemont, IL USA</t>
  </si>
  <si>
    <t>Cornell University</t>
  </si>
  <si>
    <t>Abbaspourrad, A (corresponding author), Cornell Univ, Coll Agr &amp; Life Sci, Dept Food Sci, Ithaca, NY 14850 USA.</t>
  </si>
  <si>
    <t>alireza@cornell.edu</t>
  </si>
  <si>
    <t>Lin, Tiantian/0000-0002-1816-3380</t>
  </si>
  <si>
    <t>Dairy Management Inc. (Rosemont, IL); NSF MRSEC program [DMR-1719875]; NIH [S10RR025502]</t>
  </si>
  <si>
    <t>Dairy Management Inc. (Rosemont, IL); NSF MRSEC program(National Science Foundation (NSF)NSF - Directorate for Mathematical &amp; Physical Sciences (MPS)); NIH(United States Department of Health &amp; Human ServicesNational Institutes of Health (NIH) - USA)</t>
  </si>
  <si>
    <t>This work is funded by Dairy Management Inc. (Rosemont, IL) . Thanks Rebecca Zawistowski (from Dr. Crane's lab) for assistance in the CD spectroscopy. This work made use of the Cornell Center for Materials Research Shared Facilities which are supported through the NSF MRSEC program (DMR-1719875) and Imaging data was acquired through the Cornell University Biotechnology Resource Center, with NIH S10RR025502 funding for the shared Zeiss LSM 710 Confocal.</t>
  </si>
  <si>
    <t>10.1016/j.foodhyd.2023.109064</t>
  </si>
  <si>
    <t>O5BK6</t>
  </si>
  <si>
    <t>WOS:001043961400001</t>
  </si>
  <si>
    <t>Liu, DF; Zhong, YF; Li, XX; Pu, YM; Chen, SY; Zhang, CF</t>
  </si>
  <si>
    <t>Liu, Danfei; Zhong, Yunfei; Li, Xiaoxuan; Pu, Yumei; Chen, Siyuan; Zhang, Changfan</t>
  </si>
  <si>
    <t>Indicator films based on anthocyanins loaded on Metal-Organic Framework carriers and BP neural network for monitoring meat freshness</t>
  </si>
  <si>
    <t>Indicator films; Anthocyanin; Metal-organic framework; Back propagation neural network; Chicken breast freshness</t>
  </si>
  <si>
    <t>ADSORPTION; ANTIOXIDANT; EXTRACTS; CHITOSAN; UIO-66; DYES</t>
  </si>
  <si>
    <t>This study presented a novel indicator film for monitoring chicken freshness based on polyvinyl alcohol (PVA) and chitosan (CS) incorporated with a natural dye of anthocyanin loaded on MOFs (UiO-66 and UiO-66-Br) carriers. The characterization results of UiO-66/A and UiO-66-Br/A dyes showed that most anthocyanins bind to MOFs by intermolecular forces without disrupting the MOFs structure. Different dyes (anthocyanin, UiO-66/A, UiO-66-Br/A) with the same effective dye content were added into PVA/CS matrices to form PVA/CS/A (PCA) film, PVA/CS/UiO-66/A (PCUA) film and PVA/CS/UiO-66-Br/A (PCBA) film. With the addition of UiO-66/A and UiO-66-Br/A, the tensile strength and elongation at break of indicator films decreased. Small amounts of dye migration were observed in acidic and neutral food simulants for PCUA and PCBA films, while no dye migration was observed in alcoholic food simulants. PCUA and PCBA films exhibited higher sensitivity for detecting ammonia vapor, with a detection limit of 24.39 ppm for PCBA films. When all films were used to monitor changes in chicken breast freshness, PCBA films presented more accurate color changes than other films. The BP neural network-based prediction model utilizing the color change of PCBA film effectively predicted the fresh-ness of chicken breast.</t>
  </si>
  <si>
    <t>[Liu, Danfei; Zhong, Yunfei; Li, Xiaoxuan; Pu, Yumei; Chen, Siyuan; Zhang, Changfan] Hunan Univ Technol, Sch Packaging &amp; Mat Engn, Zhuzhou 412007, Peoples R China</t>
  </si>
  <si>
    <t>Hunan University of Technology</t>
  </si>
  <si>
    <t>Zhang, CF (corresponding author), Hunan Univ Technol, Sch Packaging &amp; Mat Engn, Zhuzhou 412007, Peoples R China.</t>
  </si>
  <si>
    <t>m18080502003@stu.hut.edu.cn; zcf@hut.edu.cn</t>
  </si>
  <si>
    <t>Postgraduate Scientific Research Innovation Project of Hunan Province [CX20231098]; National Key R&amp;D Program of China [2018YFD0400705]; Natural Science Foundation of Hunan Province [2021JJ30218]; Training Project of Hunan Industrial Application of Higher Education Institution [15CY003]; Hunan Province Higher Education Institutions Demonstration Base of Production, Education and Research [2014-117]</t>
  </si>
  <si>
    <t>Postgraduate Scientific Research Innovation Project of Hunan Province; National Key R&amp;D Program of China; Natural Science Foundation of Hunan Province(Natural Science Foundation of Hunan Province); Training Project of Hunan Industrial Application of Higher Education Institution; Hunan Province Higher Education Institutions Demonstration Base of Production, Education and Research</t>
  </si>
  <si>
    <t>This work was supported by the Postgraduate Scientific Research Innovation Project of Hunan Province (CX20231098), National Key R&amp;D Program of China (no. 2018YFD0400705), Natural Science Foundation of Hunan Province (2021JJ30218), Training Project of Hunan Industrial Application of Higher Education Institution (15CY003), and Hunan Province Higher Education Institutions Demonstration Base of Production, Education and Research (2014-117). The authors would like to thank Shiyanjia Lab for the the support for SEM and XRD testing (www.shiyanjia.com).</t>
  </si>
  <si>
    <t>10.1016/j.foodhyd.2023.109106</t>
  </si>
  <si>
    <t>Q6ZA3</t>
  </si>
  <si>
    <t>WOS:001058974300001</t>
  </si>
  <si>
    <t>Liu, D; Huo, YY; Ren, YY; Cai, YJ; Ning, TY</t>
  </si>
  <si>
    <t>Liu, Di; Huo, Yanyan; Ren, Yingying; Cai, Yangjian; Ning, Tingyin</t>
  </si>
  <si>
    <t>Efficient second harmonic generation at quasi-bound states in the continuum in hybrid nanostructures of 2D plasmonic array and waveguide</t>
  </si>
  <si>
    <t>RESULTS IN PHYSICS</t>
  </si>
  <si>
    <t>Bound states in the continuum; Second harmonic generation; Hybrid plasmonic-photonic structures</t>
  </si>
  <si>
    <t>ENHANCEMENT</t>
  </si>
  <si>
    <t>We numerically investigate the second harmonic generation (SHG) in hybrid plasmonic-photonic structures consisting of an array of periodic gold nanodisks covered by a nonlinear dielectric layer. In the designed hybrid systems, symmetry-protected bound states in the continuum (BICs) at normal incidence, and Friedrich- Wintgen BICs due to the coupling between localized surface plasmon resonances (LSPRs) and waveguide modes at oblique incidence, are observed under both transverse-electric (TE) and transverse-magnetic (TM) polarized illuminations. SHG near the BICs is studied, and the dramatically enhanced nonlinear optical response at quasi-BICs is obtained. Such enhancement is ascribed to the enhanced local field due to hybrid modes of LSPRs and photonic modes. The results indicate that hybrid plasmonic-dielectric systems supporting BICs at both TE-and TM-polarized incidences are promising platforms for linear and nonlinear photonic devices.</t>
  </si>
  <si>
    <t>[Ren, Yingying; Ning, Tingyin] Shandong Normal Univ, Shandong Prov Engn &amp; Tech Ctr Light Manipulat, Sch Phys &amp; Elect, Jinan 250358, Peoples R China; [Ren, Yingying; Ning, Tingyin] Shandong Normal Univ, Sch Phys &amp; Elect, Shandong Prov Key Lab Opt &amp; Photon Device, Jinan 250358, Peoples R China; Shandong Normal Univ, Collaborat Innovat Ctr Light Manipulat &amp; Applicat, Jinan 250358, Peoples R China; East China Normal Univ, Joint Res Ctr Light Manipulat Sci &amp; Photon Integra, Shanghai 200241, Peoples R China</t>
  </si>
  <si>
    <t>Shandong Normal University; Shandong Normal University; Shandong Normal University; East China Normal University</t>
  </si>
  <si>
    <t>Ren, YY; Ning, TY (corresponding author), Shandong Normal Univ, Shandong Prov Engn &amp; Tech Ctr Light Manipulat, Sch Phys &amp; Elect, Jinan 250358, Peoples R China.;Ren, YY; Ning, TY (corresponding author), Shandong Normal Univ, Sch Phys &amp; Elect, Shandong Prov Key Lab Opt &amp; Photon Device, Jinan 250358, Peoples R China.</t>
  </si>
  <si>
    <t>ryywly@sdnu.edu.cn; ningtingyin@sdnu.edu.cn</t>
  </si>
  <si>
    <t>National Natural Science Founda-tion of China [12174228, 12274271]; Natural Science Foundation of Shandong Province, China [ZR2019MA024]</t>
  </si>
  <si>
    <t>National Natural Science Founda-tion of China(National Natural Science Foundation of China (NSFC)); Natural Science Foundation of Shandong Province, China(Natural Science Foundation of Shandong Province)</t>
  </si>
  <si>
    <t>Acknowledgments This work was supported by the National Natural Science Founda-tion of China (12174228, 12274271) , and Natural Science Foundation of Shandong Province, China (ZR2019MA024) .</t>
  </si>
  <si>
    <t>2211-3797</t>
  </si>
  <si>
    <t>RESULTS PHYS</t>
  </si>
  <si>
    <t>Results Phys.</t>
  </si>
  <si>
    <t>10.1016/j.rinp.2023.106923</t>
  </si>
  <si>
    <t>Materials Science, Multidisciplinary; Physics, Multidisciplinary</t>
  </si>
  <si>
    <t>S7KS1</t>
  </si>
  <si>
    <t>gold</t>
  </si>
  <si>
    <t>WOS:001072927800001</t>
  </si>
  <si>
    <t>Liu, P; Wu, K; Du, WF; Li, HX; Zhao, JF</t>
  </si>
  <si>
    <t>Liu, Peng; Wu, Ke; Du, Wang-Fang; Li, Hui-Xiong; Zhao, Jian-Fu</t>
  </si>
  <si>
    <t>Experimental study on subcooled pool boiling of FC-72 on a flat plate in normal and microgravity</t>
  </si>
  <si>
    <t>Pool boiling; Microgravity; Heat transfer; SJ-10 satellite; Single-phase convection; Critical heat flux</t>
  </si>
  <si>
    <t>CONVECTION HEAT-TRANSFER; BUBBLE DYNAMICS; ELECTRIC-FIELD; GRAVITY; NPBX; WALL</t>
  </si>
  <si>
    <t>A series of experimental studies on the heat transfer characteristics of pool boiling were conducted aboard the Chinese satellite SJ-10 in April 2016. Ground comparative experiments under the same conditions were carried out using the same apparatus. FC-72 was used as the working fluid containing non-condensable gas. The total quasi-stable-state acceleration aboard satellite SJ-10 during its in-orbit flight is approximately 2 x 10-6 g0. The integrated microheater fabricated by the microelectromechanical system (MEMS) technique was used to investigate the boiling characteristics. The boiling surface of the integrated microheater is on top of a flat plate quartz glass wafer substrate 2 mm thick, heated by a serpentine Pt thin film (main heater) below the substrate. The effective area of the boiling surface in direct contact with FC-72 is 5.5 mm in diameter. Ten temperature sensors are located around the boiling surface center and uniformly distributed in the circumferential direction. The experimental results show that single-phase convection could still be maintained under lower Rayleigh number conditions, showing consistency with the predictions based on the available correlations. The generated bubble volume determines the boiling state. At high liquid subcooling, the bubbles formed after the liquid vaporizes are relatively small, and steam condensation at the bubble cap promotes the phase change efficiency, which maintains nucleate boiling in microgravity. When subcooling is low, bubbles are larger and cover most of the heating surface, nucleate boiling is difficult to maintain, and the boiling becomes transition boiling. High liquid subcooling improves the heat transfer efficiency, thereby contributing to maintaining the progress of nucleate boiling in microgravity. However, boiling is less affected by liquid subcooling on the ground than in microgravity. A comparison of pool boiling curves between microgravity and normal gravity experiments indicates that nucleate boiling curves under the same subcooling partially overlap, while the heat flux corresponding to the initiation of the nucleate state is lower than that on the ground. In microgravity, lower liquid subcooling and higher heating power will result in larger bubble volumes and easier complete coverage of the heating surface, resulting in an easier transition from nucleate boiling to film boiling.</t>
  </si>
  <si>
    <t>[Liu, Peng; Wu, Ke; Du, Wang-Fang; Zhao, Jian-Fu] Chinese Acad Sci, CAS Key Lab Micrograv, Inst Mech, Beijing 100190, Peoples R China; [Li, Hui-Xiong] Xi An Jiao Tong Univ, State Key Lab Multiphase Flow Power Engn, Xian 710049, Peoples R China; [Liu, Peng; Wu, Ke; Du, Wang-Fang; Zhao, Jian-Fu] Univ Chinese Acad Sci, Sch Engn Sci, Beijing 100049, Peoples R China</t>
  </si>
  <si>
    <t>Chinese Academy of Sciences; Xi'an Jiaotong University; Chinese Academy of Sciences; University of Chinese Academy of Sciences, CAS</t>
  </si>
  <si>
    <t>Du, WF (corresponding author), Chinese Acad Sci, CAS Key Lab Micrograv, Inst Mech, Beijing 100190, Peoples R China.</t>
  </si>
  <si>
    <t>duwangfang@imech.ac.cn</t>
  </si>
  <si>
    <t>zhao, jian fu/0000-0002-6693-2594</t>
  </si>
  <si>
    <t>National Key Ramp;D Program of China [2022YFF0503502]; Chinese Academy of Sciences (CAS); National Natural Science Foundation of China (NSFC) [U1738105]; Strategic Priority Research Program on Space Science; Chinese Academy of Sciences [XDA04020404, XDA0402020204]</t>
  </si>
  <si>
    <t>National Key Ramp;D Program of China; Chinese Academy of Sciences (CAS)(Chinese Academy of Sciences); National Natural Science Foundation of China (NSFC)(National Natural Science Foundation of China (NSFC)); Strategic Priority Research Program on Space Science; Chinese Academy of Sciences(Chinese Academy of Sciences)</t>
  </si>
  <si>
    <t>The authors thank Dr. Zhao from Dalian University of Technology for his effective guidance and help in data analysis. This research is supported financially by the National Key R &amp; amp;D Program of China under the grant of 2022YFF0503502, Joint Fund between the Chinese Academy of Sciences (CAS) and National Natural Science Foundation of China (NSFC) under the grant of U1738105 and the Strategic Priority Research Program on Space Science, the Chinese Academy of Sciences under the grants of XDA04020404 and XDA04020202-04.</t>
  </si>
  <si>
    <t>10.1016/j.ijheatmasstransfer.2023.124556</t>
  </si>
  <si>
    <t>Q2VW4</t>
  </si>
  <si>
    <t>WOS:001056153100001</t>
  </si>
  <si>
    <t>Lu, FF; Zhang, ZH; Liu, TX; Tang, C; Bai, HL; Zhai, GT; Chen, JJ; Wu, XX</t>
  </si>
  <si>
    <t>Lu, Fangfang; Zhang, Zhihao; Liu, Tianxiang; Tang, Chi; Bai, Hualin; Zhai, Guangtao; Chen, Jingjing; Wu, Xiaoxin</t>
  </si>
  <si>
    <t>A weakly supervised inpainting-based learning method for lung CT image segmentation</t>
  </si>
  <si>
    <t>PATTERN RECOGNITION</t>
  </si>
  <si>
    <t>COVID-19; Weakly supervised; Lesion segmentation; Image inpainting</t>
  </si>
  <si>
    <t>COVID-19; DIAGNOSIS; FRAMEWORK</t>
  </si>
  <si>
    <t>Recently, various fully supervised learning methods are successfully applied for lung CT image segmentation. However, pixel-wise annotations are extremely expert-demanding and labor-intensive, but the performance of unsupervised learning methods are failed to meet the demands of practical applications. To achieve a reasonable trade-off between the performance and label dependency, a novel weakly supervised inpaintingbased learning method is introduced, in which only bounding box labels are required for accurate segmentation. Specifically, lesion regions are first detected by an object detection network, then we crop them out of the input image and recover the missing holes to normal regions using a progressive CT inpainting network (PCIN). Finally, a post-processing method is designed to get the accurate segmentation mask from the difference image of input and recovered images. In addition, real information (i.e., number, location and size) of the bounding boxes of lesions from the dataset guides us to make the training dataset for PCIN. We apply a multi-scale supervised strategy to train PCIN for a progressive and stable inpainting. Moreover, to remove the visual artifacts resulted from the invalid features of missing holes, an initial patch generation network (IPGN) is proposed for holes initialization with generated pseudo healthy image patches. Experiments on the public COVID-19 dataset demonstrate that PCIN is outstanding in lung CT images inpainting, and the performance of our proposed weakly supervised method is comparable to fully supervised methods.</t>
  </si>
  <si>
    <t>[Lu, Fangfang; Zhang, Zhihao; Liu, Tianxiang; Tang, Chi; Bai, Hualin] Shanghai Univ Elect Power, Coll Comp Sci &amp; Technol, Shanghai 201306, Peoples R China; [Zhai, Guangtao] Shanghai Jiao Tong Univ, Inst Image Commun &amp; Network Engn, Shanghai 200240, Peoples R China; [Chen, Jingjing] Fudan Univ, Sch Econ, Shanghai 200433, Peoples R China; [Wu, Xiaoxin] Zhejiang Univ, Sch Med, Affiliated Hosp 1, Hangzhou 310003, Zhejiang, Peoples R China</t>
  </si>
  <si>
    <t>Shanghai University of Electric Power; Shanghai Jiao Tong University; Fudan University; Zhejiang University</t>
  </si>
  <si>
    <t>Chen, JJ (corresponding author), Fudan Univ, Sch Econ, Shanghai 200433, Peoples R China.</t>
  </si>
  <si>
    <t>joyjchan@gmail.com</t>
  </si>
  <si>
    <t>0031-3203</t>
  </si>
  <si>
    <t>1873-5142</t>
  </si>
  <si>
    <t>PATTERN RECOGN</t>
  </si>
  <si>
    <t>Pattern Recognit.</t>
  </si>
  <si>
    <t>10.1016/j.patcog.2023.109861</t>
  </si>
  <si>
    <t>Computer Science, Artificial Intelligence; Engineering, Electrical &amp; Electronic</t>
  </si>
  <si>
    <t>Computer Science; Engineering</t>
  </si>
  <si>
    <t>R0WW1</t>
  </si>
  <si>
    <t>WOS:001061642100001</t>
  </si>
  <si>
    <t>Mai, SJ; Zeng, Y; Hu, HF</t>
  </si>
  <si>
    <t>Mai, Sijie; Zeng, Ying; Hu, Haifeng</t>
  </si>
  <si>
    <t>Learning from the global view: Supervised contrastive learning of multimodal representation</t>
  </si>
  <si>
    <t>Multimodal sentiment analysis; Multimodal representation learning; Contrastive learning; Multimodal humor detection</t>
  </si>
  <si>
    <t>FUSION</t>
  </si>
  <si>
    <t>The development of technology enables the availability of abundant multimodal data, which can be utilized in many representation learning tasks. However, most methods ignore the rich modality correlation information stored in each multimodal object and fail to fully exploit the potential of multimodal data. To address the aforementioned issue, cross-modal contrastive learning methods are proposed to learn the similarity score of each modality pair in a self-/weakly-supervised manner and improve the model robustness. Though effective, contrastive learning based on unimodal representations might be, in some cases, inaccurate as unimodal representations fail to reveal the global information of multimodal objects. To this end, we propose a contrastive learning pipeline based on multimodal representations to learn from the global view, and devise multiple techniques to generate negative and positive samples for each anchor. To generate positive samples, we apply the mix-up operation to mix two multimodal representations of different objects that have the maximal label similarity. Moreover, we devise a permutation-invariant fusion mechanism to define the positive samples by permuting the input order of modalities for fusion and sampling various contrastive fusion networks. In this way, we force the multimodal representation to be invariant regarding the order of modalities and the structures of fusion networks, so that the model can capture high-level semantic information of multimodal objects. To define negative samples, for each modality, we randomly replace the unimodal representation with that from another dissimilar object when synthesizing the multimodal representation. By this means, the model is led to capture the high-level concurrence information and correspondence relationship between modalities within each object. We also directly define the multimodal representation from another object as a negative sample, where the chosen object shares the minimal label similarity with the anchor. The label information is leveraged in the proposed framework to learn a more discriminative multimodal embedding space for downstream tasks. Extensive experiments demonstrate that our method outperforms previous state-of-the-art baselines on the tasks of multimodal sentiment analysis and humor detection.</t>
  </si>
  <si>
    <t>[Mai, Sijie; Zeng, Ying; Hu, Haifeng] Sun Yat Sen Univ, Sch Elect &amp; Informat Technol, Guangzhou 510006, Guangdong, Peoples R China</t>
  </si>
  <si>
    <t>Sun Yat Sen University</t>
  </si>
  <si>
    <t>Hu, HF (corresponding author), Sun Yat Sen Univ, Sch Elect &amp; Informat Technol, Guangzhou 510006, Guangdong, Peoples R China.</t>
  </si>
  <si>
    <t>maisj@mail2.sysu.edu.cn; zengy268@mail2.sysu.edu.cn; huhaif@mail.sysu.edu.cn</t>
  </si>
  <si>
    <t>Hu, Haifeng/0000-0002-4884-323X</t>
  </si>
  <si>
    <t>National Natural Science Founda-tion of China [62076262, 61673402, 61273270, 60802069]</t>
  </si>
  <si>
    <t>Acknowledgments This work was supported by the National Natural Science Founda-tion of China (62076262, 61673402, 61273270, 60802069)</t>
  </si>
  <si>
    <t>10.1016/j.inffus.2023.101920</t>
  </si>
  <si>
    <t>P2BV6</t>
  </si>
  <si>
    <t>WOS:001048754600001</t>
  </si>
  <si>
    <t>Marchal, L; Gateuille, D; Naffrechoux, E; Deline, P; Baudin, F; Cleement, JC; Poulenard, J</t>
  </si>
  <si>
    <t>Marchal, Lise; Gateuille, David; Naffrechoux, Emmanuel; Deline, Philip; Baudin, Francois; Clement, Jean-Christophe; Poulenard, Jerome</t>
  </si>
  <si>
    <t>Polycyclic aromatic hydrocarbon dynamics in soils along proglacial chronosequences in the Alps</t>
  </si>
  <si>
    <t>PAHs; Soil formation; Glacier forelands; Soil organic matter; Mountain soils</t>
  </si>
  <si>
    <t>PERSISTENT ORGANIC POLLUTANTS; BLACK CARBON; POLYCHLORINATED-BIPHENYLS; ATMOSPHERIC DEPOSITION; GLACIER INVENTORY; FOREST SOILS; MATTER; PAHS; SORPTION; EUROPE</t>
  </si>
  <si>
    <t>Polycyclic aromatic hydrocarbons (PAHs) were studied in the soils of three proglacial areas in France (Noir and Chardon Glaciers) and Italy (Miage Glacier). PAH contents, PAH stocks and PAH contents normalized to the total organic carbon contents (PAHs/TOC ratio) were investigated along proglacial soil chronosequences to infer their evolutions with soil age (from 3 to 4200 years), where the PAH contamination was only related to long-range atmospheric transport. Evolutions of PAH and TOC contents, PAHs/TOC ratio and PAH stock were fitted with exponential and logarithmic relations. For the three proglacial areas, PAH contents increased rapidly during the first 150 years of soil development, ranged from 4 to 152 ng center dot g(-1), and showed a strong relationship with total organic carbon (TOC) contents (r = 0.83, p &lt; 0.05). The joint increase of PAH and TOC contents suggested that PAH accumulation in soils were not only driven by PAH inputs but also by the capacity of soils to store these contaminants. PAH contents in the oldest soils (from 1200 BCE and 2200 BCE) were similar than for soils from 1850 CE. The period 1850-2019 CE corresponded to a decrease in the PAHs/TOC ratio suggesting both a faster accumulation of TOC than PAHs and a dilution effect of PAHs already present in soils. For the oldest soils, the PAHs/TOC ratio appeared similar to those for soils from 1850 CE, with values ranging from 0.48 to 2.06 ng center dot mg(-1), suggesting an equilibrium between both parameters for soils older than 170 years. Finally, PAH stocks ranged from 0.41 mg center dot m(-2) to 6.80 mg center dot m(-2) in the youngest and oldest soils, respectively. These results do not allow us to identify the same period of greatest emission as other studies (estimated similar to 1960), but they revealed changes in the capacity of soils to store these pollutants.</t>
  </si>
  <si>
    <t>[Marchal, Lise; Gateuille, David; Naffrechoux, Emmanuel; Deline, Philip; Baudin, Francois; Poulenard, Jerome] Savoie Mont Blanc Univ, CNRS, EDYTEM, F-73000 Chambery, France; [Baudin, Francois] Sorbonne Univ, CNRS, ISTeP, UMR, Paris, France; [Clement, Jean-Christophe] Savoie Mont Blanc Univ, INRAE, CARRTEL, Thonon Les Bains, France</t>
  </si>
  <si>
    <t>Centre National de la Recherche Scientifique (CNRS); Universite de Savoie; Centre National de la Recherche Scientifique (CNRS); UDICE-French Research Universities; Sorbonne Universite; INRAE</t>
  </si>
  <si>
    <t>Marchal, L (corresponding author), Savoie Mont Blanc Univ, CNRS, EDYTEM, F-73000 Chambery, France.</t>
  </si>
  <si>
    <t>lise.marchal@univ-smb.fr</t>
  </si>
  <si>
    <t>Poulenard, Jerome/I-2491-2012</t>
  </si>
  <si>
    <t>Poulenard, Jerome/0000-0003-0810-0308</t>
  </si>
  <si>
    <t>10.1016/j.scitotenv.2023.165998</t>
  </si>
  <si>
    <t>R0NW5</t>
  </si>
  <si>
    <t>WOS:001061405400001</t>
  </si>
  <si>
    <t>Marichelvam, T; Sebastian, A; Ganapathi, M; Holla, H; Duraippandi, P; Narayanan, NSV</t>
  </si>
  <si>
    <t>Marichelvam, Thamaraichelvan; Sebastian, Anju; Ganapathi, M.; Holla, Harish; Duraippandi, P.; Narayanan, N. S. Venkata</t>
  </si>
  <si>
    <t>Copper thiosemicarbazone modified electrode for hydrazine electrocatalytic oxidation</t>
  </si>
  <si>
    <t>Hydrazine; Electrocatalyst; Modified electrodes; Thiosemicarbazone; Electrochemical sensor</t>
  </si>
  <si>
    <t>ELECTROCHEMICAL DETECTION; HYDROGEN EVOLUTION; GOLD ELECTRODE; OXIDE; COMPLEX; ELECTROOXIDATION; NANOCOMPOSITE; NANOPARTICLES; REDUCTION; EXPOSURE</t>
  </si>
  <si>
    <t>The major barrier in electro-oxidation of hydrazine hydrate involves usage of expensive, precious noble metal catalysts (Platinum, Palladium, Ruthenium and etc) along with complex reaction mechanism &amp; sluggish kinetics. In this work, a novel copper thiosemicarbazone complex (Cu2L2) is synthesised and characterised by various spectroscopic techniques &amp; proposed as a new electrocatalyst for hydrazine oxidation. Electrocatalytic efficiency of the modified catalyst with metal complex (Cu2L2) have been studied using several potentiostatic &amp; poten-tiodynamic techniques. Fundamental cyclic voltammeteric investigation reveal sharp &amp; irreversible oxidation peak at 0.3 V vs Ag/AgCl (Sat.KCl) electrode for the direct oxidation of hydrazine with fast electrochemical kinetics using the modified electrode approach &amp; thus it can be an excellent platform for oxidising hydrazine in neutral, basic &amp; acidic medium. The sensing ability of modified electrode for hydrazine is demonstrated using chronoamperometric technique with the detection limit of 0.5 &amp; mu;M with linearity range from 0.5 &amp; mu;M to 27 &amp; mu;M. In addition, Modified electrodes are specific and selective towards the precise oxidation of hydrazine in presence of other interfering organic compounds and inorganic ions. Thus, present modified electrode approach opens the possibility of using such new class of copper thiosemicarbazone complex as an electrocatalyst for direct elec-trochemical oxidation of hydrazine which can be further extended in the application of direct hydrazine fuel cells (DHFC).</t>
  </si>
  <si>
    <t>[Marichelvam, Thamaraichelvan; Sebastian, Anju; Holla, Harish; Duraippandi, P.; Narayanan, N. S. Venkata] Cent Univ Karnataka, Dept Chem, Kadaganchi 585367, Karnataka, India; [Ganapathi, M.] Vivekananda Coll, Post Grad &amp; Res Dept Chem, Tiruvedakam W 625234, Tamil Nadu, India</t>
  </si>
  <si>
    <t>Central University of Karnataka</t>
  </si>
  <si>
    <t>Duraippandi, P; Narayanan, NSV (corresponding author), Cent Univ Karnataka, Dept Chem, Kadaganchi 585367, Karnataka, India.</t>
  </si>
  <si>
    <t>duraippandi@cuk.ac.in; nsvenkat@cuk.ac.in</t>
  </si>
  <si>
    <t>DST -SERB [EMR/2016/000236]; CUK; UGC start up grant; Central University of Karnataka, Kalaburagi</t>
  </si>
  <si>
    <t>DST -SERB(Department of Science &amp; Technology (India)Science Engineering Research Board (SERB), India); CUK(Cancer Research UK); UGC start up grant; Central University of Karnataka, Kalaburagi</t>
  </si>
  <si>
    <t>Thamaraichelvan Marichelvam acknowledges the support received in the form of fellowships from DST -SERB (EMR/2016/000236) Project for three years and Central University of Karnataka for one &amp; amp; half years. Anju Sebastian thanks CUK for the fellowship. N.S.Venkata Narayanan acknowledges the financial support received from DST -SERB sponsored grant under EMR category with file No (EMR/2016/000236) . P. Duraippandi acknowledges the UGC start up grant (No.F.30-489/2019 (BSR) ) . M.Ganapathi acknowledge the research facilities &amp; amp; support of the management from Vivekananda College, Madurai and all other authors acknowledge the support of Central University of Karnataka, Kalaburagi.</t>
  </si>
  <si>
    <t>10.1016/j.rechem.2023.101025</t>
  </si>
  <si>
    <t>P2UV0</t>
  </si>
  <si>
    <t>WOS:001049250000001</t>
  </si>
  <si>
    <t>May, P; Mitham, K; Maher, N; Pitt, L; Whelan, G; Mazuquin, B; Moffatt, M; Selfe, J; Yeowell, G; Littlewood, C</t>
  </si>
  <si>
    <t>May, Pauline; Mitham, Kieran; Maher, Natasha; Pitt, Lisa; Whelan, Gareth; Mazuquin, Bruno; Moffatt, Maria; Selfe, James; Yeowell, Gillian; Littlewood, Chris</t>
  </si>
  <si>
    <t>Developing an application for the UK Pre-Doctoral Clinical and Practitioner Academic Fellowship (PCAF): the collective experience of a community of physiotherapists</t>
  </si>
  <si>
    <t>PHYSIOTHERAPY</t>
  </si>
  <si>
    <t>Research capability; Research fellowship; NIHR; Clinical academic career; Predoctoral Clinical Academic Fellowship (PCAF)</t>
  </si>
  <si>
    <t>For physiotherapists and other healthcare professionals, developing capability and expertise in research can be challenging. However, involvement in research is beneficial at organisational and individual levels, both for clinicians and patients. One way to embark on research is to apply for a personal fellowship such as the National Institute for Health and Care Research (NIHR) Pre-Doctoral Clinical Academic Fellowship (PCAF). While the NIHR has guidance on how to complete the application form, it can be difficult to implement this guidance and understand what a competitive application looks like. As a group of physiotherapists and academic supervisors, who have applied for NIHR PCAFs, what follows is a supportive resource, to inform others who might be thinking of applying.Contribution of paper &amp; BULL; This is the first paper to report a collective reflection on the experience of a community of physiotherapists and their academic supervisors of applying for NIHR PCAFs &amp; BULL; A description of the process is provided which will be beneficial to other physiotherapists aspiring to develop their application for an NIHR PCAF &amp; COPY; 2023 Chartered Society of Physiotherapy. Published by Elsevier Ltd. All rights reserved.</t>
  </si>
  <si>
    <t>[May, Pauline] East Lancashire Hosp NHS Trust, St Peters Ctr, Integrated Musculoskeletal Pain &amp; Rheumatol Serv, Burnley, England; [Mitham, Kieran] Cambridgeshire Community Serv NHS Trust, St Ives, England; [Maher, Natasha] Calderdale &amp; Huddersfield Fdn Trust, Halifax HX3 0PW, England; [Pitt, Lisa] Univ Hosp Derby &amp; Burton NHS Fdn Trust, Derby Shoulder Unit, Derby, England; [Whelan, Gareth] York &amp; Scarborough Teaching Hosp NHS Fdn Trust, Clifton Pk Clin, Musculoskeletal Serv, York, England; [Mazuquin, Bruno; Selfe, James; Yeowell, Gillian] Manchester Metropolitan Univ, Dept Hlth Profess, Manchester, England; [Moffatt, Maria; Littlewood, Chris] Edge Hill Univ, Fac Hlth Social Care &amp; Med, St Helens Rd, Ormskirk, England</t>
  </si>
  <si>
    <t>Manchester Metropolitan University; Edge Hill University</t>
  </si>
  <si>
    <t>May, P (corresponding author), East Lancashire Hosp NHS Trust, St Peters Ctr, Integrated Musculoskeletal Pain &amp; Rheumatol Serv, Burnley, England.</t>
  </si>
  <si>
    <t>pauline.may@elht.nhs.uk</t>
  </si>
  <si>
    <t>; Mazuquin, Bruno/H-1386-2013</t>
  </si>
  <si>
    <t>Yeowell, Gillian/0000-0003-3872-9799; Moffatt, Maria/0000-0002-8385-7418; Whelan, Gareth/0000-0003-3073-5035; Mazuquin, Bruno/0000-0003-1566-9551</t>
  </si>
  <si>
    <t>National Institute for Health Research (NIHR) HEE/NIHR ICA Pre-Doctoral Clinical Academic Fellowship [NIHR302666, NIHR301910, NIHR301881, PDF-2018-11-ST2-005]; National Institute for Health Research Post-Doctoral Fellowship; Applied Research Collaboration North West Coast Research Internship; [NIHR302700]; National Institutes of Health Research (NIHR) [NIHR301881, NIHR301910, NIHR302666] Funding Source: National Institutes of Health Research (NIHR)</t>
  </si>
  <si>
    <t>National Institute for Health Research (NIHR) HEE/NIHR ICA Pre-Doctoral Clinical Academic Fellowship; National Institute for Health Research Post-Doctoral Fellowship(National Institutes of Health Research (NIHR)); Applied Research Collaboration North West Coast Research Internship; ; National Institutes of Health Research (NIHR)(National Institutes of Health Research (NIHR))</t>
  </si>
  <si>
    <t>This work has been funded by the National Institute for Health Research (NIHR) HEE/NIHR ICA Pre-Doctoral Clinical Academic Fellowship (PM, NIHR302700; KM, NIHR302666; LP, NIHR301910; GW, NIHR301881) , National Institute for Health Research Post-Doctoral Fellowship (CL, PDF-2018-11-ST2-005) , Applied Research Collaboration North West Coast Research Internship (PM) . The views expressed in this publication are those of the authors and not necessarily those of the NHS, the National Institute for Health and Care Research or the Department of Health and Social Care.</t>
  </si>
  <si>
    <t>0031-9406</t>
  </si>
  <si>
    <t>1873-1465</t>
  </si>
  <si>
    <t>Physiotherapy</t>
  </si>
  <si>
    <t>10.1016/j.physio.2023.06.004</t>
  </si>
  <si>
    <t>Rehabilitation</t>
  </si>
  <si>
    <t>P8JI8</t>
  </si>
  <si>
    <t>WOS:001053075000001</t>
  </si>
  <si>
    <t>Melchior, S; Codrich, M; Gorassini, A; Mehn, D; Ponti, J; Verardo, G; Tell, G; Calzolai, L; Calligaris, S</t>
  </si>
  <si>
    <t>Melchior, Sofia; Codrich, Marta; Gorassini, Andrea; Mehn, Dora; Ponti, Jessica; Verardo, Giancarlo; Tell, Gianluca; Calzolai, Luigi; Calligaris, Sonia</t>
  </si>
  <si>
    <t>Design and advanced characterization of quercetin-loaded nano-liposomes prepared by high-pressure homogenization</t>
  </si>
  <si>
    <t>Liposomes; High-pressure homogenization; Advanced analytical techniques; Nano -sized delivery system</t>
  </si>
  <si>
    <t>ENCAPSULATION; EXTRACT; APOPTOSIS; IMPACT; SIZE; FOOD</t>
  </si>
  <si>
    <t>Quercetin-loaded nano-liposomes were prepared by high-pressure homogenization (HPH) at different pressures (up to 150 MPa) and number of passes (up to 3) to define the best processing conditions allowing the lowest particle size and the highest encapsulation efficiency (EE). The process at 150 MPa for 1 pass was the best, producing quercetin-loaded liposomes with the lowest particle size and 42% EE. Advanced techniques (multidetector asymmetrical-flow field flow fractionation and analytical ultracentrifugation combined with transmission electron microscopy) were further used for the characterization of the liposomes which were oblong in shape (ca. 30 nm). Results highlight the need for several techniques to study nano-sized, polydisperse samples. The potential of quercetin-loaded liposomes against colon cancer cells was demonstrated. Results prove that HPH is an efficient and sustainable method for liposome preparation and highlight the remarkable role of process optimisation as well as the powerfulness of advanced methodologies for the characterisation of nano-structures.</t>
  </si>
  <si>
    <t>[Melchior, Sofia; Verardo, Giancarlo; Calligaris, Sonia] Univ Udine, Dept Agr Food Environm &amp; Anim Sci, Udine, Italy; [Codrich, Marta; Tell, Gianluca] Univ Udine, Dept Med, Udine, Italy; [Gorassini, Andrea] Univ Udine, Dept Humanities &amp; Cultural Heritage, Udine, Italy; [Mehn, Dora; Ponti, Jessica; Calzolai, Luigi] European Commiss Joint Res Ctr JRC, Ispra, Italy</t>
  </si>
  <si>
    <t>University of Udine; University of Udine; University of Udine; European Commission Joint Research Centre; EC JRC ISPRA Site</t>
  </si>
  <si>
    <t>Melchior, S (corresponding author), Univ Udine, Dept Agr Food Environm &amp; Anim Sci, Udine, Italy.;Calzolai, L (corresponding author), European Commiss Joint Res Ctr JRC, Ispra, Italy.</t>
  </si>
  <si>
    <t>sofia.melchior@uniud.it; luigi.calzolai@ec.europa.eu</t>
  </si>
  <si>
    <t>EC Joint Research Centre; Regione Autonoma Friuli Venezia Giulia - FSE - PO 2014/2020-Mobilita dei ricercatori nell'ambito dei centri di ricerca JRC [FP1935148001, CUP G22F19000070009]</t>
  </si>
  <si>
    <t>EC Joint Research Centre; Regione Autonoma Friuli Venezia Giulia - FSE - PO 2014/2020-Mobilita dei ricercatori nell'ambito dei centri di ricerca JRC</t>
  </si>
  <si>
    <t>This work was supported by the EC Joint Research Centre and was undertaken as a part of the projects Personalized Health management of physical, mental and social frailty in the elderly (Fondazione Friuli, Italy) and Programma specifico n. 72/17 (Codice FP1935148001, CUP G22F19000070009) of Regione Autonoma Friuli Venezia Giulia - FSE - PO 2014/2020-Mobilita dei ricercatori nell'ambito dei centri di ricerca JRC.</t>
  </si>
  <si>
    <t>10.1016/j.foodchem.2023.136680</t>
  </si>
  <si>
    <t>N8QI2</t>
  </si>
  <si>
    <t>WOS:001039590600001</t>
  </si>
  <si>
    <t>Meng, QY; Zhong, SL; Wang, J; Gao, Y; Cui, XJ</t>
  </si>
  <si>
    <t>Meng, Qingye; Zhong, Shuangling; Wang, Jia; Gao, Yan; Cui, Xuejun</t>
  </si>
  <si>
    <t>10-hydroxycamptothecin-loaded starch-based microcapsules with the stepwise responsive release strategy for targeted controlled release</t>
  </si>
  <si>
    <t>INTERNATIONAL JOURNAL OF BIOLOGICAL MACROMOLECULES</t>
  </si>
  <si>
    <t>Starch; Microcapsules; Controlled release</t>
  </si>
  <si>
    <t>DRUG-DELIVERY; FOLIC-ACID; FABRICATION; CHITOSAN; NANOPARTICLES; BREAST; SMART</t>
  </si>
  <si>
    <t>Controlled and accurate drug release at the target site have been the focus of research. Especially in cancer therapy, economical, convenient and accurate delivery strategies could help to reduce the toxic effects of drugs on normal tissues and improve drug availability. In the study, glutathione (GSH)-responsive microcapsules (FARSMCs) were prepared by sonochemical method based on thiolated modified starch. 10-Hydroxycamptothecin (HCPT) was designed as a reactive oxygen species (ROS)-responsive polyprodrug (polyHCPT), which was loaded into the core of the microcapsules to obtain stepwise released drug delivery carriers. In the tumor microenvironment, FA-RSMCs first triggered GSH-responsive cleavage to release polyHCPT, followed by ROSresponsive cleavage of polyHCPT to release intact HCPT drug molecules. The results of experiments in simulated tumor microenvironment showed that FA-RSMCs exhibited good cascade-response release properties in vitro. It exhibited good anti-tumor ability and protection of normal cells in cytotoxicity in vitro. This strategy enhanced the accuracy and safety of targeted delivery of HCPT via microcapsules, which has potential for clinical application.</t>
  </si>
  <si>
    <t>[Meng, Qingye; Wang, Jia; Gao, Yan; Cui, Xuejun] Jilin Univ, Coll Chem, Changchun 130012, Peoples R China; [Zhong, Shuangling] Jilin Agr Univ, Coll Resources &amp; Environm, Changchun 130118, Peoples R China; [Gao, Yan] Jilin Univ, State Key Lab Supramol Struct &amp; Mat, Changchun 130012, Peoples R China; [Gao, Yan; Cui, Xuejun] Jilin Univ, Weihai Inst Bion, Weihai 264400, Peoples R China</t>
  </si>
  <si>
    <t>Jilin University; Jilin Agricultural University; Jilin University; Jilin University</t>
  </si>
  <si>
    <t>Gao, Y; Cui, XJ (corresponding author), Jilin Univ, Coll Chem, Changchun 130012, Peoples R China.</t>
  </si>
  <si>
    <t>gaoy@jlu.edu.cn; cui_xj@jlu.edu.cn</t>
  </si>
  <si>
    <t>Pharmaceutical Health Industry Development Special Project of the Science and Technology Department of Jilin Province, PR China [101832020DJX026]; Interdisciplinary Research Funding Program for Doctoral Students of Jilin University; [20210401172YY]</t>
  </si>
  <si>
    <t>Pharmaceutical Health Industry Development Special Project of the Science and Technology Department of Jilin Province, PR China; Interdisciplinary Research Funding Program for Doctoral Students of Jilin University;</t>
  </si>
  <si>
    <t>This work was supported by the Pharmaceutical Health Industry Development Special Project of the Science and Technology Department of Jilin Province, PR China (No. 20210401172YY) , Interdisciplinary Research Funding Program for Doctoral Students of Jilin University (No. 101832020DJX026) . The authors thank for the fundings.</t>
  </si>
  <si>
    <t>0141-8130</t>
  </si>
  <si>
    <t>1879-0003</t>
  </si>
  <si>
    <t>INT J BIOL MACROMOL</t>
  </si>
  <si>
    <t>Int. J. Biol. Macromol.</t>
  </si>
  <si>
    <t>10.1016/j.ijbiomac.2023.126424</t>
  </si>
  <si>
    <t>Biochemistry &amp; Molecular Biology; Chemistry, Applied; Polymer Science</t>
  </si>
  <si>
    <t>Biochemistry &amp; Molecular Biology; Chemistry; Polymer Science</t>
  </si>
  <si>
    <t>R7TC7</t>
  </si>
  <si>
    <t>WOS:001066333500001</t>
  </si>
  <si>
    <t>Min, GH; Park, HJ; Bhatti, UH; Jang, JT; Baek, I; Nam, SC</t>
  </si>
  <si>
    <t>Min, Gwan Hong; Park, Hyung Jin; Bhatti, Umair H.; Jang, Jong Tak; Baek, Il Hyun; Nam, Sung Chan</t>
  </si>
  <si>
    <t>Hydrogen sulfide removal from low concentration gas streams using metal supported mesoporous silica SBA-15 adsorbent</t>
  </si>
  <si>
    <t>MICROPOROUS AND MESOPOROUS MATERIALS</t>
  </si>
  <si>
    <t>H2S removal; Bimetallic adsorbent; Mesoporous silica; Breakthrough capacity; Physicochemical property</t>
  </si>
  <si>
    <t>LOW-TEMPERATURE; IRON-OXIDE; BAND-GAP; ACTIVATED CARBON; COPPER-OXIDE; H2S REMOVAL; ZINC-OXIDE; ADSORPTION; BIOGAS; CUO</t>
  </si>
  <si>
    <t>The removal of hydrogen sulfide (H2S) from gas mixtures is paramount as it can cause environmental damage, corrosion, and catalyst poisoning even at low concentration levels (100-200 mg/L). In this work, a series of Fe-Cu oxides supported SBA-15 materials were prepared using the wet incipient impregnation method with different Fe and Cu atomic ratios to evaluate the H2S removal performance. It was found that the H2S adsorption capacity generally increases with an increase in the CuO loading, with a Cu-Fe atomic ratio of 1.0:0.3 displaying the highest breakthrough H2S adsorption capacity of 74.08 mg H2S/g-sorbent. Through the XPS results, the adsorbent existed in the form of sulfate, sulfide, and elemental sulfur after reacting with H2S. In particular, it was confirmed that Fe2O3 helps to improve the H2S removal performance by creating an alkaline environment. The material with superior performance showed high capacity at low concentration compared to several published reports.</t>
  </si>
  <si>
    <t>[Min, Gwan Hong; Park, Hyung Jin; Jang, Jong Tak; Baek, Il Hyun; Nam, Sung Chan] Korea Inst Energy Res, 217 Gajeong ro, Daejeon 34129, South Korea; [Min, Gwan Hong; Baek, Il Hyun; Nam, Sung Chan] Univ Sci &amp; Technol, 217 Gajeong ro, Daejeon 34113, South Korea; [Park, Hyung Jin] Korea Univ, Dept Chem &amp; Biol Engn, 145 Anam Ro, Seoul 02841, South Korea; [Bhatti, Umair H.] King Abdullah Univ Sci &amp; Technol, Thuwal 23955, Saudi Arabia</t>
  </si>
  <si>
    <t>Korea Institute of Energy Research (KIER); University of Science &amp; Technology (UST); Korea University; King Abdullah University of Science &amp; Technology</t>
  </si>
  <si>
    <t>Nam, SC (corresponding author), Korea Inst Energy Res, 217 Gajeong ro, Daejeon 34129, South Korea.</t>
  </si>
  <si>
    <t>scnam@kier.re.kr</t>
  </si>
  <si>
    <t>Korea Institute of Energy Technology Evaluation and Planning (KETEP); Ministry of Trade, Industry amp; Energy (MOTIE) of the Republic of Korea [20212010100050]</t>
  </si>
  <si>
    <t>Korea Institute of Energy Technology Evaluation and Planning (KETEP)(Korea Institute of Energy Technology Evaluation &amp; Planning (KETEP)); Ministry of Trade, Industry amp; Energy (MOTIE) of the Republic of Korea(Ministry of Trade, Industry &amp; Energy (MOTIE), Republic of Korea)</t>
  </si>
  <si>
    <t>This work was supported by the Korea Institute of Energy Technology Evaluation and Planning (KETEP) and the Ministry of Trade, Industry &amp; Energy (MOTIE) of the Republic of Korea (No. 20212010100050) .</t>
  </si>
  <si>
    <t>1387-1811</t>
  </si>
  <si>
    <t>1873-3093</t>
  </si>
  <si>
    <t>MICROPOR MESOPOR MAT</t>
  </si>
  <si>
    <t>Microporous Mesoporous Mat.</t>
  </si>
  <si>
    <t>10.1016/j.micromeso.2023.112763</t>
  </si>
  <si>
    <t>Chemistry, Applied; Chemistry, Physical; Nanoscience &amp; Nanotechnology; Materials Science, Multidisciplinary</t>
  </si>
  <si>
    <t>Chemistry; Science &amp; Technology - Other Topics; Materials Science</t>
  </si>
  <si>
    <t>S4UV1</t>
  </si>
  <si>
    <t>WOS:001071143000001</t>
  </si>
  <si>
    <t>Mohajer, S; Sharif, MA; Aghdam, AH; Borjkhani, M; Assadi, MHN</t>
  </si>
  <si>
    <t>Mohajer, Salman; Sharif, Morteza A.; Aghdam, Afsaneh Hosseini; Borjkhani, Mehdi; Assadi, M. Hussein N.</t>
  </si>
  <si>
    <t>Amplified hybrid surface plasmon polaritons in partially reduced graphene oxide supported on gold</t>
  </si>
  <si>
    <t>APPLIED SURFACE SCIENCE</t>
  </si>
  <si>
    <t>Partially reduced graphene oxide; Surface plasmon polariton; Spaser; Plasmonic waveguide; Density functional theory</t>
  </si>
  <si>
    <t>TOTAL-ENERGY CALCULATIONS; OPTICAL-PROPERTIES; 2ND-HARMONIC GENERATION; FIELD DISTRIBUTION; ANALYTIC SOLUTION; ABSORPTION; DYNAMICS; MODES; ENHANCEMENT; SPASER</t>
  </si>
  <si>
    <t>We experimentally investigated the surface plasmon polaritons' (SPPs) localisation, resonance, and propagation in three plasmonic waveguides: graphene oxide (GO), partially reduced graphene oxide (PRGO), and reduced graphene oxide (RGO) in two configurations; as stand-alone structures and when deposited on gold films. Our experiments measuring the nonlinear absorption/refraction and leakage radiation microscopy (LRM) reveal that the intense Lorenz/Fano resonance of surface plasmon polaritons can occur in the PRGO-based waveguide. We also observe an increasing surface plasmon polaritons generation rate in PRGO-supported Au waveguide, a procedure similar to the spaser (surface plasmon nanolaser) mechanism. This, in turn, leads to increasing the propagation length. Furthermore, our analytical simulation results also suggest the suitability of PRGO as a superior optical material for spaser application. Our density functional calculations confirm that oxidised graphene has a more robust absorption spectrum in infrared wavelengths than pure graphene. Additionally, through van der Waals interaction, PRGO forms a more consistent and uniform bond with gold substrate than pristine graphene, reinforcing the suitability of PRGO as plasmonic waveguides.</t>
  </si>
  <si>
    <t>[Mohajer, Salman] Kharazmi Univ, Phys Dept, Biophoton Lab, Karaj 3197937551, Iran; [Sharif, Morteza A.] Urmia Univ Technol, Fac Elect Engn, Opt &amp; Laser Engn Grp, Band Rd, Orumiyeh 57155419, Iran; [Aghdam, Afsaneh Hosseini] Kharazmi Univ, Phys Dept, Condensed Matter Lab, Karaj 3197937551, Iran; [Borjkhani, Mehdi] Polish Acad Sci, Inst Phys Chem, Int Ctr Translat Eye Res ICTER, Kasprzaka 44-52, PL-01224 Warsaw, Poland; [Assadi, M. Hussein N.] RIKEN Ctr Emergent Matter Sci, 2-1 Hirosawa, Wako, Saitama 3510198, Japan; [Assadi, M. Hussein N.] Univ New South Wales, Sch Mat Sci &amp; Engn, Sydney, NSW 2052, Australia</t>
  </si>
  <si>
    <t>Kharazmi University; Urmia University of Technology; Kharazmi University; Polish Academy of Sciences; Institute of Physical Chemistry of the Polish Academy of Sciences; RIKEN; University of New South Wales Sydney</t>
  </si>
  <si>
    <t>Sharif, MA (corresponding author), Urmia Univ Technol, Fac Elect Engn, Opt &amp; Laser Engn Grp, Band Rd, Orumiyeh 57155419, Iran.;Assadi, MHN (corresponding author), RIKEN Ctr Emergent Matter Sci, 2-1 Hirosawa, Wako, Saitama 3510198, Japan.</t>
  </si>
  <si>
    <t>m.abdolahisharif@ee.uut.ac.ir; h.assadi.2008@ieee.org</t>
  </si>
  <si>
    <t>0169-4332</t>
  </si>
  <si>
    <t>1873-5584</t>
  </si>
  <si>
    <t>APPL SURF SCI</t>
  </si>
  <si>
    <t>Appl. Surf. Sci.</t>
  </si>
  <si>
    <t>10.1016/j.apsusc.2023.158120</t>
  </si>
  <si>
    <t>Chemistry, Physical; Materials Science, Coatings &amp; Films; Physics, Applied; Physics, Condensed Matter</t>
  </si>
  <si>
    <t>Chemistry; Materials Science; Physics</t>
  </si>
  <si>
    <t>P7CI7</t>
  </si>
  <si>
    <t>WOS:001052211900001</t>
  </si>
  <si>
    <t>Mohamed, AAA; Lojano, S; Maldonado, C; Ibrahim, T; Mostafa, HE; Sarkar, R; Soujad, T; Rezk, H; Aldhaifallah, M</t>
  </si>
  <si>
    <t>Mohamed, Ahmed Ali A.; Lojano, Stephanie; Maldonado, Carlos; Ibrahim, Tamer; Mostafa, Hebatallah E.; Sarkar, Razib; Soujad, Tafadar; Rezk, Hegazy; Aldhaifallah, Mujahed</t>
  </si>
  <si>
    <t>Can charge scheduling incentives mitigate the impact of EVs on the power grid?</t>
  </si>
  <si>
    <t>Charging stations; Distribution systems; Electric Vehicles; Influence graph; Network modeling</t>
  </si>
  <si>
    <t>The number of Electric Vehicles (EVs) on the roads is expected to dramatically rise within the next few years. This is poised to substantially increase the total electricity demand due to EV charging. The key question is whether today's distributions systems can handle this increased charging demand. Our central hypothesis is that coordinated charging is a must to enable wide scale deployment of EV chargers. Coordinated charging refers to scheduling, and possibly optimizing, the charging action of EVs so that charging is more focused during grid off-peak hours. Due to the importance of charging incentives, the objective of this paper is to take a step back and obtain real data that help gauge EV drivers' level of acceptance to charging scheduling incentives. Using New York City as a living lab, a case study was carried out to analyze the effectiveness of those incentives. The results of a survey, taken by 119 New Yorkers, shed light on people's response to charging incentives. For instance, 85% of the survey respondents chose to travel longer for a cheaper EVSE instead of heading to a near EVSE at a higher cost.&amp; COPY; 2023 The Authors. Published by Elsevier Ltd. This is an open access article under the CC BY-NC-ND license (http://creativecommons.org/licenses/by-nc-nd/4.0/).</t>
  </si>
  <si>
    <t>[Mohamed, Ahmed Ali A.; Lojano, Stephanie; Maldonado, Carlos; Mostafa, Hebatallah E.; Sarkar, Razib; Soujad, Tafadar] CUNY, Grove Sch Engn, Dept Elect Engn, City Coll, New York, NY 10031 USA; [Ibrahim, Tamer] Elect Power Res Inst, Grid Operat &amp; Planning, Knoxville, TN 37932 USA; [Rezk, Hegazy] Prince Sattam bin Abdulaziz Univ, Coll Engn Wadi Alddawasir, Dept Elect Engn, Al Kharj 16278, Saudi Arabia; [Aldhaifallah, Mujahed] King Fahd Univ Petr &amp; Minerals, Control &amp; Instrumentat Engn Dept, Dhahran 31261, Saudi Arabia; [Aldhaifallah, Mujahed] King Fahd Univ Petr &amp; Minerals, Interdisciplinary Res Ctr IRC Renewable Energy &amp; P, Dhahran 31261, Saudi Arabia</t>
  </si>
  <si>
    <t>City University of New York (CUNY) System; City College of New York (CUNY); Electric Power Research Institute (EPRI); Prince Sattam Bin Abdulaziz University; King Fahd University of Petroleum &amp; Minerals; King Fahd University of Petroleum &amp; Minerals</t>
  </si>
  <si>
    <t>Mohamed, AAA (corresponding author), CUNY, Grove Sch Engn, Dept Elect Engn, City Coll, New York, NY 10031 USA.</t>
  </si>
  <si>
    <t>amohamed@ccny.cuny.edu</t>
  </si>
  <si>
    <t>Aldhaifallah, Mujahed/D-9526-2015</t>
  </si>
  <si>
    <t>Aldhaifallah, Mujahed/0000-0002-8441-2146; Soujad, Tafadar/0000-0001-9171-3177</t>
  </si>
  <si>
    <t>Interdisciplinary Research Center for Renewable Energy and Power Systems at King Fahd University of Petroleum and Minerals (KFUPM) , Saudi Arabia; [INRE2221]</t>
  </si>
  <si>
    <t>Interdisciplinary Research Center for Renewable Energy and Power Systems at King Fahd University of Petroleum and Minerals (KFUPM) , Saudi Arabia;</t>
  </si>
  <si>
    <t>This work was supported by Interdisciplinary Research Center for Renewable Energy and Power Systems at King Fahd University of Petroleum and Minerals (KFUPM) , Saudi Arabia under Project INRE2221.</t>
  </si>
  <si>
    <t>10.1016/j.egyr.2023.03.079</t>
  </si>
  <si>
    <t>P9XL4</t>
  </si>
  <si>
    <t>WOS:001054137300001</t>
  </si>
  <si>
    <t>Mohanty, RI; Pradhan, L; Chongdar, S; Basu, S; Bhanja, P; Jena, BK</t>
  </si>
  <si>
    <t>Mohanty, Rupali Ipsita; Pradhan, Lingaraj; Chongdar, Sayantan; Basu, Suddhasatwa; Bhanja, Piyali; Jena, Bikash Kumar</t>
  </si>
  <si>
    <t>Newly designed microporous organic-inorganic hybrid cobalt phosphonate for hydrogen evolution reaction</t>
  </si>
  <si>
    <t>CATALYSIS TODAY</t>
  </si>
  <si>
    <t>Microporous; Cobalt phosphonate; Transition metal; Electrocatalysis; Hydrogen evolution reaction</t>
  </si>
  <si>
    <t>ENHANCED ELECTROCATALYTIC ACTIVITY; EFFICIENT; NANOPARTICLES; HYDROLYSIS; GENERATION; REDUCTION; CATALYST; ACID</t>
  </si>
  <si>
    <t>The electrochemical water splitting through hydrogen evolution reaction (HER) is a promising technique for generating clean hydrogen as alternative energy to fossil fuel. In recent times, various kinds of cobalt-based materials have been synthesized for hydrogen evolution reactions due to their good catalytic activity, robust structure and stability. New microporous organic-inorganic hybrid cobalt phosphonate material (CoGLy) was developed by a hydrothermal reaction pathway without any structure-directing agent. The material has been characterized through important tools such as powder X-ray diffraction, Nitrogen sorption, Fourier-transform infrared spectroscopy, High-resolution transmission electron microscopy, Field emission scanning electron microscope, and X-ray photoelectron spectroscopy technique. Notably, the material possesses a high specific surface area with a proper microporous channel, which are the key parameters for achieving excellent electrocatalytic activity towards HER. The as-synthesized CoGLy catalyst displays the high catalytic efficiency with the overpotential of 125 mV to acquire the current density of 10 mA cm-2 and low Tafel slope of 72 mV dec � 1. Also, the CoGLy catalyst shows outstanding stability in chronoamperometry measurement up to 25 h time without significant change in current density.</t>
  </si>
  <si>
    <t>[Mohanty, Rupali Ipsita; Pradhan, Lingaraj; Basu, Suddhasatwa; Bhanja, Piyali; Jena, Bikash Kumar] CSIR, Inst Minerals &amp; Mat Technol, Bhubaneswar 751013, India; [Mohanty, Rupali Ipsita; Pradhan, Lingaraj; Jena, Bikash Kumar] Acad Sci &amp; Innovat Res AcSIR, Ghaziabad 201002, India; [Chongdar, Sayantan] Indian Assoc Cultivat Sci, Sch Mat Sci, Kolkata 700032, India</t>
  </si>
  <si>
    <t>Council of Scientific &amp; Industrial Research (CSIR) - India; CSIR - Institute of Minerals &amp; Materials Technology (IMMT); Academy of Scientific &amp; Innovative Research (AcSIR); Department of Science &amp; Technology (India); Indian Association for the Cultivation of Science (IACS) - Jadavpur</t>
  </si>
  <si>
    <t>Bhanja, P; Jena, BK (corresponding author), CSIR, Inst Minerals &amp; Mat Technol, Bhubaneswar 751013, India.</t>
  </si>
  <si>
    <t>piyalibhanja@immt.res.in; bikash@immt.res.in</t>
  </si>
  <si>
    <t>Jena, Bikash/A-1735-2011</t>
  </si>
  <si>
    <t>Jena, Bikash/0000-0003-1794-4430</t>
  </si>
  <si>
    <t>DST India; CSIR-India; DST-SERB, India [RJF/2020/000049]; CSIR (H2T program) [HCP-44 FBR1.2]; UGC CSR; BRNS; MNRE, India</t>
  </si>
  <si>
    <t>DST India(Department of Science &amp; Technology (India)); CSIR-India(Council of Scientific &amp; Industrial Research (CSIR) - India); DST-SERB, India; CSIR (H2T program); UGC CSR; BRNS(Department of Atomic Energy (DAE)Board of Research in Nuclear Sciences (BRNS)); MNRE, India</t>
  </si>
  <si>
    <t>R.I.M would like to thank DST India for the financial support. L.P. thanks to CSIR-India for the financial support. P.B. thanks the DST-SERB, India for the Ramanujan fellowship (RJF/2020/000049) for the financial support. BKJ thanks CSIR (H2T program, HCP-44 FBR1.2), UGC CSR, BRNS, and MNRE, India, for financial support.</t>
  </si>
  <si>
    <t>0920-5861</t>
  </si>
  <si>
    <t>1873-4308</t>
  </si>
  <si>
    <t>CATAL TODAY</t>
  </si>
  <si>
    <t>Catal. Today</t>
  </si>
  <si>
    <t>10.1016/j.cattod.2022.06.004</t>
  </si>
  <si>
    <t>Chemistry, Applied; Chemistry, Physical; Engineering, Chemical</t>
  </si>
  <si>
    <t>R1VA5</t>
  </si>
  <si>
    <t>WOS:001062275800001</t>
  </si>
  <si>
    <t>Muhsin-Sharafaldine, MR; Rahman, LA; Suwanarusk, R; Grant, J; Parslow, G; French, N; Tan, K; Russell, B; Morgan, XC; Ussher, JE</t>
  </si>
  <si>
    <t>Muhsin-Sharafaldine, M. -R.; Rahman, L. Abdel; Suwanarusk, R.; Grant, J.; Parslow, G.; French, N.; Tan, K. S. W.; Russell, B.; Morgan, X. C.; Ussher, J. E.</t>
  </si>
  <si>
    <t>Dientamoeba fragilis associated with microbiome diversity changes in acute gastroenteritis patients</t>
  </si>
  <si>
    <t>PARASITOLOGY INTERNATIONAL</t>
  </si>
  <si>
    <t>Dientamoeba fragilis; Microbiome; Blastocystis hominis; Giardia spp; Cryptosporidium spp; Gastroenteritis</t>
  </si>
  <si>
    <t>BLASTOCYSTIS; COLONIZATION; CHILDREN</t>
  </si>
  <si>
    <t>This study examined the correlation between intestinal protozoans and the bacterial microbiome in faecal samples collected from 463 patients in New Zealand who were diagnosed with gastroenteritis. In comparison to traditional microscopic diagnosis methods, Multiplexed-tandem PCR proved to be more effective in detecting intestinal parasites. Among the identified protozoans, Blastocystis sp. and Dientamoeba fragilis were the most prevalent. Notably, D. fragilis was significantly associated with an increase in the alpha-diversity of host prokaryotic microbes.Although the exact role of Blastocystis sp. and D. fragilis as the primary cause of gastroenteritis remains debatable, our data indicates a substantial correlation between these protozoans and the prokaryote microbiome of their hosts, particularly when compared to other protists or patients with gastroenteritis but no detectable parasitic cause. These findings underscore the significance of comprehending the contributions of intestinal protozoans, specifically D. fragilis, to the development of gastroenteritis and their potential implications for disease management.</t>
  </si>
  <si>
    <t>[Muhsin-Sharafaldine, M. -R.; Rahman, L. Abdel; Suwanarusk, R.; Russell, B.; Morgan, X. C.; Ussher, J. E.] Univ Otago, Dept Microbiol &amp; Immunol, Dunedin, New Zealand; [Grant, J.; Parslow, G.; Ussher, J. E.] Southern Community Labs, Dunedin, New Zealand; [French, N.] Massey Univ, Palmerston North, New Zealand; [Tan, K. S. W.] Natl Univ Singapore, Dept Microbiol &amp; Immunol, Singapore, Singapore; [Russell, B.] Nagasaki Univ, Inst Trop Med NEKKEN, Dept Protozool, 1-12-4 Sakamoto, Nagasaki 8528523, Japan</t>
  </si>
  <si>
    <t>University of Otago; Massey University; National University of Singapore; Nagasaki University</t>
  </si>
  <si>
    <t>Russell, B (corresponding author), Univ Otago, Dept Microbiol &amp; Immunol, Dunedin, New Zealand.;Russell, B (corresponding author), Nagasaki Univ, Inst Trop Med NEKKEN, Dept Protozool, 1-12-4 Sakamoto, Nagasaki 8528523, Japan.</t>
  </si>
  <si>
    <t>b.russell@otago.ac.nz</t>
  </si>
  <si>
    <t>University of Otago Research Grant; 2021 MBIE Science Whitinga Fellowship</t>
  </si>
  <si>
    <t>&amp; nbsp;BR, RS, and RM were supported by a 2021 University of Otago Research Grant and a 2021 MBIE Science Whitinga Fellowship.</t>
  </si>
  <si>
    <t>1383-5769</t>
  </si>
  <si>
    <t>1873-0329</t>
  </si>
  <si>
    <t>PARASITOL INT</t>
  </si>
  <si>
    <t>Parasitol. Int.</t>
  </si>
  <si>
    <t>10.1016/j.parint.2023.102788</t>
  </si>
  <si>
    <t>Parasitology</t>
  </si>
  <si>
    <t>P7OP9</t>
  </si>
  <si>
    <t>WOS:001052534000001</t>
  </si>
  <si>
    <t>Mukherjee, K; Dutta, P; Badwaik, HR; Saha, A; Das, A; Giri, TK</t>
  </si>
  <si>
    <t>Mukherjee, Kaushik; Dutta, Pallobi; Badwaik, Hemant Ramachandra; Saha, Arpita; Das, Ankita; Giri, Tapan Kumar</t>
  </si>
  <si>
    <t>Food industry applications of Tara gum and its modified forms</t>
  </si>
  <si>
    <t>Tara gum; Polysaccharide; Modification</t>
  </si>
  <si>
    <t>RHEOLOGICAL PROPERTIES; EDIBLE FILMS; IN-VITRO; CARBOXYMETHYL TAMARIND; RELEASE BEHAVIOR; GUAR GUM; SEED GUM; XANTHAN; POLYSACCHARIDE; OPTIMIZATION</t>
  </si>
  <si>
    <t>Over the last few decades, a lot of investigations have been directed towards naturally occurring polymers be-cause of their useful physicochemical properties. Among the naturally occurring polymers, the polysaccharides have received much attention in drug delivery and biomedical fields. Tara gum is one of such polysaccharides being widely explored in nutraceutical, pharmaceutical, and biomedical fields like protection of bioactives from environmental degradation, packaging of food materials, controlled release drug delivery systems, etc. The gum has also been suitably derivatized. Its modified forms have been explored in biomedical applications like su-perabsorbent polymers which find application in diapers, gardening, and agriculture in arid regions. However, summarizations of this progress are not available in the literature. This article thus aims to give a summary of the source, structural interpretation, and rheological analysis of the gum. The article also aims to furnish the depth of information available in the literature emphasizing the applications of the gum and its modified form in pharmaceutical and biomedical areas.</t>
  </si>
  <si>
    <t>[Mukherjee, Kaushik; Dutta, Pallobi; Saha, Arpita; Das, Ankita; Giri, Tapan Kumar] Jadavpur Univ, Dept Pharmaceut Technol, Kolkata 700032, West Bengal, India; [Badwaik, Hemant Ramachandra] Rungta Coll Pharmaceut Sci &amp; Res, Kurud Rd, Bhilai 490023, Chhattisgarh, India</t>
  </si>
  <si>
    <t>Jadavpur University</t>
  </si>
  <si>
    <t>Giri, TK (corresponding author), Jadavpur Univ, Dept Pharmaceut Technol, Kolkata 700032, West Bengal, India.</t>
  </si>
  <si>
    <t>tapan_ju01@rediffmail.com</t>
  </si>
  <si>
    <t>Giri, Tapan Kumar/0000-0002-9885-2548</t>
  </si>
  <si>
    <t>10.1016/j.fhfh.2022.100107</t>
  </si>
  <si>
    <t>P2LY2</t>
  </si>
  <si>
    <t>WOS:001049017800001</t>
  </si>
  <si>
    <t>Munmulla, T; Navaratnam, S; Hidallana-Gamage, HD; Tushar, Q; Ponnampalam, T; Zhang, GM; Jayasinghe, MTR</t>
  </si>
  <si>
    <t>Munmulla, Thisari; Navaratnam, Satheeskumar; Hidallana-Gamage, H. D.; Tushar, Quddus; Ponnampalam, Thusiyanthan; Zhang, Guomin; Jayasinghe, M. T. R.</t>
  </si>
  <si>
    <t>Sustainable approaches to improve the resilience of modular buildings under wind loads</t>
  </si>
  <si>
    <t>JOURNAL OF CONSTRUCTIONAL STEEL RESEARCH</t>
  </si>
  <si>
    <t>Modular buildings; Numerical modelling; Resilience; Sustainable design; Wind loads; Lateral stiffness</t>
  </si>
  <si>
    <t>SEISMIC RESPONSE; STEEL; SYSTEM; STIFFNESS; CONCRETE; STRENGTH</t>
  </si>
  <si>
    <t>Prefabricated volumetric modular building (PVMB) technology is an emerging technology that can make the construction industry walk towards sustainability by reducing the emission of pollutants leading to various environmental impacts. However, the knowledge of the lateral behaviour of PVMBs is limited. This could lead to significant building failure in future, as the climate continues to change, it is expected that building performance will be affected. Thus, this research aims to study the resilience of PVMBs under changing wind loads and identify the most sustainable approach to improve resilience. A 25-storey case-study building was analysed with modifications added to increase its lateral stiffness. Three methods of increasing the resilience were used: (1) increasing the size of structural elements; (2) increasing the inter-component connection stiffness; and (3) introducing discrete diaphragms. The results showed that using chevron bracings of the same section size as Xbracings can maintain the same resilience against the wind while decreasing total bracing steel volume by 32%. Among the analysis cases, structures with concrete cores (CC) have the highest stiffness to withstand the increased wind loads. The building with CC at the centre can withstand a 100% higher serviceability wind speed (i.e. 74 ms-1) than building without modifications (i.e. 37 ms-1). At the same time, the building with CC on either side can withstand a 45% higher wind speed than building without modifications. Further considering the sustainability aspects, the environmental effects of global warming can be reduced by about 160% when fully modular buildings are constructed with recycled steel.</t>
  </si>
  <si>
    <t>[Munmulla, Thisari; Navaratnam, Satheeskumar; Tushar, Quddus; Zhang, Guomin] RMIT Univ, Sch Engn, Melbourne 3000, Australia; [Munmulla, Thisari; Hidallana-Gamage, H. D.; Jayasinghe, M. T. R.] Univ Moratuwa, Dept Civil Engn, Moratuwa 10400, Sri Lanka; [Ponnampalam, Thusiyanthan] Ronnie &amp; Koh Consultants Pte Ltd, Singapore 573972, Singapore</t>
  </si>
  <si>
    <t>Royal Melbourne Institute of Technology (RMIT); University Moratuwa</t>
  </si>
  <si>
    <t>Navaratnam, S (corresponding author), RMIT Univ, Sch Engn, Melbourne 3000, Australia.</t>
  </si>
  <si>
    <t>sathees.nava@rmit.edu.au</t>
  </si>
  <si>
    <t>Hidallana-Gamage, Hasitha/0000-0003-1186-2135; Munmulla, Thisari/0000-0001-6736-0025</t>
  </si>
  <si>
    <t>Ronnie amp; Koh Consultants Pte Ltd., Singapore; Skyline Consulting Engineers, Sri Lanka; RMIT University; University of Moratuwa</t>
  </si>
  <si>
    <t>This work is funded by Ronnie &amp; Koh Consultants Pte Ltd., Singapore and Skyline Consulting Engineers, Sri Lanka. The authors also acknowledge RMIT University and the University of Moratuwa for their support in terms of technical, financial, and other research facilities.</t>
  </si>
  <si>
    <t>0143-974X</t>
  </si>
  <si>
    <t>1873-5983</t>
  </si>
  <si>
    <t>J CONSTR STEEL RES</t>
  </si>
  <si>
    <t>J. Constr. Steel. Res.</t>
  </si>
  <si>
    <t>10.1016/j.jcsr.2023.108124</t>
  </si>
  <si>
    <t>Construction &amp; Building Technology; Engineering, Civil</t>
  </si>
  <si>
    <t>Construction &amp; Building Technology; Engineering</t>
  </si>
  <si>
    <t>P2YD9</t>
  </si>
  <si>
    <t>WOS:001049337600001</t>
  </si>
  <si>
    <t>Nair, SS; Vijayakumar, N; Pradeep, R</t>
  </si>
  <si>
    <t>Nair, S. Sreedevi; Vijayakumar, N.; Pradeep, R.</t>
  </si>
  <si>
    <t>Design of low PAPR 2-Soliton NFDM transmit signals with optimal constellations for NFT-based high-speed optical communication</t>
  </si>
  <si>
    <t>OPTICAL FIBER TECHNOLOGY</t>
  </si>
  <si>
    <t>Optical communication systems; Nonlinear Frequency Division Multiplexing; (NFDM); Nonlinear Fourier Transform (NFT); Discrete Spectrum Modulation; Peak to Average Ratio (PAPR); Quadrature Amplitude Multiplexing (QAM)</t>
  </si>
  <si>
    <t>NONLINEAR FOURIER-TRANSFORM; EIGENVALUE; MODULATION; WAVES</t>
  </si>
  <si>
    <t>Optical Fiber Communication is known for its extremely high data-carrying capacity among all the existing transmission technologies. However, its capacity to the fullest is restrained by the effects of nonlinearity, thereby urging nonlinear compensation. In this paper, we have attempted to enhance the performance of Nonlinear Frequency Division multiplexing (NFDM) based nonlinearity compensation, a recent attraction due to its high throughput nature. Here, we design optimal transmit signals, emphasizing lowering the Peak to Average Ratio (PAPR). With appropriate investigation, optimal eigenvalue and Quadrature Amplitude Modulation (QAM) constellations for encoding have been procured that aid in constructing low PAPR NFDM signals. To upgrade the optimal QAM design, two novel Spiral QAM models, Model I and Model II are proposed that diversify signal envelopes in addition to lowering the PAPR. This improves the overall fault tolerance of the NFDM system. For a 2-eigenvalue NFDM system, using the proposed constellations, the PAPR is reduced by 0.24 dB (Model I) and 1.42 dB (Model II), compared to the conventional scheme. Thus, we have designed optimum NFDM transmit pulses and subsequently accomplished a high performing 10 Gbps NFDM system using the proposed constellation models.</t>
  </si>
  <si>
    <t>[Nair, S. Sreedevi; Vijayakumar, N.] APJ Abdul Kalam Technol Univ, Govt Engn Coll, Barton Hill, Thiruvananthapuram 695035, India; [Pradeep, R.] APJ Abdul Kalam Technol Univ, Coll Engn Trivandrum, Thiruvananthapuram 695016, Kerala, India</t>
  </si>
  <si>
    <t>College of Engineering, Trivandrum</t>
  </si>
  <si>
    <t>Nair, SS (corresponding author), APJ Abdul Kalam Technol Univ, Govt Engn Coll, Barton Hill, Thiruvananthapuram 695035, India.</t>
  </si>
  <si>
    <t>sreedevi.dtrv18jul002@gecbh.ac.in; dr.nvkr@gmail.com; pradeep@cet.ac.in</t>
  </si>
  <si>
    <t>NAIR, SREEDEVI S/P-8321-2014</t>
  </si>
  <si>
    <t>NAIR, SREEDEVI S/0000-0002-2075-9917</t>
  </si>
  <si>
    <t>Centre for Engineering Research and Development (CERD) of APJ Abdul Kalam Technological University (KTU) , Kerala, India</t>
  </si>
  <si>
    <t>We acknowledge that this research work was supported by the Centre for Engineering Research and Development (CERD) of APJ Abdul Kalam Technological University (KTU) , Kerala, India.</t>
  </si>
  <si>
    <t>1068-5200</t>
  </si>
  <si>
    <t>1095-9912</t>
  </si>
  <si>
    <t>OPT FIBER TECHNOL</t>
  </si>
  <si>
    <t>Opt. Fiber Technol.</t>
  </si>
  <si>
    <t>10.1016/j.yofte.2023.103473</t>
  </si>
  <si>
    <t>Engineering, Electrical &amp; Electronic; Optics; Telecommunications</t>
  </si>
  <si>
    <t>Engineering; Optics; Telecommunications</t>
  </si>
  <si>
    <t>R2ON1</t>
  </si>
  <si>
    <t>WOS:001062794000001</t>
  </si>
  <si>
    <t>Niu, XT; Hu, CY; Chen, SW; Wen, JY; Liu, XX; Yong, YH; Yu, ZC; Ma, XB; Li, CP; Warda, M; Abd El-Aty, AM; Gooneratne, R; Ju, XH</t>
  </si>
  <si>
    <t>Niu, Xueting; Hu, Canying; Chen, Shengwei; Wen, Jiaying; Liu, Xiaoxi; Yong, Yanhong; Yu, Zhichao; Ma, Xingbin; Li, Chengpeng; Warda, Mohamad; Abd El-Aty, A. M.; Gooneratne, Ravi; Ju, Xianghong</t>
  </si>
  <si>
    <t>Chitosan-gentamicin conjugate attenuates heat stress-induced intestinal barrier injury via the TLR4/STAT6/MYLK signaling pathway: In vitro and in vivo studies</t>
  </si>
  <si>
    <t>CARBOHYDRATE POLYMERS</t>
  </si>
  <si>
    <t>Heat stress; CS-GT; Intestinal barrier injury; TLR4/STAT6/MYLK</t>
  </si>
  <si>
    <t>PERMEABILITY</t>
  </si>
  <si>
    <t>Heat stress (HS) has a negative impact on animal health. A modified chitosan-gentamicin conjugate (CS-GT) was prepared to investigate its potential protective effects and mechanism of action on heat stress-induced intestinal mucosa injury in IPEC-J2 cells and mouse 3D intestinal organs in a mouse model. CS-GT significantly (P &lt; 0.01) reversed the decline in transmembrane resistance and increased the FITC-dextran permeability of the IPEC-J2 monolayer fusion epithelium caused by heat stress. Heat stress decreased the expression of the tight binding proteins occludin, claudin1, and claudin2. However, pretreatment with CS-GT significantly increased (P &lt; 0.01) the expression of these tight binding proteins. Mechanistically, CS-GT inhibited the activation of the TLR4/ STAT6/MYLK signaling pathway induced by heat stress. Molecular docking showed that CS-GT can bind effectively with TLR4. In conclusion, CS-GT alleviates heat stress-induced intestinal mucosal damage both in vitro and in vivo. This effect is mediated, at least partly, by the inhibition of the TLR4/STAT6/MYLK signaling pathway and upregulation of tight junction proteins. These findings suggest that CS-GT may have therapeutic potential in the prevention and treatment of heat stress-related intestinal injury.</t>
  </si>
  <si>
    <t>[Niu, Xueting; Hu, Canying; Chen, Shengwei; Wen, Jiaying; Liu, Xiaoxi; Yong, Yanhong; Yu, Zhichao; Ma, Xingbin; Ju, Xianghong] Guangdong Ocean Univ, Coll Coastal Agr Sci, Zhanjiang 524088, Peoples R China; [Niu, Xueting; Hu, Canying; Chen, Shengwei; Wen, Jiaying; Ju, Xianghong] Guangdong Ocean Univ, Shenzheng Inst, Marine Med Res &amp; Dev Ctr, Shenzheng 518120, Peoples R China; [Li, Chengpeng] Guangdong Ocean Univ, Coll Chem &amp; Environm Sci, Zhanjiang 524088, Peoples R China; [Warda, Mohamad] Cairo Univ, Fac Vet Med, Dept Biochem &amp; Mol Biol, Giza 12211, Egypt; [Abd El-Aty, A. M.] Cairo Univ, Fac Vet Med, Dept Pharmacol, Giza 12211, Egypt; [Abd El-Aty, A. M.] Ataturk Univ, Med Fac, Dept Med Pharmacol, TR-25240 Erzurum, Turkiye; [Gooneratne, Ravi] Lincoln Univ, Fac Agr &amp; Life Sci, Lincoln 7647, New Zealand</t>
  </si>
  <si>
    <t>Guangdong Ocean University; Guangdong Ocean University; Guangdong Ocean University; Egyptian Knowledge Bank (EKB); Cairo University; Egyptian Knowledge Bank (EKB); Cairo University; Ataturk University; Lincoln University - New Zealand</t>
  </si>
  <si>
    <t>Ju, XH (corresponding author), Guangdong Ocean Univ, Coll Coastal Agr Sci, Zhanjiang 524088, Peoples R China.</t>
  </si>
  <si>
    <t>juxh77@163.com</t>
  </si>
  <si>
    <t>Abd El-Aty, A. M./H-8216-2018</t>
  </si>
  <si>
    <t>Abd El-Aty, A. M./0000-0001-6596-7907</t>
  </si>
  <si>
    <t>National Natural Science Founda- tion of China [31902314, 32273077, 2019A1515011142]; Nat- ural Science Foundation of Guangdong Province, China [2022KCXTD014]; Innovation Team Project of Department of Edu- cation of Guangdong Province [040510052201]; Guangdong Postgraduate Education Innovation Project [JCYJ20220530162008018]; National Natural Science Foundation of ShenZhen [101402/R17088]; Program for Scientific Research Start -Fund of Guangdong Ocean University; [31472243]</t>
  </si>
  <si>
    <t>National Natural Science Founda- tion of China(National Natural Science Foundation of China (NSFC)); Nat- ural Science Foundation of Guangdong Province, China(National Natural Science Foundation of Guangdong Province); Innovation Team Project of Department of Edu- cation of Guangdong Province; Guangdong Postgraduate Education Innovation Project; National Natural Science Foundation of ShenZhen; Program for Scientific Research Start -Fund of Guangdong Ocean University;</t>
  </si>
  <si>
    <t>This study was supported by the National Natural Science Founda- tion of China [grant numbers: 31472243, 31902314, 32273077] ; Nat- ural Science Foundation of Guangdong Province, China [grant numbers: 2019A1515011142] ; Innovation Team Project of Department of Edu- cation of Guangdong Province [grant number: 2022KCXTD014] ; Guangdong Postgraduate Education Innovation Project [grant number: 040510052201] ; National Natural Science Foundation of ShenZhen [grant number: JCYJ20220530162008018] and Program for Scientific Research Start -Fund of Guangdong Ocean University [grant number: 101402/R17088] .</t>
  </si>
  <si>
    <t>0144-8617</t>
  </si>
  <si>
    <t>1879-1344</t>
  </si>
  <si>
    <t>CARBOHYD POLYM</t>
  </si>
  <si>
    <t>Carbohydr. Polym.</t>
  </si>
  <si>
    <t>10.1016/j.carbpol.2023.121279</t>
  </si>
  <si>
    <t>Chemistry, Applied; Chemistry, Organic; Polymer Science</t>
  </si>
  <si>
    <t>Chemistry; Polymer Science</t>
  </si>
  <si>
    <t>Q4LW4</t>
  </si>
  <si>
    <t>WOS:001057260600001</t>
  </si>
  <si>
    <t>O'Neill, K; Bloomer, MJ</t>
  </si>
  <si>
    <t>O'Neill, Kylie; Bloomer, Melissa J.</t>
  </si>
  <si>
    <t>An integrative review of potassium replacement protocol use in critical care: Development, use and critical care nurse autonomy</t>
  </si>
  <si>
    <t>INTENSIVE AND CRITICAL CARE NURSING</t>
  </si>
  <si>
    <t>Adult; Critical care; Electrolytes; Integrative review; Potassium; Treatment protocols</t>
  </si>
  <si>
    <t>Background: Potassium replacement protocols are used to standardise practice, reduce risk, and ensure timely potassium replacement, but there is considerable variability in their development and use, particularly as part of critical care nursing practice.Aim: To synthesise the research evidence on how potassium replacement protocols are used in adult critical care; and how critical care nurses' role and practice is influenced by a potassium replacement protocol. The research question was 'How are protocols used by intensive care clinicians to guide potassium replacement in adult critical care?' Design: A structured integrative review was undertaken. A combination of keywords, synonyms, and Medical Subject Headings were used across the Ovid Medline and Embase databases. Records were independently assessed against inclusion and exclusion criteria. All papers were assessed for quality. A narrative synthesis was used to analyse and present the findings. Results: Ten studies were included in this review from 4076 records identified. Narrative synthesis revealed five categories: (i) protocol design demonstrating variation in protocol mechanisms, (ii) protocol rationale eliciting reasonings for protocol implementation, (iii) protocol use describing how protocols were nurse-driven enabling nursing autonomy (iv) protocol adherence highlighting variability in protocol compliance and (v) critical care nurse acceptability and feasibility coupling greater shared responsibility for patient care and improved clinician satisfaction.Conclusion: Safe, high-quality care, supported by evidence continues to be a priority. Protocolised potassium replacement can improve patient outcomes and promote nurses' autonomy, efficiency, and job satisfaction.Implications for Clinical Practice: Recognising and promoting critical care nurses' expert assessment skills and clinical decision-making is essential for optimising efficient, safe, and high-quality patient care. Although pro-tocol deviations are accommodated in protocol development, comprehensive documentation to justify protocol deviations is key to justifying practice. Understanding protocol deviations are crucial to inform future protocol development, improvements, and evaluation to further enhance critical care nursing practice.</t>
  </si>
  <si>
    <t>[O'Neill, Kylie; Bloomer, Melissa J.] Metro South Hosp Hlth Serv, Princess Alexandra Hosp, Intens Care Unit, Woolloongabba, Qld, Australia; [Bloomer, Melissa J.] Griffith Univ, Sch Nursing &amp; Midwifery, Nathan, Qld, Australia; [Bloomer, Melissa J.] Griffith Univ, Menzies Hlth Inst Queensland, Gold Coast, Qld, Australia; [O'Neill, Kylie] 199 Ipswich Rd, Woolloongabba, QLD 4102, Australia</t>
  </si>
  <si>
    <t>Griffith University; Griffith University; Menzies Health Institute Queensland</t>
  </si>
  <si>
    <t>O'Neill, K (corresponding author), 199 Ipswich Rd, Woolloongabba, QLD 4102, Australia.</t>
  </si>
  <si>
    <t>kylie.oneill@health.qld.gov.au</t>
  </si>
  <si>
    <t>0964-3397</t>
  </si>
  <si>
    <t>1532-4036</t>
  </si>
  <si>
    <t>INTENS CRIT CARE NUR</t>
  </si>
  <si>
    <t>Intensive Crit. Care Nurs.</t>
  </si>
  <si>
    <t>10.1016/j.iccn.2023.103524</t>
  </si>
  <si>
    <t>Nursing</t>
  </si>
  <si>
    <t>R5LE9</t>
  </si>
  <si>
    <t>WOS:001064757700001</t>
  </si>
  <si>
    <t>Ortiz-Cam, L; Jones-Engel, L; Mendoza, P; Castillo-Neyra, R</t>
  </si>
  <si>
    <t>Ortiz-Cam, Lizzie; Jones-Engel, Lisa; Mendoza, Patricia; Castillo-Neyra, Ricardo</t>
  </si>
  <si>
    <t>Association between seroprevalence of measles virus in monkeys and degree of human-monkey contact in Bangladesh</t>
  </si>
  <si>
    <t>ONE HEALTH</t>
  </si>
  <si>
    <t>Bangladesh; Macaca mulatta; Measles; One health; Seroprevalence; Spillback; oanthroponosis</t>
  </si>
  <si>
    <t>PERFORMING MONKEYS; ANTIBODIES; MACAQUES; INFECTION; EXPOSURE; RUBELLA; MUMPS</t>
  </si>
  <si>
    <t>Measles infections can cause significant morbidity and mortality in human and monkey populations. The endemicity of measles in human populations and viral circulation within populations of free-living monkeys may have important repercussions for potential zoonotic transmission events and for the long-term health of monkey populations. Yet, there has not yet been a rigorous investigation of the dynamics of measles transmission where human and monkey populations coexist. In this study, to determine the difference in seroprevalence of the measles virus across different contexts of human-monkey contact, we analyzed serum samples collected from 56 apparently healthy Macaca mulatta monkeys who occupied diverse contexts, with different degrees of humanmonkey contact, in Bangladesh. This is the first report of measles virus seroprevalence in monkeys in Bangladesh. We found a clear association between measles virus seropositivity in monkeys and the context in which they interact with humans. Seroprevalence was the lowest in wild areas (0.0%) and increased in shrines (4.8%), urban areas (5.9%), and was highest among monkeys who are used as performance animals (50.0%). This work suggests that a One Health approach informed by local interspecies transmission dynamics is necessary to develop strategies that both improve measles vaccination coverage, achieve long-term surveillance in monkey populations, and prevent measles spillback to monkeys. This approach aims to inform conservation efforts and protect the long-term health of human and monkey populations.</t>
  </si>
  <si>
    <t>[Ortiz-Cam, Lizzie] Natl Forest &amp; Wildlife Serv SERFOR, Lima, Peru; [Ortiz-Cam, Lizzie] Cayetano Heredia Peruvian Univ, Sch Vet Med &amp; Zoothecn, Lima, Peru; [Ortiz-Cam, Lizzie; Castillo-Neyra, Ricardo] Cayetano Heredia Peruvian Univ, Sch Publ Hlth &amp; Adm, Lima, Peru; [Jones-Engel, Lisa] People Eth Treatment Anim PETA, Norfolk, VA USA; [Mendoza, Patricia] Neotrop Primate Conservat, Lima, Peru; [Mendoza, Patricia] Univ Missouri, Dept Biol, St Louis, MO USA; [Castillo-Neyra, Ricardo] Univ Penn, Dept Biostat Epidemiol &amp; Informat, Philadelphia, PA USA; [Jones-Engel, Lisa] Univ Washington, Natl Primate Res Ctr, Seattle, WA USA</t>
  </si>
  <si>
    <t>Universidad Peruana Cayetano Heredia; Universidad Peruana Cayetano Heredia; University of Missouri System; University of Missouri Saint Louis; University of Pennsylvania; University of Washington; University of Washington Seattle</t>
  </si>
  <si>
    <t>Ortiz-Cam, L (corresponding author), Natl Forest &amp; Wildlife Serv SERFOR, Lima, Peru.</t>
  </si>
  <si>
    <t>lizzie.ortiz@upch.pe</t>
  </si>
  <si>
    <t>Ortiz-Cam, Lizzie/0000-0001-9424-2729; Castillo-Neyra, Ricardo/0000-0001-6629-2139; Mendoza Becerra, Ana Patricia/0000-0002-8631-0119</t>
  </si>
  <si>
    <t>2352-7714</t>
  </si>
  <si>
    <t>ONE HEALTH-AMSTERDAM</t>
  </si>
  <si>
    <t>One Health</t>
  </si>
  <si>
    <t>10.1016/j.onehlt.2023.100571</t>
  </si>
  <si>
    <t>Public, Environmental &amp; Occupational Health; Infectious Diseases</t>
  </si>
  <si>
    <t>Q1AO4</t>
  </si>
  <si>
    <t>WOS:001054914200001</t>
  </si>
  <si>
    <t>Paterson, K; Silverstan, M; Beckingham, B</t>
  </si>
  <si>
    <t>Paterson, Kayli; Silverstan, Michael; Beckingham, Barbara</t>
  </si>
  <si>
    <t>Enumeration of microparticles on a gridded filter using a stratified random sampling tool</t>
  </si>
  <si>
    <t>METHODSX</t>
  </si>
  <si>
    <t>Stratified random sampling; Particle enumeration; Microplastics; Microparticles; Tire particles; Filter; Microscopy; Stereomicroscopy; Particle distribution; Patterned distribution</t>
  </si>
  <si>
    <t>MICROPLASTICS</t>
  </si>
  <si>
    <t>Quantifying microplastics and other microparticles is a matter of interest in the field of environ-mental science. Stereomicroscopy is one of the most common methods to identify and enumerate micro-size particles. However, the process of enumerating an entire environmental sample can be tedious and time-consuming, especially when target particles are abundant. Here we present a method to develop a subsampling strategy and spreadsheet-based tool to speed up the process of microparticle enumeration while maintaining particle count accuracy. We first identified the pat-tern in which tire road wear particles (TRWPs) from environmental samples were distributed on a filter when vacuum-plated, then used particle abundance within relatively homogeneous subsec-tion arrangements to establish stratified random subsampling schemes. We describe a repeated sampling experiment using count data to test the stratified design and illustrate the relationship between the fraction of the filter counted (sample size) with accuracy and variance in the extrap-olated total sample count and the corresponding analyst time savings when applied to analyzing TRWPs isolated from sediments. Based on the results, a particle enumeration tool was created in Microsoft Excel Visual BasicRO configured using a 47 mm gridded filter, and the source is available for free modification under the same open license. &amp; BULL; Vacuum-plated microparticles are often highly abundant and not homogenously distributed across a filter. &amp; BULL; A random sampling selection data tool was created using knowledge of particle distribution. &amp; BULL; Method describes how to structure and use partial filter counts to extrapolate for total particle enumeration.</t>
  </si>
  <si>
    <t>[Paterson, Kayli; Beckingham, Barbara] Coll Charleston, Environm &amp; Sustainabil Studies Program, Charleston, SC 29424 USA; [Silverstan, Michael] Oregon State Univ, Corvallis, OR USA</t>
  </si>
  <si>
    <t>College of Charleston; Oregon State University</t>
  </si>
  <si>
    <t>Paterson, K (corresponding author), Coll Charleston, Environm &amp; Sustainabil Studies Program, Charleston, SC 29424 USA.</t>
  </si>
  <si>
    <t>Kayli.Paterson@gmail.com</t>
  </si>
  <si>
    <t>2215-0161</t>
  </si>
  <si>
    <t>MethodsX</t>
  </si>
  <si>
    <t>10.1016/j.mex.2023.102284</t>
  </si>
  <si>
    <t>Multidisciplinary Sciences</t>
  </si>
  <si>
    <t>Science &amp; Technology - Other Topics</t>
  </si>
  <si>
    <t>P2FZ8</t>
  </si>
  <si>
    <t>WOS:001048863100001</t>
  </si>
  <si>
    <t>Phutela, C; Bosio, F; Li, PF; Aboulkhair, NT</t>
  </si>
  <si>
    <t>Phutela, Chinmay; Bosio, Federico; Li, Peifeng; Aboulkhair, Nesma T.</t>
  </si>
  <si>
    <t>Correlating the microstructure and hardness of AlSi10Mg powder with additively-manufactured parts upon in-situ heat-treatments in laser beam powder bed fusion</t>
  </si>
  <si>
    <t>ADDITIVE MANUFACTURING LETTERS</t>
  </si>
  <si>
    <t>In -situ heat treatments; Laser powder bed fusion; Additive manufacturing; Powder characterization; Aluminium alloy; Hardness; Microstructure</t>
  </si>
  <si>
    <t>MECHANICAL-PROPERTIES; RAPID SOLIDIFICATION; MELTED ALSI10MG; EVOLUTION</t>
  </si>
  <si>
    <t>Laser beam powder bed fusion (PBF-LB) of AlSi10Mg has attained technology maturity in various industries. Nevertheless, the manufactured components often require thermal treatments to tailor their microstructures and mechanical properties. Experimental development of suitable thermal cycles for the printed parts is time and energy intensive. However, the characteristic microstructure of parts produced by PBF-LB resembles that of gasatomised powder. Therefore, this study presents an in-depth investigation on the correlation between the properties of the powder and PBF-LB samples. In-situ heat treatment methodology was deployed to consistently heat-treat the powder and PBF-LB samples using elevated build-plate temperatures (220 - 500 &amp; DEG;C). Scanning electron microscopy revealed Si atoms' diffusion, followed by eutectic network's disruption and Si particles' coarsening, with increased build plate temperatures, in both parts and powder. X-ray diffraction and differential scanning calorimetry showed a strong correlation between the powder and parts treated at the same build-plate temperatures. A 500 &amp; DEG;C in-situ heat-treatment temperature reduced the hardness by -43% (powder) and -52% (printed samples). Nano- and micro-hardness values on the powder and printed samples also exhibited high correlation. Similarities between the powder and part's microstructural changes with temperature were attributed to the similar scale of cooling rates in gas-atomisation and PBF-LB, respectively. The findings in this study pave a clear pathway that experimentation on small batches of powder via ex-situ heat treatments could be efficiently used as a high-throughput method to predict the effect of thermal treatments on printed parts and to design new heat treatment protocols, specifically for PBF-LB materials.</t>
  </si>
  <si>
    <t>[Phutela, Chinmay; Bosio, Federico; Aboulkhair, Nesma T.] Technol Innovat Inst TII, Adv Mat Res Ctr, Addit Mfg Grp, Abu Dhabi, U Arab Emirates; [Li, Peifeng; Aboulkhair, Nesma T.] Univ Nottingham, Fac Engn, Ctr Addit Mfg, Nottingham NG8 1BB, England</t>
  </si>
  <si>
    <t>Technology Innovation Institute; University of Nottingham</t>
  </si>
  <si>
    <t>Phutela, C (corresponding author), Technol Innovat Inst TII, Adv Mat Res Ctr, Addit Mfg Grp, Abu Dhabi, U Arab Emirates.</t>
  </si>
  <si>
    <t>chinmay.phutela@tii.ae</t>
  </si>
  <si>
    <t>Advanced Technology Research Council (ATRC) in Abu Dhabi, United Arab Emirates (UAE)</t>
  </si>
  <si>
    <t>The Authors gratefully acknowledge the Advanced Technology Research Council (ATRC) in Abu Dhabi, United Arab Emirates (UAE) .</t>
  </si>
  <si>
    <t>2772-3690</t>
  </si>
  <si>
    <t>ADDIT MANUF LETT</t>
  </si>
  <si>
    <t>Addit. Manuf. Lett.</t>
  </si>
  <si>
    <t>10.1016/j.addlet.2023.100168</t>
  </si>
  <si>
    <t>Engineering, Manufacturing; Materials Science, Multidisciplinary</t>
  </si>
  <si>
    <t>R0XL4</t>
  </si>
  <si>
    <t>WOS:001061657400001</t>
  </si>
  <si>
    <t>Prabowo, DW; Nugroho, HA; Setiawan, NA; Debayle, J</t>
  </si>
  <si>
    <t>Prabowo, Dwi Wahyu; Nugroho, Hanung Adi; Setiawan, Noor Akhmad; Debayle, Johan</t>
  </si>
  <si>
    <t>A systematic literature review of emotion recognition using EEG signals</t>
  </si>
  <si>
    <t>COGNITIVE SYSTEMS RESEARCH</t>
  </si>
  <si>
    <t>Emotion recognition; Dataset; Feature extraction; Classifier; Research contribution; EEG signals</t>
  </si>
  <si>
    <t>CLASSIFICATION; NETWORKS; FEEDBACK; FEATURES</t>
  </si>
  <si>
    <t>In this study, we conducted a systematic literature review of 107 primary studies conducted between 2017 and 2023 to discern trends in datasets, classifiers, and contributions to human emotion recognition using EEG signals. We identified DEAP (43%), SEED (29%), DREAMER (8%), and SEED-IV (5%) as the most commonly used EEG signal datasets. Deep learning techniques, especially transformer neural architecture search (TNAS), global-to-local feature aggregation network (GLFANet), attention-based convolutional trans-former neural network (ACTNN) and efficient CNN-contrastive learning (ECNN-C), demonstrate superior performance across different datasets. Our comparative analysis of the validation scenarios revealed that subject-dependent validations outperformed subject-independent validations, highlighting the challenge of individual differences. This finding underscores the need for future research to address these individual differences in emotion recognition and enhance the generalizability of the models. The research contributions spanned seven categories: data augmentation, domain adaptation, channel selection, preprocessing, feature selection, classifiers, and feature extraction, with a major emphasis on feature extraction and classification (34%). This trend suggests a growing recognition of the importance of these contributions in the development of effective emotion-recognition systems. Our study contributes to the field by providing a comprehensive overview of recent trends, illuminating the performance of various classifiers, and highlighting key areas for future research on EEG-based emotion recognition. This work has significant implications for various applications, including mental health, human-computer interaction, and affective brain-computer interfaces.</t>
  </si>
  <si>
    <t>[Prabowo, Dwi Wahyu; Nugroho, Hanung Adi; Setiawan, Noor Akhmad] Univ Gadjah Mada, Fac Engn, Dept Elect &amp; Informat Engn, Jl Grafika 2,Kampus UGM, Yogyakarta 55281, Indonesia; [Prabowo, Dwi Wahyu] Univ Darwan Ali, Fac Comp Sci, Dept Informat Syst, Jl Batu Berlian 10, Sampit 74323, Indonesia; [Debayle, Johan] CNRS, Ctr SPIN, MINES St Etienne, UMR 5307,LGF, St Etienne, France</t>
  </si>
  <si>
    <t>Gadjah Mada University; IMT - Institut Mines-Telecom; Mines Saint-Etienne; Centre National de la Recherche Scientifique (CNRS); CNRS - Institute for Engineering &amp; Systems Sciences (INSIS)</t>
  </si>
  <si>
    <t>Nugroho, HA (corresponding author), Univ Gadjah Mada, Fac Engn, Dept Elect &amp; Informat Engn, Jl Grafika 2,Kampus UGM, Yogyakarta 55281, Indonesia.</t>
  </si>
  <si>
    <t>adinugroho@ugm.ac.id</t>
  </si>
  <si>
    <t>Setiawan, Noor Akhmad/C-3262-2019</t>
  </si>
  <si>
    <t>Setiawan, Noor Akhmad/0000-0002-5631-1073; Prabowo, Dwi Wahyu/0000-0003-1596-3267</t>
  </si>
  <si>
    <t>DIKTI, Indonesia</t>
  </si>
  <si>
    <t>DIKTI, Indonesia(Ministry of Research and Technology of the Republic of Indonesia (RISTEK))</t>
  </si>
  <si>
    <t>This research has been made possible through the support of the Doctoral Dissertation Research Grant from DIKTI, Indonesia.</t>
  </si>
  <si>
    <t>2214-4366</t>
  </si>
  <si>
    <t>1389-0417</t>
  </si>
  <si>
    <t>COGN SYST RES</t>
  </si>
  <si>
    <t>Cogn. Syst. Res.</t>
  </si>
  <si>
    <t>10.1016/j.cogsys.2023.101152</t>
  </si>
  <si>
    <t>Computer Science, Artificial Intelligence; Neurosciences; Psychology, Experimental</t>
  </si>
  <si>
    <t>Computer Science; Neurosciences &amp; Neurology; Psychology</t>
  </si>
  <si>
    <t>P8VV1</t>
  </si>
  <si>
    <t>WOS:001053403900001</t>
  </si>
  <si>
    <t>Prasanna, M; Polojarvi, A</t>
  </si>
  <si>
    <t>Prasanna, Malith; Polojarvi, Arttu</t>
  </si>
  <si>
    <t>Breakage in quasi-static discrete element simulations of ice rubble</t>
  </si>
  <si>
    <t>Particle breakage; Discrete element method; Shear strength; Ice rubble; Direct shear box experiment</t>
  </si>
  <si>
    <t>PARTICLE BREAKAGE; NUMERICAL-MODEL; SHEAR-STRENGTH; FORCE CHAINS; DEM; MICROMECHANICS; COMMINUTION; GRAINS</t>
  </si>
  <si>
    <t>Breakage of particles plays a key role in force transmission in granular materials. Discrete element method (DEM) simulations are often used to model granular materials, but modeling particle breakage in them remains a challenge. Models for breakage of non-spherical particles are scarce and often the existing models are computationally heavy to be used in simulations with large numbers of particles. To address this, the present study develops a particle breakage model for quasi-static DEM simulations of non-spherical particles that fail due to shear. The model is novel, since it is based on experimental observations and high resolution modeling. Breakage models based on experimental evidence are rare as it is often virtually impossible to gain detailed data on the mechanisms related to breakage. The developed particle breakage model was integrated into a DEM code and direct shear box experiments on ice rubble, a granular material consisting of ice particles, were then simulated. Accounting for particle breakage in DEM simulations improved their accuracy: simulations were compared to experiments and the results were found to be in better agreement when particle breakage was taken into account. The effect of particle breakage on the shear strength of a granular material was found to be independent of particle size, decreasing fast with increasing particle strength. The combined effect of shear box length and breakage was also studied. The results showed that the strength of a granular material may be determined reasonably well with a shear box that has a box to particle length ratio greater than 60.</t>
  </si>
  <si>
    <t>[Prasanna, Malith; Polojarvi, Arttu] Aalto Univ, Sch Engn, Dept Mech Engn, POB 14100, FI-00076 Aalto, Finland</t>
  </si>
  <si>
    <t>Aalto University</t>
  </si>
  <si>
    <t>Prasanna, M (corresponding author), Aalto Univ, Sch Engn, Dept Mech Engn, POB 14100, FI-00076 Aalto, Finland.</t>
  </si>
  <si>
    <t>malith.prasanna@aalto.fi</t>
  </si>
  <si>
    <t>Polojarvi, Arttu/I-2936-2012</t>
  </si>
  <si>
    <t>Polojarvi, Arttu/0000-0003-4410-5448</t>
  </si>
  <si>
    <t>Academy of Finland [309830, 348586]; Jenny and Antti Wihuri foundation, Finland; Finnish Maritime Foundation; Aalto University School of Engineering, Finland; CSC - IT Center for Science, Finland [2000971]</t>
  </si>
  <si>
    <t>Academy of Finland(Research Council of Finland); Jenny and Antti Wihuri foundation, Finland; Finnish Maritime Foundation; Aalto University School of Engineering, Finland; CSC - IT Center for Science, Finland</t>
  </si>
  <si>
    <t>The authors are grateful for financial support from the Academy of Finland through the projects (309830) Ice Block Breakage: Experiments and Simulations (ICEBES) , and (348586) WindySea: Modelling Engine to Design, Assess Environmental Impacts, and Operate Wind Farms for Ice-covered Waters. MP gratefully acknowledges the Jenny and Antti Wihuri foundation, Finland, the Finnish Maritime Foundation and the Doctoral Program of the Aalto University School of Engineering, Finland for financial support. The authors wish to acknowledge CSC - IT Center for Science, Finland, for computational resources under the project (2000971) Mechanics and Fracture of Ice. The authors also wish to thank Prof. Knut Hoyland for providing direct shear box experiment data, Dr. David M. Cole for valuable discussions on the topic, the anonymous reviewers for their insightful suggestions on improving the paper, and Cody C. Owen for proofreading the manuscript.</t>
  </si>
  <si>
    <t>10.1016/j.ijmecsci.2023.108595</t>
  </si>
  <si>
    <t>P2UL1</t>
  </si>
  <si>
    <t>WOS:001049239900001</t>
  </si>
  <si>
    <t>Quan, FJ; Zhan, GM; Xu, PF; Shen, WJ; Jia, FL; Zhang, LZ; Li, JF</t>
  </si>
  <si>
    <t>Quan, Fengjiao; Zhan, Guangming; Xu, Pengfei; Shen, Wenjuan; Jia, Falong; Zhang, Lizhi; Li, Jianfen</t>
  </si>
  <si>
    <t>La single atoms promoted electrocatalytic ammonia synthesis on few-layer MoS2 via maximum orbital overlap</t>
  </si>
  <si>
    <t>Electrocatalytic nitrogen reduction reaction; Single-atom catalyst; Two-dimensional molybdenum sulfide; Lanthanum</t>
  </si>
  <si>
    <t>BOND COVALENT RADII; N-2</t>
  </si>
  <si>
    <t>Electrocatalytic nitrogen reduction reaction (ENRR) provides a promising method for synthetic NH3 under ambient condition. However, this method is faced with the bottleneck of low Faraday efficiency. In this work, maximum orbital overlapping strategy was proposed to select suitable transition metal catalysts for activation of N2 to facilitate ENRR. By the aid of theoretic calculation, it was found that lanthanum (La) had high degree of orbital overlapping with N2 molecular orbital in side-on configuration. La single-atom catalysts were then loaded onto few-layer MoS2 surface (La SACs/FL-MoS2) and used as cathodic catalyst for ENRR. Results showed that introduction of La single-atom greatly improved the Faradaic efficiency of NH3 to 18.2 % with a considerable NH3 yield rate (3.68 &amp; mu;g h- 1cm- 2) at - 0.25 V (vs. RHE). Further in-situ IR analysis and theoretical calculation revealed the influence of La single-atom on the adsorption and activation of N2. Moreover, the maximum orbital overlap strategy was also applicable to the activation and reduction of N2 on other La transition metals with larger d-orbital size. This study provides a potential solution for the development of high efficiency catalyst for NH3 synthesis by ENRR.</t>
  </si>
  <si>
    <t>[Quan, Fengjiao; Xu, Pengfei; Shen, Wenjuan; Li, Jianfen] Wuhan Polytech Univ, Coll Chem &amp; Environm Engn, Wuhan 430023, Peoples R China; [Jia, Falong; Zhang, Lizhi] Cent China Normal Univ, Coll Chem, Key Lab Pesticide &amp; Chem Biol, Minist Educ,Inst Appl &amp; Environm Chem, Wuhan 430079, Peoples R China; [Zhan, Guangming; Zhang, Lizhi] Shanghai Jiao Tong Univ, Sch Environm Sci &amp; Engn, Shanghai 200240, Peoples R China</t>
  </si>
  <si>
    <t>Wuhan Polytechnic University; Central China Normal University; Shanghai Jiao Tong University</t>
  </si>
  <si>
    <t>Jia, FL; Zhang, LZ (corresponding author), Cent China Normal Univ, Coll Chem, Key Lab Pesticide &amp; Chem Biol, Minist Educ,Inst Appl &amp; Environm Chem, Wuhan 430079, Peoples R China.;Zhang, LZ (corresponding author), Shanghai Jiao Tong Univ, Sch Environm Sci &amp; Engn, Shanghai 200240, Peoples R China.</t>
  </si>
  <si>
    <t>fljia@ccnu.edu.cn; zhanglz@ccnu.edu.cn</t>
  </si>
  <si>
    <t>National Natural Science Foundation of China [21906126, 22176068, 2022J03]; Research and Innovation Initiatives of WHPU; [U21A20286]</t>
  </si>
  <si>
    <t>National Natural Science Foundation of China(National Natural Science Foundation of China (NSFC)); Research and Innovation Initiatives of WHPU;</t>
  </si>
  <si>
    <t>This work was supported by National Natural Science Foundation of China (U21A20286, 21906126 and 22176068) and the Research and Innovation Initiatives of WHPU (No. 2022J03) .</t>
  </si>
  <si>
    <t>10.1016/j.apsusc.2023.158217</t>
  </si>
  <si>
    <t>Q8DH1</t>
  </si>
  <si>
    <t>WOS:001059767900001</t>
  </si>
  <si>
    <t>Reader, J</t>
  </si>
  <si>
    <t>Reader, Joseph</t>
  </si>
  <si>
    <t>Ionization energies of Ge-like ions from Kr V to Pd XV</t>
  </si>
  <si>
    <t>JOURNAL OF QUANTITATIVE SPECTROSCOPY &amp; RADIATIVE TRANSFER</t>
  </si>
  <si>
    <t>Wavelengths; Energy levels; Ionization energy; Ge -like ions</t>
  </si>
  <si>
    <t>TRANSITION ARRAY; RU-XIII; SR-VII; RB-VII; SPECTRUM</t>
  </si>
  <si>
    <t>We use experimental energies of the 4p5s configurations in the Ge-like ions Kr V-Pd XV to derive improved values for the ionization energies. The ionization energies of these ions are presently only roughly known, mainly through the Dirac-Fock calculations of Rodrigues et al., At Data and Nucl Data Tables 2004;86:117. They have relatively large uncertainties. By using the observed energies of the 4p5s configurations as the starting point, we eliminate a large portion of the uncertainty. Based on observations at NIST with a 10.7-m grazing-incidence grating spectrograph, we also provide improved values for some of the energy levels.</t>
  </si>
  <si>
    <t>[Reader, Joseph] Natl Inst Stand &amp; Technol, Gaithersburg, MD 20899 USA</t>
  </si>
  <si>
    <t>National Institute of Standards &amp; Technology (NIST) - USA</t>
  </si>
  <si>
    <t>Reader, J (corresponding author), Natl Inst Stand &amp; Technol, Gaithersburg, MD 20899 USA.</t>
  </si>
  <si>
    <t>joseph.reader@nist.gov</t>
  </si>
  <si>
    <t>0022-4073</t>
  </si>
  <si>
    <t>1879-1352</t>
  </si>
  <si>
    <t>J QUANT SPECTROSC RA</t>
  </si>
  <si>
    <t>J. Quant. Spectrosc. Radiat. Transf.</t>
  </si>
  <si>
    <t>10.1016/j.jqsrt.2023.108736</t>
  </si>
  <si>
    <t>Optics; Spectroscopy</t>
  </si>
  <si>
    <t>P7MJ7</t>
  </si>
  <si>
    <t>WOS:001052475600001</t>
  </si>
  <si>
    <t>Richter, S; Richter, A</t>
  </si>
  <si>
    <t>Richter, Shahper; Richter, Alexander</t>
  </si>
  <si>
    <t>What is novel about the Metaverse?</t>
  </si>
  <si>
    <t>INTERNATIONAL JOURNAL OF INFORMATION MANAGEMENT</t>
  </si>
  <si>
    <t>Virtual Worlds; Metaverse; Second Life; Immersiveness</t>
  </si>
  <si>
    <t>VIRTUAL WORLDS; 2ND LIFE; IMMERSION; REALITY; EXPERIENCE; IMPACT; ENVIRONMENT; TECHNOLOGY; DEFINITION; ENGAGEMENT</t>
  </si>
  <si>
    <t>The Metaverse is not a radical departure. It is an incremental evolution. Previous virtual worlds, like Second Life, have laid the groundwork for the development of the Metaverse by providing valuable insights into virtual environments and social interactions. Studies of these earlier platforms contribute to a more nuanced under-standing of what the Metaverse is, and what it is not. Based on studies of virtual worlds and by applying inductive processes of reflection and abstraction, we propose a framework that supports the identification of attributes that help differentiate the Metaverse from previous virtual worlds from a user experience perspective. We demon-strate the value of the framework by comparing the Metaverse to Second Life. Our framework and comparative analysis ground the current discussions about the Metaverse deeper in the established discourse on virtual worlds. They also shed light on the potential impact of the Metaverse, the special role of its immersiveness and help us to identify lessons learned that can inform the Metaverse's further development.</t>
  </si>
  <si>
    <t>[Richter, Shahper; Richter, Alexander] Victoria Univ Wellington, 23 Lambton Quay, Wellington 6011, New Zealand</t>
  </si>
  <si>
    <t>Victoria University Wellington</t>
  </si>
  <si>
    <t>Richter, A (corresponding author), Victoria Univ Wellington, 23 Lambton Quay, Wellington 6011, New Zealand.</t>
  </si>
  <si>
    <t>alex.richter@vuw.ac.nz</t>
  </si>
  <si>
    <t>Richter, Alexander/F-1935-2018</t>
  </si>
  <si>
    <t>Richter, Alexander/0000-0002-3699-6466</t>
  </si>
  <si>
    <t>0268-4012</t>
  </si>
  <si>
    <t>1873-4707</t>
  </si>
  <si>
    <t>INT J INFORM MANAGE</t>
  </si>
  <si>
    <t>Int. J. Inf. Manage.</t>
  </si>
  <si>
    <t>10.1016/j.ijinfomgt.2023.102684</t>
  </si>
  <si>
    <t>Information Science &amp; Library Science</t>
  </si>
  <si>
    <t>O5LC8</t>
  </si>
  <si>
    <t>WOS:001044213700001</t>
  </si>
  <si>
    <t>Savi, AO; van Klaveren, C; Cornelisz, I</t>
  </si>
  <si>
    <t>Savi, Alexander O.; van Klaveren, Chris; Cornelisz, Ilja</t>
  </si>
  <si>
    <t>Combating effort avoidance in computer adaptive practicing: Does a problem-skipping restriction promote learning?</t>
  </si>
  <si>
    <t>COMPUTERS &amp; EDUCATION</t>
  </si>
  <si>
    <t>Computer-adaptive practice; A/B testing; Effortful practice; Learning outcomes; Online learning; Heterogeneous treatment effects; Cumulative effects</t>
  </si>
  <si>
    <t>DELIBERATE PRACTICE; RETRIEVAL PRACTICE; LONG-TERM; INTERVENTIONS; PERFORMANCE; STRATEGIES; RETENTION; CLASSROOM; EXPERT</t>
  </si>
  <si>
    <t>Effort is key in learning, as evidenced by its omnipresence in both empirical findings and educational theory. At the same time, students are consistently found to avoid effort. In this study, we investigate whether limiting effort avoidance improves learning outcomes. We also examine differences in learning outcomes for a substantive typology of students: toilers (practice many problems), skippers (skip many problems), and rushers (provide fast responses). In a large-scale computer adaptive practice system for primary education, over 1 50 000 participants were distributed across four conditions in which a problem-skipping option was delayed by 0, 3, 6, or 9 s. The results show that after a 14-week period, there are no average treatment effects on learning outcomes across conditions. Also, no consistent conditional average treatment effects are found across the typology. However, different types of students have different learning outcomes, showing that the typology used is meaningful. We conclude that the scale of the experiment suggests a precise null finding, but caution that this should not be interpreted as evidence of no effect. Problem-skipping restrictions may require a longer-lasting implementation to accumulate the desired effect.</t>
  </si>
  <si>
    <t>[Savi, Alexander O.] Univ Amsterdam, Dept Psychol, Psychol Methods, Nieuwe Achtergracht 129-B, NL-1018 WS Amsterdam, Netherlands; [van Klaveren, Chris; Cornelisz, Ilja] Vrije Univ Amsterdam, Amsterdam Ctr Learning Analyt, Dept Educ &amp; Family Studies, Van Boechorststr 7-9, NL-1081 BT Amsterdam, Netherlands</t>
  </si>
  <si>
    <t>University of Amsterdam; Vrije Universiteit Amsterdam</t>
  </si>
  <si>
    <t>Savi, AO (corresponding author), Univ Amsterdam, Dept Psychol, Psychol Methods, Nieuwe Achtergracht 129-B, NL-1018 WS Amsterdam, Netherlands.</t>
  </si>
  <si>
    <t>o.a.savi@gmail.com</t>
  </si>
  <si>
    <t>0360-1315</t>
  </si>
  <si>
    <t>1873-782X</t>
  </si>
  <si>
    <t>COMPUT EDUC</t>
  </si>
  <si>
    <t>Comput. Educ.</t>
  </si>
  <si>
    <t>10.1016/j.compedu.2023.104908</t>
  </si>
  <si>
    <t>Computer Science, Interdisciplinary Applications; Education &amp; Educational Research</t>
  </si>
  <si>
    <t>Computer Science; Education &amp; Educational Research</t>
  </si>
  <si>
    <t>S3BI5</t>
  </si>
  <si>
    <t>Green Submitted, hybrid</t>
  </si>
  <si>
    <t>WOS:001069952800001</t>
  </si>
  <si>
    <t>Shahid-ul-Islam; Jaiswal, V; Butola, BS; Majumdar, A</t>
  </si>
  <si>
    <t>Shahid-ul-Islam, Vivek; Jaiswal, Vivek; Butola, B. S.; Majumdar, Abhijit</t>
  </si>
  <si>
    <t>Production of PVA-chitosan films using green synthesized ZnO NPs enriched with dragon fruit extract envisaging food packaging applications</t>
  </si>
  <si>
    <t>Green synthesis; Packaging; Metal oxides; Plant extract; Antibacterial; Antioxidant activity</t>
  </si>
  <si>
    <t>In this work, the PVA-chitosan composite packaging films doped with biomass-fabricated zinc oxide nano-particles (ZnO NPs) and dragon fruit waste extract (DFE) were developed for potential use in food packaging applications. ZnO NPs were synthesized using a sustainable method employing C. sinensis waste extract as a reducing agent. Chitosan and PVA were blended in a specific ratio (1: 1 w/w) to obtain a film-forming solution, into which the ZnO NPs and dragon fruit waste extract were incorporated. The resulting solution was cast into films, which were characterized using various analytical techniques. Mechanical properties, water solubility, and thermal stability of the films were also evaluated. The results demonstrated that the incorporation of green ZnO NPs and dragon fruit waste extract enhanced the mechanical strength and thermal stability of the films while reducing water vapor permeability. Moreover, the films exhibited biocidal and excellent 2,2-diphenyl-1-picryl-hydrazyl (DPPH) scavenging properties, indicating their use in the food packaging sector. The production of these films offers a practical approach to produce bioactive food packaging materials. The use of plant extract and waste material as reducing agents can reduce the overall cost of production while providing added benefits, such as antioxidant and antibacterial properties.</t>
  </si>
  <si>
    <t>[Jaiswal, Vivek; Butola, B. S.; Majumdar, Abhijit] Indian Inst Technol Delhi, Dept Text &amp; Fibre Engn, New Delhi 110016, India</t>
  </si>
  <si>
    <t>Indian Institute of Technology System (IIT System); Indian Institute of Technology (IIT) - Delhi</t>
  </si>
  <si>
    <t>Butola, BS; Majumdar, A (corresponding author), Indian Inst Technol Delhi, Dept Text &amp; Fibre Engn, New Delhi 110016, India.</t>
  </si>
  <si>
    <t>bsbutola@textile.iitd.ac.in; majumdar@textile.iitd.ac.in</t>
  </si>
  <si>
    <t>10.1016/j.ijbiomac.2023.126457</t>
  </si>
  <si>
    <t>S6FG5</t>
  </si>
  <si>
    <t>WOS:001072094700001</t>
  </si>
  <si>
    <t>Shi, C; Fang, DL; Xia, SQ; Wang, JY; Guo, YL; Lyu, L; Wu, WL; Li, WL</t>
  </si>
  <si>
    <t>Shi, Chong; Fang, Donglu; Xia, Shuqiong; Wang, Junying; Guo, Yalong; Lyu, Lianfei; Wu, Wenlong; Li, Weilin</t>
  </si>
  <si>
    <t>Preparation and characterization of lemon essential oil@beta-cyclodextrin inclusion for blackberry postharvest preservation</t>
  </si>
  <si>
    <t>Lemon essential oil; beta-cyclodextrin inclusion; Antimicrobial activity; Blackberry; Postharvest preservation</t>
  </si>
  <si>
    <t>ANTIMICROBIAL PROPERTIES; RELEASE; COMPLEXES; FILM; L.</t>
  </si>
  <si>
    <t>Based on an investigation of the antifungal capacity of different citrus plant essential oils against Botrytis cinerea and Rhizopus stolonifer, lemon essential oil (LEO) was selected to prepare LEO@beta-cyclodextrin inclusion complex (beta-CD-IC) for blackberry preservation. The preparation parameter of LEO@beta-CD with the highest encapsulation rate of LEO was chosen via Box-Behnken design (stirring time of 3h, LEO:beta-CD = 1:4 and concentration of LEO ethanol solution 25%). Compared with beta-CD and the physical mixture of beta-CD and LEO, the microstructure of beta-CD-IC was different in shape and size. Characterization of LEO@beta-CD exhibited shift character peaks of chemical groups and new character peaks of the crystal due to the encapsulation of LEO in beta-CD, interaction of hydrogen bonds and conformation of the new solid phase. Under different storage temperatures, LEO@beta-CD effectively delayed the rapid decay and color deterioration of blackberries. Under storage of 4 degrees C and 25 degrees C, the decay rates of LEO@beta-CD are 14.84% and 37.04%, respectively. The weight loss was inhibited by 4.80% and 10.08%, under 4 degrees C and 25 degrees C, respectively. The firmness and total soluble solid content was also maintained by the treatment of LEO@beta-CD.</t>
  </si>
  <si>
    <t>[Shi, Chong; Fang, Donglu; Xia, Shuqiong; Wang, Junying; Li, Weilin] Nanjing Forestry Univ, Coll Forestry, Coinnovat Ctr Sustainable Forestry Southern China, Nanjing 210037, Peoples R China; [Lyu, Lianfei; Wu, Wenlong] Jiangsu Prov &amp; Chinese Acad Sci, Nanjing Bot Garden Mem Sun Yat Sen, Inst Bot, Jiangsu Key Lab Res &amp; Utilizat Plant Resources, Nanjing 210014, Peoples R China; [Guo, Yalong] Nanjing Forestry Univ, Coll Light Ind &amp; Food Engn, Nanjing 210037, Peoples R China</t>
  </si>
  <si>
    <t>Nanjing Forestry University; Chinese Academy of Sciences; Nanjing Forestry University</t>
  </si>
  <si>
    <t>Fang, DL; Li, WL (corresponding author), Nanjing Forestry Univ, Coll Forestry, Coinnovat Ctr Sustainable Forestry Southern China, Nanjing 210037, Peoples R China.</t>
  </si>
  <si>
    <t>fangdonglu@njfu.edu.cn; wlli@njfu.edu.cn</t>
  </si>
  <si>
    <t>Chinese Scholarship Council [202108320298]; Jiangsu Province Key Project of Ramp;D Plan (Modern Agriculture) [BE2020344]; earmarked fund for Jiangsu Agricultural Industry Technology System [JATS[2022]510]</t>
  </si>
  <si>
    <t>Chinese Scholarship Council(China Scholarship Council); Jiangsu Province Key Project of Ramp;D Plan (Modern Agriculture); earmarked fund for Jiangsu Agricultural Industry Technology System</t>
  </si>
  <si>
    <t>This work was financially supported by Chinese Scholarship Council grant No.202108320298, Jiangsu Province Key Project of R &amp; amp;D Plan (Modern Agriculture) (BE2020344), and the earmarked fund for Jiangsu Agricultural Industry Technology System (JATS[2022]510).</t>
  </si>
  <si>
    <t>10.1016/j.foodcont.2023.109979</t>
  </si>
  <si>
    <t>Q7XQ4</t>
  </si>
  <si>
    <t>WOS:001059621000001</t>
  </si>
  <si>
    <t>Shumbash, KZ; Assefa, S; Woldetsadik, WE; Nour, AS; Negatu, YA</t>
  </si>
  <si>
    <t>Shumbash, Kibruyisfaw Zewdie; Assefa, Samson; Woldetsadik, Wondwossen Ergete; Nour, Amal Saleh; Negatu, Yesukal Abye</t>
  </si>
  <si>
    <t>Supratentorial intraxial cavernous hemangioma with adjacent convexity meningioma: Association or Coincidence?</t>
  </si>
  <si>
    <t>INTERDISCIPLINARY NEUROSURGERY-ADVANCED TECHNIQUES AND CASE MANAGEMENT</t>
  </si>
  <si>
    <t>Intracranial; Meningioma; Hemangioma; Supratentorial; Collision tumor; Magnetic resonance imaging</t>
  </si>
  <si>
    <t>RADIOSURGICAL OPTIONS; CURRENT TENETS; MALFORMATIONS; ANGIOMA; NEUROONCOLOGY</t>
  </si>
  <si>
    <t>Background: The co-occurrence of two histologically distinct tumors in the same region separated by a transitional cell population zone or without any histological mixing is known as a true collision tumor. Meningioma, the most common benign intracranial neoplasm, arises from meningothelial cells while a cerebral cavernoma is a benign vascular hamartoma. Case report We report a case of a 40-year-old female who presented with right body weakness and seizures. After gross total resection of both tumors, histological examination was consistent with a WHO grade I meningothelial meningioma and cavernous angioma completely separated by gliotic tissue. On subsequent follow-ups, the patient had an improvement of motor power from 0 to 4 out of 5 in the affected extremities and was seizure free without the use of medication. Conclusion: This patient had no risk factors for the development of this association. We believe the total removal of both tumors resulted in the total seizure control of this patient.</t>
  </si>
  <si>
    <t>[Shumbash, Kibruyisfaw Zewdie; Assefa, Samson] Tikur Anbessa Specialized Hosp, Dept Neurosurg, Addis Ababa, Ethiopia; [Woldetsadik, Wondwossen Ergete] Tikur Anbessa Specialized Hosp, Dept Pathol, Addis Ababa, Ethiopia; [Nour, Amal Saleh] Tikur Anbessa Specialized Hosp, Dept Neuroradiol, Addis Ababa, Ethiopia; [Negatu, Yesukal Abye] Lancet Gen Hosp, Dept Surg, Addis Ababa, Ethiopia</t>
  </si>
  <si>
    <t>Shumbash, KZ (corresponding author), Tikur Anbessa Specialized Hosp, Dept Neurosurg, Addis Ababa, Ethiopia.</t>
  </si>
  <si>
    <t>kziberg@gmail.com</t>
  </si>
  <si>
    <t>2214-7519</t>
  </si>
  <si>
    <t>INTERDISCIP NEUROSUR</t>
  </si>
  <si>
    <t>Interdiscip. Neurosurg.</t>
  </si>
  <si>
    <t>10.1016/j.inat.2023.101810</t>
  </si>
  <si>
    <t>Clinical Neurology</t>
  </si>
  <si>
    <t>Neurosciences &amp; Neurology</t>
  </si>
  <si>
    <t>Q8KU5</t>
  </si>
  <si>
    <t>WOS:001059964200001</t>
  </si>
  <si>
    <t>Solianik, R; Zidoniene, K; Brazaitis, M</t>
  </si>
  <si>
    <t>Solianik, Rima; Zidoniene, Katerina; Brazaitis, Marius</t>
  </si>
  <si>
    <t>Short-duration cold exposure decreases fasting-induced glucose intolerance but has no effect on resting energy expenditure</t>
  </si>
  <si>
    <t>CRYOBIOLOGY</t>
  </si>
  <si>
    <t>Energy expenditure; Respiratory quotient; Glucose tolerance; Insulin sensitivity; Starvation</t>
  </si>
  <si>
    <t>BROWN ADIPOSE-TISSUE; SHORT-TERM STARVATION; INSULIN SENSITIVITY; RESISTANCE; RESPONSES; THERMOGENESIS; ACCUMULATION; METABOLISM; EXPRESSION; TOLERANCE</t>
  </si>
  <si>
    <t>The aim of the present study was to investigate whether brief cold exposure can reverse fasting-induced glucose intolerance and insulin resistance, and improve resting energy expenditure (REE). Twelve young non-obese women were randomly assigned to undergo the following conditions: 2 days of fasting with two 10-min whole-body cold-water immersions on separate days (FAST-COLD), 2 days of fasting without cold-water immersions (FAST), 2 days of usual diet with two 10-min whole-body cold-water immersions on separate days (COLD), or 2 days of usual diet without cold-water immersions (CON) in a randomised crossover fashion. Changes in REE and substrate utilisation, and glucose tolerance and insulin sensitivity from the oral glucose tolerance test were examined. The results showed that FAST-COLD and FAST trials increased (P &lt; 0.05) REE and decreased (P &lt; 0.05) respiratory quotient, but these variables did not differ significantly between the FAST-COLD and FAST trials. The glucose and insulin area under the curves (AUCs) were higher (P &lt; 0.05) in the FAST-COLD and FAST trials than in the CON and COLD trials, and these AUCs were lower (P &lt; 0.05) in the FAST-COLD than in the FAST trial. Matsuda index was lower in the FAST trial than in the CON trial (P &lt; 0.05), and tended to be greater after the FAST-COLD trial than after the FAST trial (P = 0.060). In conclusion, cold exposure had no effect on REE but decreased fasting-induced glucose intolerance which was accompanied by a maintained insulin sensitivity.</t>
  </si>
  <si>
    <t>[Solianik, Rima; Zidoniene, Katerina; Brazaitis, Marius] Lithuanian Sports Univ, Inst Sport Sci &amp; Innovat, Kaunas, Lithuania; [Solianik, Rima] Lithuanian Sports Univ, Inst Sport Sci &amp; Innovat, Sporto Str, LT-44221 Kaunas, Lithuania</t>
  </si>
  <si>
    <t>Lithuanian Sports University; Lithuanian Sports University</t>
  </si>
  <si>
    <t>Solianik, R (corresponding author), Lithuanian Sports Univ, Inst Sport Sci &amp; Innovat, Sporto Str, LT-44221 Kaunas, Lithuania.</t>
  </si>
  <si>
    <t>rima.solianik@lsu.lt</t>
  </si>
  <si>
    <t>Solianik, Rima/0000-0001-6822-4519</t>
  </si>
  <si>
    <t>Research Council of Lithuania, Lithuania [S -MIP-23-84]</t>
  </si>
  <si>
    <t>Research Council of Lithuania, Lithuania(Research Council of Lithuania (LMTLT))</t>
  </si>
  <si>
    <t>This work was supported by the Research Council of Lithuania, Lithuania (grant number S -MIP-23-84) . Research Council of Lithuania had no role in the design, analysis or writing of this article.</t>
  </si>
  <si>
    <t>0011-2240</t>
  </si>
  <si>
    <t>1090-2392</t>
  </si>
  <si>
    <t>Cryobiology</t>
  </si>
  <si>
    <t>10.1016/j.cryobiol.2023.104564</t>
  </si>
  <si>
    <t>Biology; Physiology</t>
  </si>
  <si>
    <t>Life Sciences &amp; Biomedicine - Other Topics; Physiology</t>
  </si>
  <si>
    <t>S3RW0</t>
  </si>
  <si>
    <t>WOS:001070384800001</t>
  </si>
  <si>
    <t>Sun, HG</t>
  </si>
  <si>
    <t>Sun, Han-geng</t>
  </si>
  <si>
    <t>Determination of low-temperature crack resistance of asphalt mastics based on relaxation properties</t>
  </si>
  <si>
    <t>Asphalt mastic; Stress relaxation; Low-temperature crack resistance; Prediction</t>
  </si>
  <si>
    <t>BINDERS</t>
  </si>
  <si>
    <t>Pavement structures experience stresses due to temperature changes, and these stresses gradually dissipate, similar to the rheological phenomenon of stress relaxation. In this study, we conducted various tests, including low-temperature stress relaxation, low-temperature bending beam rheology test, glass transition temperature test, and asphalt single-edge-notch bending test, to compare and analyze the relaxation performance and low-temperature crack resistance of asphalt mastics. Using the SPSS method, we investigated the correlation between the relaxation performance and low-temperature crack resistance of asphalt mastics. The results revealed that the relaxation time and rate obtained in the small beam bending test were reliable indicators for evaluating the relaxation performance of asphalt mastics. Moreover, the relaxation performance of asphalt mastics exhibited a strong linear relationship with low-temperature crack resistance, as evidenced by the asphalt performance ranking. Through multiple linear regression analysis of relaxation properties, we derived a prediction equation for the low-temperature cracking resistance of asphalt mastics.</t>
  </si>
  <si>
    <t>[Sun, Han-geng] Shaanxi Prov Land Engn Construct Grp Corp, Xian 710075, Shaanxi, Peoples R China</t>
  </si>
  <si>
    <t>Sun, HG (corresponding author), Shaanxi Prov Land Engn Construct Grp Corp, Xian 710075, Shaanxi, Peoples R China.</t>
  </si>
  <si>
    <t>sunhangeng777@163.com</t>
  </si>
  <si>
    <t>e02389</t>
  </si>
  <si>
    <t>10.1016/j.cscm.2023.e02389</t>
  </si>
  <si>
    <t>Q6EG8</t>
  </si>
  <si>
    <t>WOS:001058428600001</t>
  </si>
  <si>
    <t>Sun, WX; Zhang, WA; Goh, ATC; Zhang, RH</t>
  </si>
  <si>
    <t>Sun, Weixin; Zhang, Wengang; Goh, Anthony Teck Chee; Zhang, Runhong</t>
  </si>
  <si>
    <t>Experimental and computational analysis of hydraulic behavior in shallow buried structures in sand</t>
  </si>
  <si>
    <t>Hydraulics; Sands; Model tests; Numerical modelling; Machine Learning</t>
  </si>
  <si>
    <t>SEEPAGE; FOUNDATION; MACHINE; FORCE; FIELD; SOIL</t>
  </si>
  <si>
    <t>The hydraulic behavior of cohesionless soils has a significant impact on the structure-soil-water interaction behavior for shallow buried underground structures. This paper presents a study of the effects of the influence of absorption water in sand through model tests and numerical analyses. The results indicate that the adsorption water leads to the reduction of groundwater buoyancy and affects groundwater transient hydraulic gradient. Subsequently, a machine learning algorithm was employed to construct datadriven analyzing models based on the numerical and model test results. The model test results indicate that the buoyancy reduction is dependent on the void ratio and relative density of the sand. In addition, the numerical and machine learning analyses indicate that the sand properties (absorption water content, void ratio, relative density, and permeability coefficient) and the ratio of water head difference to buried depth of the underground structure have a significant influence on the structural hydraulic behavior. &amp; COPY; 2023 Published by Elsevier B.V. on behalf of International Association for Gondwana Research.</t>
  </si>
  <si>
    <t>[Zhang, Runhong] Chongqing Univ, Coll Aerosp Engn, Chongqing 400045, Peoples R China; [Sun, Weixin; Zhang, Wengang] Chongqing Univ, Sch Civil Engn, Chongqing, Peoples R China; [Zhang, Runhong] Chongqing Univ, Inst Smart City Chongqing Univ Liyang, Jiangsu 213300, Peoples R China; [Zhang, Wengang] Chongqing Univ, Key Lab New Technol Construction Cities Mt Area, Chongqing, Peoples R China; [Zhang, Wengang] Chongqing Univ, Natl Joint Engn Res Ctr Geohazards Prevent Reservo, Chongqing, Peoples R China; [Goh, Anthony Teck Chee] Nanyang Technol Univ, Sch Civil &amp; Environm Engn, Singapore 639798, Singapore</t>
  </si>
  <si>
    <t>Chongqing University; Chongqing University; Chongqing University; Chongqing University; Chongqing University; Nanyang Technological University &amp; National Institute of Education (NIE) Singapore; Nanyang Technological University</t>
  </si>
  <si>
    <t>Zhang, RH (corresponding author), Chongqing Univ, Coll Aerosp Engn, Chongqing 400045, Peoples R China.;Zhang, RH (corresponding author), Chongqing Univ, Inst Smart City Chongqing Univ Liyang, Jiangsu 213300, Peoples R China.</t>
  </si>
  <si>
    <t>zhangrh@cqu.edu.cn</t>
  </si>
  <si>
    <t>Research Funds for the Key Laboratory of New Technology for Construction of Cities in Mountain Area [cstc2021ycjh-bgzxm0051]; Chongqing Talents Program [G2022165004L]; High-end Foreign Expert Introduction program [2022-DFZD-10]; Major project of Chinese Academy of Engineering local cooperation [2021-ZD-CQ-2, CQCT-JS-SC-GC-2022-0081]; Chongqing Urban Investment Infrastructure Construction Co; [0902071812000]</t>
  </si>
  <si>
    <t>Research Funds for the Key Laboratory of New Technology for Construction of Cities in Mountain Area; Chongqing Talents Program; High-end Foreign Expert Introduction program; Major project of Chinese Academy of Engineering local cooperation; Chongqing Urban Investment Infrastructure Construction Co;</t>
  </si>
  <si>
    <t>The authors are grateful to the financial support from Research Funds for the Key Laboratory of New Technology for Construction of Cities in Mountain Area (0902071812000) , Chongqing Talents Program (cstc2021ycjh-bgzxm0051) , High-end Foreign Expert Introduction program (G2022165004L) , Major project of Chinese Academy of Engineering local cooperation (2022-DFZD-10 and 2021-ZD-CQ-2) and Chongqing Urban Investment Infrastructure Construction Co (CQCT-JS-SC-GC-2022-0081) .</t>
  </si>
  <si>
    <t>10.1016/j.gr.2023.07.014</t>
  </si>
  <si>
    <t>Q7PN5</t>
  </si>
  <si>
    <t>WOS:001059408000001</t>
  </si>
  <si>
    <t>Sun, WJ; Wu, DS; Luo, Y; Liu, L; Zhang, HJ; Wu, S; Zhang, Y; Wang, CL; Zheng, HJ; Shen, J; Luo, CB</t>
  </si>
  <si>
    <t>Sun, Wenjian; Wu, Dongsheng; Luo, Yang; Liu, Lu; Zhang, Hongjing; Wu, Shuang; Zhang, Yan; Wang, Chenglong; Zheng, Houjun; Shen, Jiang; Luo, Chunbo</t>
  </si>
  <si>
    <t>ExpertNet: Defeat noisy labels by deep expert consultation paradigm for pneumoconiosis staging on chest radiographs</t>
  </si>
  <si>
    <t>Pneumoconiosis staging; Stage ambiguity; Noisy labels; Deep expert consultation paradigm; Triple-network architecture; Quaternary sample partitioning</t>
  </si>
  <si>
    <t>SEGMENTATION</t>
  </si>
  <si>
    <t>The pneumoconiosis staging task suffers from the stage ambiguity, especially in the early stage of pneumo-coniosis. The inter-stage reader variability caused by the stage ambiguity and the resulting noisy labels are even more detrimental to the learning of deep neural networks. In this article, we propose a novel deep expert consultation paradigm named ExpertNet to overcome the challenges caused by noisy labels in pneumoconiosis dataset collected from clinical diagnostic reports. The triple-network architecture of ExpertNet simulates an expert consultation group that provides reliable diagnostic suggestions from multiple perspectives. The novel quaternary sample partitioning strategy designed for ExpertNet is inspired by the fact that both certified radiologists and deep networks are troubled by hard samples, where the features are not fully correlated to their labels. The experiments confirm that ExpertNet outperforms the classical methods, which achieves an Accuracy of 89%, a Precision of 81.3%, a Sensitivity of 79.5%, an F1-score of 80.1%, and an AUC of 95.5%. Furthermore, analysis of the confusion matrix on the test set proves that ExpertNet is indeed very similar to an expert consultation group and effectively addresses the key challenge of hard-to-recognize early pneumoconiosis in clinical practice.</t>
  </si>
  <si>
    <t>[Sun, Wenjian; Luo, Yang; Luo, Chunbo] Univ Elect Sci &amp; Technol China, Sch Informat &amp; Commun Engn, Chengdu 611731, Peoples R China; [Sun, Wenjian; Wu, Dongsheng; Luo, Yang; Liu, Lu; Zhang, Hongjing; Wu, Shuang; Zhang, Yan; Wang, Chenglong; Zheng, Houjun; Shen, Jiang; Luo, Chunbo] Sichuan Univ, West China Hosp 4, Dept Radiol, Chengdu 610041, Peoples R China; [Wu, Dongsheng; Shen, Jiang] Sichuan Univ, West China PUMC CC Chen Inst Hlth, Chengdu 610041, Peoples R China</t>
  </si>
  <si>
    <t>University of Electronic Science &amp; Technology of China; Sichuan University; Sichuan University</t>
  </si>
  <si>
    <t>Luo, CB (corresponding author), Univ Elect Sci &amp; Technol China, Sch Informat &amp; Commun Engn, Chengdu 611731, Peoples R China.;Shen, J; Luo, CB (corresponding author), Sichuan Univ, West China Hosp 4, Dept Radiol, Chengdu 610041, Peoples R China.</t>
  </si>
  <si>
    <t>shenjiang@scu.edu.cn; c.luo@uestc.edu.cn</t>
  </si>
  <si>
    <t>Science and Technology project of Sichuan Province [2022NSFSC0845]; Foundation Research Programs of Sichuan Province; [2019YJ0039]</t>
  </si>
  <si>
    <t>Science and Technology project of Sichuan Province; Foundation Research Programs of Sichuan Province;</t>
  </si>
  <si>
    <t>Acknowledgments This work was supported by the Science and Technology project of Sichuan Province [grant no. 2019YJ0039] , and the Foundation Research Programs of Sichuan Province [grant no. 2022NSFSC0845] .</t>
  </si>
  <si>
    <t>10.1016/j.eswa.2023.120710</t>
  </si>
  <si>
    <t>Q6BN4</t>
  </si>
  <si>
    <t>WOS:001058356700001</t>
  </si>
  <si>
    <t>Tabernilla, Z; Ateka, A; Bilbao, J; Aguayo, AT; Epelde, E</t>
  </si>
  <si>
    <t>Tabernilla, Zuria; Ateka, Ainara; Bilbao, Javier; Aguayo, Andres T.; Epelde, Eva</t>
  </si>
  <si>
    <t>Performance of HZSM-5 agglomerated in a mesoporous matrix in the fuel production from ethylene at atmospheric pressure</t>
  </si>
  <si>
    <t>Oligomerization; Ethylene; HZSM-5 zeolite; Hierarchical structure; Fuels; Coke deactivation</t>
  </si>
  <si>
    <t>ZEOLITE CATALYSTS; HETEROGENEOUS OLIGOMERIZATION; OLEFIN OLIGOMERIZATION; LIGHT OLEFINS; LIQUID FUELS; 1-BUTENE; ZSM-5; CONVERSION; TRANSFORMATION; DEACTIVATION</t>
  </si>
  <si>
    <t>Ethylene oligomerization into liquid fuels at slightly over atmospheric pressure has been studied due to its interest to valorize online the excess of ethylene in sustainable olefins production processes and to intensify the production of fuel from refinery secondary streams. Runs were carried out in a fixed-bed reactor under the following conditions: 1.5 bar; 275-375 degrees C; space time, 2.7-16.2 gcatalyst h molC  1; time on stream, 5 h. The catalyst was prepared by agglomerating a HZSM-5 zeolite (SiO2/Al2O3 of 30) in a mesoporous matrix (&amp; gamma;-Al2O3/ &amp; alpha;-Al2O3). The hierarchical porous structure of the catalyst enables to reach a pseudo-steady state with a remarkable remnant activity after an initial deactivation period of 2-3 h. Temperature shows a relevant effect on ethylene conversion and product distribution, where a C5+ liquid fuel yield of 55% above 325 degrees C and 10.6 gcatalyst h molC  1 is obtained. At 325 degrees C, gasoline yield is 60%, with high olefin content (49%), which decreases at higher temperature, due to an increase in aromatic and paraffin concentration. Soft and hard coke analysis reveal the role of the matrix to attenuate deactivation. Moreover, above 325 degrees C the cracking of hard coke precursors deposited in the zeolite micropores prevails respect to their formation.</t>
  </si>
  <si>
    <t>[Tabernilla, Zuria; Ateka, Ainara; Bilbao, Javier; Aguayo, Andres T.; Epelde, Eva] Univ Basque Country UPV EHU, Dept Chem Engn, POB 644, Bilbao 48080, Spain</t>
  </si>
  <si>
    <t>University of Basque Country</t>
  </si>
  <si>
    <t>Tabernilla, Z; Epelde, E (corresponding author), Univ Basque Country UPV EHU, Dept Chem Engn, POB 644, Bilbao 48080, Spain.</t>
  </si>
  <si>
    <t>zuria.tabernilla@ehu.eus; eva.epelde@ehu.eus</t>
  </si>
  <si>
    <t>Tabernilla, Zuria/ABC-5268-2020</t>
  </si>
  <si>
    <t>Tabernilla, Zuria/0000-0002-9035-0834; BILBAO ELORRIAGA, JAVIER/0000-0001-7084-9665</t>
  </si>
  <si>
    <t>Ministry of Economy and Competitiveness of the Spanish Government [IT1645-22]; Basque Government [823745]; European Regional Development Funds (ERDF); European Commission [PRE_2022_2_0136]; Department of Education, University and Research of the Basque Government; [PID2022-140584OB-I00]</t>
  </si>
  <si>
    <t>Ministry of Economy and Competitiveness of the Spanish Government(Spanish Government); Basque Government(Basque Government); European Regional Development Funds (ERDF)(European Union (EU)); European Commission(European Union (EU)European Commission Joint Research Centre); Department of Education, University and Research of the Basque Government;</t>
  </si>
  <si>
    <t>This work has been carried out with the financial support of the Ministry of Economy and Competitiveness of the Spanish Government (Project PID2022-140584OB-I00) ; the Basque Government (Project IT1645-22) ; and the European Regional Development Funds (ERDF) and the European Commission (HORIZON H2020-MSCA RISE 2018. Contract No. 823745) . Z. Tabernilla is grateful for the PhD grant from the Department of Education, University and Research of the Basque Government (PRE_2022_2_0136) . The authors thank for technical and human support provided by SGIker (UPV/EHU) .</t>
  </si>
  <si>
    <t>10.1016/j.energy.2023.128703</t>
  </si>
  <si>
    <t>Q2IE7</t>
  </si>
  <si>
    <t>WOS:001055797100001</t>
  </si>
  <si>
    <t>Taneja, A; Rani, S; Brenosa, J; Tolba, A; Kadry, S</t>
  </si>
  <si>
    <t>Taneja, Ashu; Rani, Shalli; Brenosa, Jose; Tolba, Amr; Kadry, Seifedine</t>
  </si>
  <si>
    <t>An improved WiFi sensing based indoor navigation with reconfigurable intelligent surfaces for 6G enabled IoT network and AI explainable use case</t>
  </si>
  <si>
    <t>6G; Reconfigurable intelligent surfaces; Localization; IoT; Received signal strength</t>
  </si>
  <si>
    <t>LOCALIZATION</t>
  </si>
  <si>
    <t>The expanding number of low cost sensors and smart devices drives the internet-of-things (IoT) ecosystem of the future. These sensing devices are connected to the internet for information exchange. The location and positioning of these nodes is very important information required in vast range of location based services like smart homes, smart healthcare, environmental monitoring, personal navigation and smart transportation. This paper presents an intelligent solution for node localization in a 6G enabled IoT network. An indoor communication network scenario is proposed in which reconfigurable intelligent surfaces (RISs) are installed to locate the sensor nodes operating in that network. The performance evaluation of the proposed scheme is carried out with optimum number of reflecting elements and optimum phase shifts. It is observed that optimized RISs with 100 reflecting elements improve the estimated localization error by 7.4% over non-optimum RISs. Also, the minimum gain of 6% in localization error is offered using equal phase shifts over random phase shifts. Further, the effect of channel conditions on the average estimation error in node locations is also elaborated. In the end, the explainable artificial intelligence (XAI) empowered indoor localization is discussed as a use case scenario and the performance comparison of the algorithms is evaluated.&amp; COPY; 2023 Elsevier B.V. All rights reserved.</t>
  </si>
  <si>
    <t>[Taneja, Ashu; Rani, Shalli] Chitkara Univ, Inst Engn &amp; Technol, Punjab, India; [Brenosa, Jose] Univ Europea Atlantico, Higher Polytech Sch, C-Isabel Torres 21, Santander 39011, Spain; [Brenosa, Jose] Univ Int Iberoamericana, Dept Project Management, Arecibo, PR 00613 USA; [Tolba, Amr] King Saud Univ, Community Coll, Comp Sci Dept, Riyadh 11437, Saudi Arabia; [Kadry, Seifedine] Noroff Univ Coll, Dept Appl Data Sci, Kristiansand, Norway; [Kadry, Seifedine] Ajman Univ, Artificial Intelligence Res Ctr AIRC, POB 346, Ajman, U Arab Emirates</t>
  </si>
  <si>
    <t>Chitkara University, Punjab; King Saud University; Ajman University</t>
  </si>
  <si>
    <t>Rani, S (corresponding author), Chitkara Univ, Inst Engn &amp; Technol, Punjab, India.</t>
  </si>
  <si>
    <t>ashu.taneja@chitkara.edu.in; shalli.rani@chitkara.edu.in; josemanuel.brenosa@uneatlantico.es; atolba@ksu.edu.sa; skadry@gmail.com</t>
  </si>
  <si>
    <t>Rani, Shalli/AGY-9513-2022</t>
  </si>
  <si>
    <t>Rani, Shalli/0000-0002-8474-9435</t>
  </si>
  <si>
    <t>King Saud University, Riyadh, Saudi Arabia; [RSPD2023R681]</t>
  </si>
  <si>
    <t>This work was funded by the Researchers Supporting Project number. (RSPD2023R681) King Saud University, Riyadh, Saudi Arabia</t>
  </si>
  <si>
    <t>10.1016/j.future.2023.07.016</t>
  </si>
  <si>
    <t>Q7PM5</t>
  </si>
  <si>
    <t>WOS:001059407000001</t>
  </si>
  <si>
    <t>Tang, YF; Sun, KX; Du, XF; Zhao, J; Wang, HL; Huang, QL</t>
  </si>
  <si>
    <t>Tang, Yifei; Sun, Kaixuan; Du, Xiongfei; Zhao, Jian; Wang, Hanli; Huang, Qinglin</t>
  </si>
  <si>
    <t>Superhydrophobic electrospun FPI/PTFE nanofiber membranes for robust vacuum membrane distillation</t>
  </si>
  <si>
    <t>FPI; Membrane distillation; PTFE; Micro/nano structure; Electrospraying</t>
  </si>
  <si>
    <t>PERFORMANCE</t>
  </si>
  <si>
    <t>In this study, we firstly proposed a fluorinated polyimide (FPI) /polytetrafluoroethylene (PTFE) nanofiber membrane for vacuum membrane distillation (VMD) by electrospinning FPI and double eletcrospraying PTFE particles. The resultant FPI /PTFE nanofiber membrane possessed desirable superhydrophobicity (water contact angle (WCA) of 155.3 degrees), anti-wettability and durability due to the rough micro/nano structure of the membrane surface. The surface morphology and chemical composition of obtained FPI nanofiber membranes were characterized by SEM, FTIR, XRD and XPS, and the effects of PTFE content on the VMD performance were investigated. Results showed that the liquid entry pressure (LEP) of FPI/PTFE nanofiber membranes increased significantly after PTFE particles were introduced (LEP of 158 kPa). In the VMD process, the FPI/PTFE nanofiber membrane showed stable MD flux (33.49 L &amp; BULL;m2 &amp; BULL;h-1) and excellent salt rejection (99.96%). Furthermore, the FPI/ PTFE nanofiber membrane maintained its favorable performance, resulting in stable MD flux (30.21 L &amp; BULL;m2 &amp; BULL;h-1) and salt rejection (99.96%) after the 120 h continuous long-term operation. It shows a promising future for VMD of FPI/PTFE nanofiber membranes.</t>
  </si>
  <si>
    <t>[Tang, Yifei; Sun, Kaixuan; Du, Xiongfei; Zhao, Jian; Huang, Qinglin] Tiangong Univ, Natl Ctr Int Joint Res Separat Membranes, State Key Lab Separat Membranes &amp; Membrane Proc, Tianjin 300387, Peoples R China; [Tang, Yifei; Sun, Kaixuan; Du, Xiongfei; Huang, Qinglin] Tiangong Univ, Dept Mat Sci &amp; Engn, Tianjin 300387, Peoples R China; [Wang, Hanli] Shandong Huaxia Shenzhou New Mat Co Ltd, Zibo 256401, Shandong, Peoples R China; [Wang, Hanli; Huang, Qinglin] Tiangong Univ, 399 West Binshui Rd, Tianjin 300387, Peoples R China</t>
  </si>
  <si>
    <t>Tiangong University; Tiangong University; Tiangong University</t>
  </si>
  <si>
    <t>Wang, HL; Huang, QL (corresponding author), Tiangong Univ, 399 West Binshui Rd, Tianjin 300387, Peoples R China.</t>
  </si>
  <si>
    <t>WHL89333@163.com; huangqinglin@tiangong.edu.cn</t>
  </si>
  <si>
    <t>National Natural Science Foundation of China [202110058023]; National Innovation and Entrepreneurship Training Program for College Students of Tiangong University; [52103035]</t>
  </si>
  <si>
    <t>National Natural Science Foundation of China(National Natural Science Foundation of China (NSFC)); National Innovation and Entrepreneurship Training Program for College Students of Tiangong University;</t>
  </si>
  <si>
    <t>This work was supported by National Natural Science Foundation of China (No. 52103035) , National Innovation and Entrepreneurship Training Program for College Students of Tiangong University (No. 202110058023) . The Analytical &amp; Testing Center of Tiangong Univer-sity was appreciated.</t>
  </si>
  <si>
    <t>10.1016/j.seppur.2023.124856</t>
  </si>
  <si>
    <t>R6TI8</t>
  </si>
  <si>
    <t>WOS:001065657300001</t>
  </si>
  <si>
    <t>Tang, ZG; Yin, C; Sun, R; Cheng, JP</t>
  </si>
  <si>
    <t>Tang, Zhiguo; Yin, Chao; Sun, Ran; Cheng, Jianping</t>
  </si>
  <si>
    <t>Study on the flow and heat transfer of a nanofluid hybrid jet impinging on a corrugated microchannel heat sink</t>
  </si>
  <si>
    <t>INTERNATIONAL JOURNAL OF THERMAL SCIENCES</t>
  </si>
  <si>
    <t>Nanofluid; Jet impingement; Corrugated microchannel heat sink; Gradient decreasing wavelength; Temperature uniformity</t>
  </si>
  <si>
    <t>TRANSFER ENHANCEMENT; THERMAL-CHARACTERISTICS; COOLING PERFORMANCE; IMPINGEMENT FLOW; LAMINAR-FLOW; CHANNEL; SUBJECT</t>
  </si>
  <si>
    <t>Temperature uniformity in high-heat-flux electronic devices is an important concern in the field of micro-scale enhanced heat transfer. In this study, a novel hybrid jet impingement/corrugated microchannel heat sink (JICMCHS) is proposed, in which the wavelength of the corrugated microchannel is decreased steadily in the flow direction and water-Al2O3 nanofluid is used to enhance the heat transfer in the microchannel, especially in its outlet region, in order to improve the temperature uniformity throughout the heat sink. The fluid flow and heat transfer characteristics of JICMCHS with different parameters of its corrugated structure, jet Reynolds number, and volume fraction of nanofluid particles are investigated numerically. The results indicate that compared with jet impingement/flat microchannel heat sink (JIFMCHS), JICMCHS can enhance the fluid flow and heat transfer of the heat sink, improving the performance evaluation criterion (PEC) by up to 4.1% and temperature uniformity by 44% over that of JIFMCHS. As the wavelength decreasing ratio (r) or the wave amplitude ratio (h/B) increases, the temperature uniformity of the bottom surface of the heat sink gradually improves. When r = 0.8 and h/B = 0.2, the best temperature uniformity can be achieved. Increasing the jet Reynolds number (Re) and the volume fraction of nanofluid particles (&amp; phi;) both enhance the heat transfer and significantly improve the uniformity of the whole heat sink. However, both lead to an increase in the flow resistance of the nanofluid and a decrease in the PEC of the JICMCHS.</t>
  </si>
  <si>
    <t>[Tang, Zhiguo; Yin, Chao; Sun, Ran; Cheng, Jianping] Hefei Univ Technol, Sch Mech Engn, Hefei, Peoples R China; [Cheng, Jianping] Hefei Univ Technol, Sch Mech Engn, Hefei 230009, Anhui, Peoples R China</t>
  </si>
  <si>
    <t>Hefei University of Technology; Hefei University of Technology</t>
  </si>
  <si>
    <t>Cheng, JP (corresponding author), Hefei Univ Technol, Sch Mech Engn, Hefei 230009, Anhui, Peoples R China.</t>
  </si>
  <si>
    <t>chjianping@hfut.edu.cn</t>
  </si>
  <si>
    <t>Major Science and Technology Project of Anhui Province [202003a05020014]; Hefei Natural Science Foundation [2021045]</t>
  </si>
  <si>
    <t>Major Science and Technology Project of Anhui Province; Hefei Natural Science Foundation</t>
  </si>
  <si>
    <t>This work was financially supported by the Major Science and Technology Project of Anhui Province (No. 202003a05020014) and Hefei Natural Science Foundation (No. 2021045) .</t>
  </si>
  <si>
    <t>1290-0729</t>
  </si>
  <si>
    <t>1778-4166</t>
  </si>
  <si>
    <t>INT J THERM SCI</t>
  </si>
  <si>
    <t>Int. J. Therm. Sci.</t>
  </si>
  <si>
    <t>10.1016/j.ijthermalsci.2023.108590</t>
  </si>
  <si>
    <t>Thermodynamics; Engineering, Mechanical</t>
  </si>
  <si>
    <t>Thermodynamics; Engineering</t>
  </si>
  <si>
    <t>R7WE1</t>
  </si>
  <si>
    <t>WOS:001066414000001</t>
  </si>
  <si>
    <t>Tishkovets, VP; Berdina, LA</t>
  </si>
  <si>
    <t>Tishkovets, Victor P.; Berdina, Liudmyla A.</t>
  </si>
  <si>
    <t>Characteristics of the weak localization effect for a discrete medium of spherical particles depending on their properties and the incident radiation angle</t>
  </si>
  <si>
    <t>Multiple scattering; Coherent backscattering; Opposition effects; Discrete random medium; Reflection matrix</t>
  </si>
  <si>
    <t>COHERENT BACKSCATTERING; MULTIPLE-SCATTERING; LIGHT; LAYER; INCOHERENT; MATRIX</t>
  </si>
  <si>
    <t>An efficient algorithm for calculating the characteristics of the weak localization effect at oblique incidence of radiation on the boundary of a semi-infinite discrete medium is described. The results of calculations of the coherent enhancement factor and the degree of linear polarization of radiation reflected by a medium of spherical particles at various values of the incidence angle of radiation on the medium are presented. The dependence of the half-width of the interference peak and the degree of linear polarization on the parameters of particles and the incident radiation angle is considered. We analyze the efficiency of an approximation that makes it possible to generalize the algorithm to the case of arbitrary scatterers of the medium.</t>
  </si>
  <si>
    <t>[Tishkovets, Victor P.; Berdina, Liudmyla A.] Inst Radio Astron, Kharkiv, Ukraine</t>
  </si>
  <si>
    <t>National Academy of Sciences Ukraine; Institute of Radio Astronomy of the National Academy of Sciences of Ukraine</t>
  </si>
  <si>
    <t>Tishkovets, VP (corresponding author), Inst Radio Astron, Kharkiv, Ukraine.</t>
  </si>
  <si>
    <t>tishkovets@rian.kharkov.ua</t>
  </si>
  <si>
    <t>Marie Sklodowska-Curie Research Innovation and Staff Exchange (RISE) (the GRASP-ACE) [778349]</t>
  </si>
  <si>
    <t>Marie Sklodowska-Curie Research Innovation and Staff Exchange (RISE) (the GRASP-ACE)</t>
  </si>
  <si>
    <t>The work was supported by the Marie Sklodowska-Curie Research Innovation and Staff Exchange (RISE) (the GRASP-ACE Grant no. 778349).</t>
  </si>
  <si>
    <t>10.1016/j.jqsrt.2023.108743</t>
  </si>
  <si>
    <t>Q7FM5</t>
  </si>
  <si>
    <t>WOS:001059143600001</t>
  </si>
  <si>
    <t>Toufani, M; Besic, H; Tong, WM; Farras, P</t>
  </si>
  <si>
    <t>Toufani, Maryam; Besic, Hanka; Tong, Wenming; Farras, Pau</t>
  </si>
  <si>
    <t>Exploring the role of different morphologies of &amp; beta;-Ni(OH)2 for electrocatalytic urea oxidation and the effects of electrochemically active surface area</t>
  </si>
  <si>
    <t>Urea Oxidation Reaction; Ni(OH)2; Electrocatalysis; Morphology; Active site</t>
  </si>
  <si>
    <t>NANOSHEET ARRAYS; BETA-NI(OH)(2); HYDROXIDE; NANOSTRUCTURES; NANOPARTICLES; NANOARRAYS; NI(OH)(2); CATALYSTS; PHASE</t>
  </si>
  <si>
    <t>Ni(OH)2, as a multifunctional material, has found its applications in a great number of research areas. In particular, it is an efficient catalyst for urea oxidation reaction (UOR), which is an important alternative to oxygen evolution reaction in electrocatalytic water splitting. This work investigates the effect of materials morphology on the electrocatalytic UOR performance of &amp; beta;-Ni(OH)2, as well as the importance of characterising the catalysts' surface by electrochemical active surface area. Three different morphologies (nanoflowers, nanocubes, and nanosheets) were prepared via a simple hydrothermal approach. The morphology and structure of the as-prepared samples were carefully examined by scanning electron microscopy, transmission electron microscopy, and powder X-ray diffraction. The UOR performance of &amp; beta;-Ni(OH)2 was evaluated by means of cyclic voltammetry, linear sweep voltammetry, Tafel analysis, and electrochemical surface area. Nanosheet Ni(OH)2 electrocatalyst exhibits higher current density responses (28.3 mA cm-2 ECSA at 1.6 V vs. RHE) and a lower slope in the Tafel plot (72.6 mV dec-1). Consequently, due to the exposure of more active sites to the reactants, the Ni (OH)2 electrode with nanosheet morphology displayed higher electrocatalytic performance during UOR compared to the nanoflower and nanocube samples.</t>
  </si>
  <si>
    <t>[Tong, Wenming; Farras, Pau] Univ Galway, Sch Biol &amp; Chem Sci, Univ Rd, Galway H91CF50, Ireland; Univ Galway, Ryan Inst, Energy Res Ctr, Univ Rd, Galway H91CF50, Ireland</t>
  </si>
  <si>
    <t>Tong, WM; Farras, P (corresponding author), Univ Galway, Sch Biol &amp; Chem Sci, Univ Rd, Galway H91CF50, Ireland.</t>
  </si>
  <si>
    <t>wenming.tong@universityofgalway.ie; pau.farras@universityofgalway.ie</t>
  </si>
  <si>
    <t>Tong, Wenming/B-5136-2011</t>
  </si>
  <si>
    <t>Tong, Wenming/0000-0002-4831-4960</t>
  </si>
  <si>
    <t>European Union [862453, 861151]; University of Galway; Irish Gov- ernment's Programme for Research in Third Level Institutions, Cycles 4 and 5, National Development Plan</t>
  </si>
  <si>
    <t>European Union(European Union (EU)); University of Galway; Irish Gov- ernment's Programme for Research in Third Level Institutions, Cycles 4 and 5, National Development Plan</t>
  </si>
  <si>
    <t>This work was funded by European Union's Horizon 2020 projects SOLAR2CHEM (Marie Sklodowska-Curie Actions with Grant Agreement No. 861151) and European Union Horizon 2020-FlowPhotoChem project (Grant agreement number 862453) . The authors acknowledge the scientific and technical assistance of Dr. Eadaoin Timmins in the use of the SEM and TEM within the Centre for Microscopy &amp; Imaging funded by University of Galway and the Irish Government's Programme for Research in Third Level Institutions, Cycles 4 and 5, National Development Plan 2007-2013.</t>
  </si>
  <si>
    <t>10.1016/j.rechem.2023.101031</t>
  </si>
  <si>
    <t>P2YM1</t>
  </si>
  <si>
    <t>hybrid, Green Published</t>
  </si>
  <si>
    <t>WOS:001049346000001</t>
  </si>
  <si>
    <t>Van Brutzel, L; Castelier, E</t>
  </si>
  <si>
    <t>Van Brutzel, L.; Castelier, E.</t>
  </si>
  <si>
    <t>Equation of state for helium-xenon gas mixture studied by molecular dynamics simulations</t>
  </si>
  <si>
    <t>JOURNAL OF NUCLEAR MATERIALS</t>
  </si>
  <si>
    <t>NUCLEAR-FUEL; BEHAVIOR; RELEASE; TRANSURANUS; PERFORMANCE; POTENTIALS; KRYPTON; BUBBLES; HE</t>
  </si>
  <si>
    <t>In the framework of long term behaviour of nuclear spent fuels, the performance codes need physical data base such as fission gas equation of state in order to assess the pressure inside fission gas bubbles. The high pressures expected in such bubbles require gas equation of state, which are not easily accessible in the literature. Therefore, molecular dynamics simulations are carried out to assess the helium-xenon mixture equation of state in these extreme conditions. First, we confirm that the interatomic potentials used, which are key parameter for the molecular dynamics simulations, reproduce very well the existing experimental data of the pure gases. This first study provides also new data for the melting point of pure xenon in the range of 500 K to 1500 K under high pressures. Second, the simulations of the helium-xenon mixture confirm that this mixture behaves like van der Waals compounds with the presence of a gas-gas separation in equilibrium at high densities. The miscibility gap, already known for temperatures under 333 K, was extended at higher temperatures until 800 K for high gas densities. This behaviour yields to the creation of an heterogeneous gas mix, which could curb the creation of bubble containing this mixture. Finally, we have fitted with the Happel formalism a new equation of state for the helium-xenon gas mixture, which is valid over temperatures ranging from 200 K to 1000 K and for atomic volumes higher than 0.27 x 10-28 m3 (i.e., densities lower than 6.1 x 104 mol.m-3).</t>
  </si>
  <si>
    <t>[Van Brutzel, L.] Univ Paris Saclay, Serv Rech Corros &amp; Comportement Materiaux, F-91191 Gif Sur Yvette, France; [Castelier, E.] CEA, DES, IRESNE, DEC, F-13018 Durance, St Paul Lez Dur, France</t>
  </si>
  <si>
    <t>UDICE-French Research Universities; Universite Paris Saclay; CEA</t>
  </si>
  <si>
    <t>Van Brutzel, L (corresponding author), Univ Paris Saclay, Serv Rech Corros &amp; Comportement Materiaux, F-91191 Gif Sur Yvette, France.</t>
  </si>
  <si>
    <t>laurent.vanbrutzel@cea.fr</t>
  </si>
  <si>
    <t>COSTO-EDF; CEA</t>
  </si>
  <si>
    <t>COSTO-EDF; CEA(French Atomic Energy Commission)</t>
  </si>
  <si>
    <t>This research is part of the research program COSTO, funded by EDF and CEA. This work was granted access to the HPC resources of [TGCC] under the allocation 2020-mtt7073 made by GENCI.</t>
  </si>
  <si>
    <t>0022-3115</t>
  </si>
  <si>
    <t>1873-4820</t>
  </si>
  <si>
    <t>J NUCL MATER</t>
  </si>
  <si>
    <t>J. Nucl. Mater.</t>
  </si>
  <si>
    <t>10.1016/j.jnucmat.2023.154654</t>
  </si>
  <si>
    <t>Materials Science, Multidisciplinary; Nuclear Science &amp; Technology</t>
  </si>
  <si>
    <t>Materials Science; Nuclear Science &amp; Technology</t>
  </si>
  <si>
    <t>P8NI8</t>
  </si>
  <si>
    <t>WOS:001053179300001</t>
  </si>
  <si>
    <t>Vo, HD; Nguyen, S</t>
  </si>
  <si>
    <t>Vo, Hieu Dinh; Nguyen, Son</t>
  </si>
  <si>
    <t>Can an old fashioned feature extraction and a light-weight model improve vulnerability type identification performance?</t>
  </si>
  <si>
    <t>INFORMATION AND SOFTWARE TECHNOLOGY</t>
  </si>
  <si>
    <t>Vulnerability type identification; Vulnerability resolution; Software vulnerability</t>
  </si>
  <si>
    <t>NEURAL-NETWORKS</t>
  </si>
  <si>
    <t>Recent advances in automated vulnerability detection have achieved potential results in helping developers determine vulnerable components. However, after detecting vulnerabilities, investigating to fix vulnerable code is a non-trivial task. In fact, the types of vulnerability, such as buffer overflow or memory corruption, could help developers quickly understand the nature of the weaknesses and localize vulnerabilities for security analysis. In this work, we investigate the problem of vulnerability type identification (VTI). The problem is modeled as the multi-label classification task, which could be effectively addressed by ''pre-training, then fine-tuningframework with deep pre-trained embedding models. We evaluate the performance of the well-known and advanced pre-trained models for VTI on a large set of vulnerabilities. Surprisingly, their performance is not much better than that of the classical baseline approach with an old-fashioned bag-of-word, TF-IDF. Meanwhile, these deep neural network approaches cost much more resources and require GPU. We also introduce a lightweight independent component to refine the predictions of the baseline approach. Our idea is that the types of vulnerabilities could strongly correlate to certain code tokens (distinguishing tokens) in several crucial parts of programs. The distinguishing tokens for each vulnerability type are statistically identified based on their prevalence in the type versus the others. Our results show that the baseline approach enhanced by our component can outperform the state-of-the-art deep pre-trained approaches while retaining very high efficiency. Furthermore, the proposed component could also improve the neural network approaches by up to 92.8% in macro-average F1.</t>
  </si>
  <si>
    <t>[Vo, Hieu Dinh; Nguyen, Son] VNU Univ Engn &amp; Technol, Fac Informat Technol, Hanoi, Vietnam</t>
  </si>
  <si>
    <t>Vietnam National University Hanoi</t>
  </si>
  <si>
    <t>Nguyen, S (corresponding author), VNU Univ Engn &amp; Technol, Fac Informat Technol, Hanoi, Vietnam.</t>
  </si>
  <si>
    <t>hieuvd@vnu.edu.vn; sonnguyen@vnu.edu.vn</t>
  </si>
  <si>
    <t>VNU University of Engineering and Technology [CN22.14]</t>
  </si>
  <si>
    <t>VNU University of Engineering and Technology</t>
  </si>
  <si>
    <t>This work has been supported by VNU University of Engineering and Technology under project number CN22.14.</t>
  </si>
  <si>
    <t>0950-5849</t>
  </si>
  <si>
    <t>1873-6025</t>
  </si>
  <si>
    <t>INFORM SOFTWARE TECH</t>
  </si>
  <si>
    <t>Inf. Softw. Technol.</t>
  </si>
  <si>
    <t>10.1016/j.infsof.2023.107304</t>
  </si>
  <si>
    <t>Computer Science, Information Systems; Computer Science, Software Engineering</t>
  </si>
  <si>
    <t>R6TX2</t>
  </si>
  <si>
    <t>WOS:001065671700001</t>
  </si>
  <si>
    <t>Wang, H; Wei, KF; Cheng, Q</t>
  </si>
  <si>
    <t>Wang, Han; Wei, Kaifeng; Cheng, Qing</t>
  </si>
  <si>
    <t>Study on nonreciprocal radiation and photothermal conversion of VO2-based tunable inverse opal thermal emitter</t>
  </si>
  <si>
    <t>Thermal emitter; Nonreciprocal radiation; Inverse opal; Vanadium dioxide; Photothermal effect</t>
  </si>
  <si>
    <t>ABSORBERS; STABILITY; FILMS; ENHANCEMENT; DESIGN</t>
  </si>
  <si>
    <t>In this work, a novel tunable nonreciprocal thermal emitter, consisting of an InAs magneto-optic inverse opal film and a VO2 film, is designed to achieve strong and tunable nonreciprocal radiation in the mid-infrared band of 6.8-7.8 &amp; mu;m. A more appropriate Lorentz-Drude model is used to describe the material properties of InAs, and the nonreciprocal band in the mid-infrared range for doped InAs is obtained through the Lorentz-Drude model. The effect of different middle layers on the structure of films and inverse opals is investigated under a magnetic field at an incident angle of 26 degrees The inverse opal structure is found to have better nonreciprocal properties, while VO2 has the role of replacing noble metals in the tuning of nonreciprocal radiation. In addition, the strengthening mechanism of the inverse opal structure and the physical mechanism of the nonreciprocal radiation are further analysed and revealed through electric field energy distribution plots and impedance matching theory. A comparison of the nonreciprocal radiation and the photothermal effect of three inverse opal structures with different pore distributions and porosities for different parameters shows that the simple cubic structure has the strongest nonreciprocal radiation performance and a relatively high photothermal conversion effect, which can further increase the radiation capacity of the thermal emitter over a range. Therefore, the designed inverse opal composite structure can be used for the fabrication of tunable thermal emitters with nonreciprocal effects, where the amount of light absorbed in one channel of the thermal emitter can be controlled to tune the radiation capacity of the other channel. Providing a degree of assistance in the development and application of nonreciprocal thermal radiation devices in the mid-infrared wavelength band.</t>
  </si>
  <si>
    <t>[Wang, Han; Wei, Kaifeng; Cheng, Qing] Nanjing Tech Univ, Sch Energy Sci &amp; Engn, Nanjing, Peoples R China</t>
  </si>
  <si>
    <t>Nanjing Tech University</t>
  </si>
  <si>
    <t>Wang, H (corresponding author), Nanjing Tech Univ, Sch Energy Sci &amp; Engn, Nanjing, Peoples R China.</t>
  </si>
  <si>
    <t>wangh_njt@njtech.edu.cn</t>
  </si>
  <si>
    <t>National Natural Science Foundation of China [51606093]; Postgraduate Research &amp; Practice Innovation Program of Jiangsu Province [SJCX23_0476]</t>
  </si>
  <si>
    <t>National Natural Science Foundation of China(National Natural Science Foundation of China (NSFC)); Postgraduate Research &amp; Practice Innovation Program of Jiangsu Province</t>
  </si>
  <si>
    <t>This work was supported by National Natural Science Foundation of China (Grant No. 51606093) and Postgraduate Research &amp; Practice Innovation Program of Jiangsu Province (SJCX23_0476).</t>
  </si>
  <si>
    <t>10.1016/j.ijheatmasstransfer.2023.124627</t>
  </si>
  <si>
    <t>R7VC2</t>
  </si>
  <si>
    <t>WOS:001066385800001</t>
  </si>
  <si>
    <t>Wang, HB; Hou, MH</t>
  </si>
  <si>
    <t>Wang, Hongbin; Hou, Minghui</t>
  </si>
  <si>
    <t>Quantum-like implicit sentiment analysis with sememes knowledge</t>
  </si>
  <si>
    <t>Sentiment analysis; Implicit sentiment analysis; Sememe knowledge; Density matrix; Quantum theory</t>
  </si>
  <si>
    <t>EMOTION</t>
  </si>
  <si>
    <t>Sentiment analysis, which can discriminate the sentiment tendency of subjective texts, is one of the important research works in the field of natural language processing. Sentiment analysis can be divided into explicit sentiment analysis and implicit sentiment analysis according to whether the text contains explicit sentiment words. Most of the current research work focuses on explicit sentiment analysis, while implicit sentiment analysis has become one of the most challenging research tasks because the sentiment characteristics are too implicit. In this paper, Fused with Sememe Knowledge Quantum-like Chinese Implicit Sentiment Analysis (FSKQ)is proposed, which introduces the density matrix in quantum theory and takes sememe, the smallest common sense semantic unit in natural language, as an external knowledge base to build a sememe-based density matrix. The matrix can be regarded as a complete knowledge system with strong generalization, which models the global information of the most fine-grained semantic knowledge. Its incorporation into the text vector results in a high quality of text representation, which effectively improves the performance of the model in Chinese implicit sentiment analysis. Ablation experiments and comparison experiments are conducted in the SMP ECISA2019 dataset, and the results show that the F1 score of the model is improved by 2.6% compared with the best model, which proves the effectiveness and superiority of the idea. In addition, in order to verify the performance of the proposed method in terms of text representation quality, it is also applied to existing models in the aspect-level sentiment analysis and event detection, and it is compared with the original model without using the idea and the baseline model on Twitter, Lap14, Rest14/15/16 and ACE2005 datasets. The results show that compared with the original model and the baseline model in this field, the model combined with the idea improves the accuracy and F1 score, which further proves the effectiveness, superiority and generalization of the FSKQ model.</t>
  </si>
  <si>
    <t>[Wang, Hongbin; Hou, Minghui] Kunming Univ Sci &amp; Technol, Fac Informat Engn &amp; Automation, Kunming 650500, Peoples R China; [Wang, Hongbin; Hou, Minghui] Kunming Univ Sci &amp; Technol, Key Lab Artificial Intelligence Yunnan Prov, Kunming 650500, Peoples R China; [Hou, Minghui] Jilin Univ, Coll Comp Sci &amp; Technol, Changchun 130012, Peoples R China</t>
  </si>
  <si>
    <t>Kunming University of Science &amp; Technology; Kunming University of Science &amp; Technology; Jilin University</t>
  </si>
  <si>
    <t>Wang, HB (corresponding author), Kunming Univ Sci &amp; Technol, Fac Informat Engn &amp; Automation, Kunming 650500, Peoples R China.</t>
  </si>
  <si>
    <t>whbin2007@126.com; houminghui6@126.com</t>
  </si>
  <si>
    <t>National Natural Science Founda-tion of China [202201AT070157]; Yunnan Natural Science Funds, PR China; [61966020]</t>
  </si>
  <si>
    <t>National Natural Science Founda-tion of China(National Natural Science Foundation of China (NSFC)); Yunnan Natural Science Funds, PR China;</t>
  </si>
  <si>
    <t>This work was supported by the National Natural Science Founda-tion of China under Grant 61966020, and the Yunnan Natural Science Funds, PR China under Grant 202201AT070157.</t>
  </si>
  <si>
    <t>10.1016/j.eswa.2023.120720</t>
  </si>
  <si>
    <t>P9NF2</t>
  </si>
  <si>
    <t>WOS:001053865500001</t>
  </si>
  <si>
    <t>Wang, Q; Zhang, YF; Yan, SW; Wang, G; Li, HX</t>
  </si>
  <si>
    <t>Wang, Qu; Zhang, Yifan; Yan, Senwang; Wang, Gang; Li, Hongxia</t>
  </si>
  <si>
    <t>Coating Ca2+-Fe3+co-doped LaAlO3 on high-temperature electric furnace for energy-saving</t>
  </si>
  <si>
    <t>High-emissivity coating; High-temperature electric furnaces; Energy-saving; Alumina hollow sphere brick</t>
  </si>
  <si>
    <t>WALL EMISSIVITY</t>
  </si>
  <si>
    <t>The energy-saving effect of high-emissivity coatings on high-temperature electric furnaces has not been fully explored. In this study, high infrared emissivity coatings (&amp; epsilon;1-2.5 &amp; mu;m, 1200 degrees C = 0.81) are successfully prepared using La0.9Ca0.1Al0.9Fe0.1O3 powder as radiation agent and aluminium sol as binder. The experimental results on a high-temperature electric furnace reveal that the power consumption for heating air and heating refractory bricks before and after lining coating increase by 4.7% and 5.4%, respectively. This energy consumption increase is primarily concentrated in the heating stage because the high absorption of the coating causes an increase in the heat loss of the lining. Moreover, the scheme of the high-emissivity coating application on the outer surface of a crucible is proposed. Experimental results indicate that this technique can effectively improve thermal efficiency and, therefore, can be successfully implemented in future industrial applications.</t>
  </si>
  <si>
    <t>[Wang, Qu; Zhang, Yifan; Yan, Senwang; Wang, Gang; Li, Hongxia] Sinosteel Luoyang Inst Refractories Res Co Ltd, State Key Lab Adv Refractories, Luoyang 471039, Peoples R China</t>
  </si>
  <si>
    <t>Wang, Q; Wang, G (corresponding author), Sinosteel Luoyang Inst Refractories Res Co Ltd, State Key Lab Adv Refractories, Luoyang 471039, Peoples R China.</t>
  </si>
  <si>
    <t>lirrwq@163.com; wangg@lirrc.com</t>
  </si>
  <si>
    <t>National Natural Science Foundation of China [U1904217]; National Key Research and Development Program of China [2021YFB3701400]; Zhongyuan Science and Technology Innovation Leading Talent Project [224200510006]; Luoyang Science and Technology Major Project [2101008A]</t>
  </si>
  <si>
    <t>National Natural Science Foundation of China(National Natural Science Foundation of China (NSFC)); National Key Research and Development Program of China; Zhongyuan Science and Technology Innovation Leading Talent Project; Luoyang Science and Technology Major Project</t>
  </si>
  <si>
    <t>This work was supported by the National Natural Science Foundation of China (No. U1904217), the National Key Research and Development Program of China (No. 2021YFB3701400), Zhongyuan Science and Technology Innovation Leading Talent Project (No. 224200510006), and Luoyang Science and Technology Major Project (No. 2101008A).</t>
  </si>
  <si>
    <t>10.1016/j.ijthermalsci.2023.108553</t>
  </si>
  <si>
    <t>Q8LI2</t>
  </si>
  <si>
    <t>WOS:001059977900001</t>
  </si>
  <si>
    <t>Wang, XH; Mao, ZC; Wei, GP; Zhang, YQ; Li, BL; Zhu, L; Xu, SM; Jiang, J; Tang, SB</t>
  </si>
  <si>
    <t>Wang, Xiaohang; Mao, Zongchang; Wei, Guanping; Zhang, Yuqin; Li, Baolei; Zhu, Ling; Xu, Si-Min; Jiang, Jun; Tang, Shaobin</t>
  </si>
  <si>
    <t>Synergistic effect of nickel and calcium dual-atomic sites to facilitate electrochemical CO2 reduction to methanol: Combining high activity and selectivity</t>
  </si>
  <si>
    <t>Dual-atomic sites catalyst; CO 2 reduction reaction; Synergistic adsorption; Regulation of electronic structure; First-principles calculations</t>
  </si>
  <si>
    <t>CARBON-DIOXIDE; CATALYSTS; ELECTROREDUCTION; OXIDATION; METALS</t>
  </si>
  <si>
    <t>Atomically dispersed transition metal sites embedded into nitrogen-doped graphene provide promising potential for the electrochemical CO2 reduction to CO, but the catalytic efficiency for further hydrogenation to methanol is seriously restricted. Herein, combining the advantage of single transition metal, alkaline-earth metal, and multiple active sites, we designed nickel and calcium dual-atomic site catalysts (Ni-Ca DACs) supported on Ndoped graphene to enable CO2 hydrogenation. First-principles calculations reveal that the electron-rich Ni atom serves as the carbon adsorption site, and the adjacent Ca atom with electron-deficient properties acts as the oxygen adsorption site, which largely stabilizes many CHxOy species through the O-Ca bond, especially the *OCHO, thus facilitating CO2 reduction. More importantly, a synergistic adsorption process on Ni-Ca sites promote the formation of *CHO species that is considered as the key intermediate for generation of multi-electron products. Different from the single Ni or Ca catalysts that produce mainly CO or HCOOH, the Ni-Ca DACs can selectively catalyze CO2 reduction to CH3OH, with a low limiting potential of -0.52 V, while suppressing the hydrogen evolution reaction. The outstanding catalytic activity originates from the tuned polarized charge and dband center of active sites by synergistic interaction of adjacent Ni and Ca atoms.</t>
  </si>
  <si>
    <t>[Wang, Xiaohang; Mao, Zongchang; Wei, Guanping; Zhang, Yuqin; Zhu, Ling; Xu, Si-Min; Tang, Shaobin] Gannan Normal Univ, Key Lab Organo Pharmaceut Chem Jiangxi Prov, Ganzhou 341000, Peoples R China; [Li, Baolei] Gannan Normal Univ, Sch Math &amp; Comp Sci, Ganzhou 341000, Peoples R China; [Jiang, Jun] Univ Sci &amp; Technol China, Sch Chem &amp; Mat Sci, Key Lab Precis &amp; Intelligent Chem, Hefei 230026, Anhui, Peoples R China</t>
  </si>
  <si>
    <t>Gannan Normal University; Gannan Normal University; Chinese Academy of Sciences; University of Science &amp; Technology of China, CAS</t>
  </si>
  <si>
    <t>Xu, SM; Tang, SB (corresponding author), Gannan Normal Univ, Key Lab Organo Pharmaceut Chem Jiangxi Prov, Ganzhou 341000, Peoples R China.</t>
  </si>
  <si>
    <t>xusimin@gnnu.edu.cn; tsb1980@xmu.edu.cn</t>
  </si>
  <si>
    <t>National Natural Science Foundation of China (NSFC) [22063001]; Jiangxi Provincial Natural Science Foundation [20212ACB203003, 20224BAB212022]</t>
  </si>
  <si>
    <t>National Natural Science Foundation of China (NSFC)(National Natural Science Foundation of China (NSFC)); Jiangxi Provincial Natural Science Foundation</t>
  </si>
  <si>
    <t>This work was financially supported by the National Natural Science Foundation of China (NSFC) (No. 22063001) and Jiangxi Provincial Natural Science Foundation (No. 20212ACB203003, 20224BAB212022). The numerical calculations were done on the supercomputing system in the Supercomputing Center of University of Science and Technology of China.</t>
  </si>
  <si>
    <t>10.1016/j.apsusc.2023.158243</t>
  </si>
  <si>
    <t>R1OA7</t>
  </si>
  <si>
    <t>WOS:001062093100001</t>
  </si>
  <si>
    <t>Wang, YC; Shao, CX; Luo, K; Cai, RP; Jin, T; Fan, JR</t>
  </si>
  <si>
    <t>Wang, Yicun; Shao, Changxiao; Luo, Kun; Cai, Ruipeng; Jin, Tai; Fan, Jianren</t>
  </si>
  <si>
    <t>LES of a turbulent lifted methanol spray flame using a novel spray flamelet/progress variable model</t>
  </si>
  <si>
    <t>Large Eddy Simulation; Turbulent spray combustion; Spray flamelet model; Lifted flame; Auto-ignition</t>
  </si>
  <si>
    <t>LARGE-EDDY SIMULATION; DIFFUSION FLAMES; MIXTURE FRACTION; AUTO-IGNITION; STEADY-STATE; COMBUSTION; TEMPERATURE; EVAPORATION; JET; EXTINCTION</t>
  </si>
  <si>
    <t>Turbulent spray flames are complex combustion configurations and are difficult to be accurately simulated. In this paper, we focus on further development and validation of the two-phase spray flamelet/progress variable (TSFPV) model, which is first proposed in our previous work and shows sound performance because it is able to consider the effect of droplet evaporation on the flamelet structure. A spray evaporation source term (SEST) model is improved in the present work to model the evaporation sources and is applied to the calculation of one-dimensional laminar counterflow flames to generate the spray flamelet library. The SEST model is validated on the configuration of two-dimensional counterflow spray flames, and the a priori and a posteriori results show good agreement with the solutions using the Lagrangian particle tracking (LPT) method. The effect of pre-vaporized fuel vapor is further considered in the spray flamelet library, in which both the spray and gaseous flame regimes are covered. The TSFPV model is well validated on the configuration of the laminar mixing layer by comparing the a priori and a posteriori results with detailed chemistry (DC) solutions. Large Eddy Simulation (LES) of the Sydney turbulent lifted methanol spray flame Mt2A is conducted using the TSFPV model. The flame lift-off is correctly captured and the final predicted lift-off height is very close to the experimental value. The predicted mean droplet velocities show good agreement with experimental measurements, and the rms velocities agree well with the experimental data at downstream locations with a late jet breakup. The droplet size increases along the downstream direction and this trend is well reproduced in the current simulation, though the local peak value of droplet size near the upstream shear layer is not well captured. The central jet temperature at upstream locations is also well predicted by the TSFPV model. Overall, the results show good agreement with the experimental measurements, which illustrates the potential of the TSFPV model for spray combustion modeling.</t>
  </si>
  <si>
    <t>[Wang, Yicun; Luo, Kun; Cai, Ruipeng; Fan, Jianren] Zhejiang Univ, State Key Lab Clean Energy Utilizat, Hangzhou 310027, Peoples R China; [Shao, Changxiao] Harbin Inst Technol, Ctr Turbulence Control, Shenzhen 518055, Peoples R China; [Luo, Kun; Fan, Jianren] Zhejiang Univ, Shanghai Inst Adv Study, Shanghai, Peoples R China; [Jin, Tai] Zhejiang Univ, Sch Aeronaut &amp; Astronaut, Hangzhou 310027, Peoples R China</t>
  </si>
  <si>
    <t>Zhejiang University; Harbin Institute of Technology; Zhejiang University; Zhejiang University</t>
  </si>
  <si>
    <t>Luo, K (corresponding author), Zhejiang Univ, State Key Lab Clean Energy Utilizat, Hangzhou 310027, Peoples R China.;Shao, CX (corresponding author), Harbin Inst Technol, Ctr Turbulence Control, Shenzhen 518055, Peoples R China.</t>
  </si>
  <si>
    <t>shaochangxiao@hit.edu.cn; zjulk@zju.edu.cn</t>
  </si>
  <si>
    <t>; Luo, Kun/A-8039-2012</t>
  </si>
  <si>
    <t>Wang, Yicun/0000-0001-7554-5919; Shao, Changxiao/0000-0002-1356-2796; Luo, Kun/0000-0003-3644-9400</t>
  </si>
  <si>
    <t>National Natural Science Foundation of China [51925603, 52236002, 51906213, 52276151]; Talent Recruitment Project of Guandong [2021QN020231]; Guangdong Basic and Applied Basic Research Foundation [2023A1515012990]</t>
  </si>
  <si>
    <t>National Natural Science Foundation of China(National Natural Science Foundation of China (NSFC)); Talent Recruitment Project of Guandong; Guangdong Basic and Applied Basic Research Foundation</t>
  </si>
  <si>
    <t>The authors are grateful for the support from the National Natural Science Foundation of China (Grant Nos: 51925603, 52236002, 51906213, and 52276151) . Changxiao Shao acknowledges the support by the Talent Recruitment Project of Guandong (2021QN020231) and the Guangdong Basic and Applied Basic Research Foundation (2023A1515012990) .</t>
  </si>
  <si>
    <t>10.1016/j.energy.2023.128608</t>
  </si>
  <si>
    <t>Q7KN2</t>
  </si>
  <si>
    <t>WOS:001059276800001</t>
  </si>
  <si>
    <t>Xiao, S; Wu, CY</t>
  </si>
  <si>
    <t>Xiao, Shan; Wu, Chunyi</t>
  </si>
  <si>
    <t>Explore deep reinforcement learning for efficient task processing based on federated optimization in big data</t>
  </si>
  <si>
    <t>Big data; Consumer electronics; Deep reinforcement learning; Federated optimization; Virtual network embedding</t>
  </si>
  <si>
    <t>In recent years, along with the extensive application of consumer electronics, the task execution with cloud computing for big data has become one of the research focuses. Nevertheless, the traditional theories and algorithms are still employed by existing research work to explore the feasible solutions, which takes a beating from low generalization performance, system load imbalance, more response delay, etc. To solve the matter, a task execution method called DROP (Deep Reinforcement network aided Optimization method aiming at task Processing) has been put forward, which is capable of completing task request allocation through virtual network embedding. The prominence of this method is explained by its effect in reducing load balancing degree, minimizing bandwidth resource overhead, and preserving electric energy as well as meeting customer demands. It makes use of Deep Deterministic Policy Gradient (DDPG) instead of depending on tons of iterations for better path selection schemes in previous methods, through continuous environment interaction and trial-anderror evaluation to get better strategy selection for virtual link embedding. To realize the virtual node embedding in the federated optimization based system architecture, the intentional deep feature learning network is applied. Compared with the cutting edge approaches, the performance benefits of DROP can be verified by the experimental results in terms of bringing down the extra cost on resources and energy of the substrate network during the task execution for big data.&amp; COPY; 2023 Elsevier B.V. All rights reserved.</t>
  </si>
  <si>
    <t>[Xiao, Shan; Wu, Chunyi] Chongqing Coll Elect Engn, Big Data &amp; Optimizat Res Inst, Chongqing 401331, Peoples R China</t>
  </si>
  <si>
    <t>Chongqing College of Electronic Engineering</t>
  </si>
  <si>
    <t>Wu, CY (corresponding author), Chongqing Coll Elect Engn, Big Data &amp; Optimizat Res Inst, Chongqing 401331, Peoples R China.</t>
  </si>
  <si>
    <t>frodoxiao@163.com; wucy1851998@163.com</t>
  </si>
  <si>
    <t>Science and Technology Research Program of Chongqing Municipal Education Commission [KJQN202103108, KJQN20220 3126, CSTB2022NSCQ-MSX1421]; General Project of Chongqing Natural Science Foundation [CXQT21031]; Chongqing University Innovation Research Group Project; [KJQN201903101]</t>
  </si>
  <si>
    <t>Science and Technology Research Program of Chongqing Municipal Education Commission; General Project of Chongqing Natural Science Foundation; Chongqing University Innovation Research Group Project;</t>
  </si>
  <si>
    <t>This work is supported by the Science and Technology Research Program of Chongqing Municipal Education Commission (Grant Nos. KJQN201903101, KJQN202103108 and KJQN20220 3126) , the General Project of Chongqing Natural Science Foundation (CSTB2022NSCQ-MSX1421) , and the Chongqing University Innovation Research Group Project (CXQT21031) .</t>
  </si>
  <si>
    <t>10.1016/j.future.2023.06.027</t>
  </si>
  <si>
    <t>Q3GX0</t>
  </si>
  <si>
    <t>WOS:001056442300001</t>
  </si>
  <si>
    <t>Xu, J; Zhang, GJ; Wu, CY; Huang, Y; Rong, YM</t>
  </si>
  <si>
    <t>Xu, Jun; Zhang, Guojun; Wu, Congyi; Huang, Yu; Rong, Youmin</t>
  </si>
  <si>
    <t>Tuning the optical properties of polydimethylsiloxane films and fabricating elastic volume Bragg diffraction gratings by picosecond ultraviolet Laser-induced photochemical reactions</t>
  </si>
  <si>
    <t>Picosecond ultraviolet laser; Polydimethylsiloxane films; Photochemical reactions; Optical properties; Elastic volume Bragg diffraction gratings</t>
  </si>
  <si>
    <t>PDMS; NANOPARTICLES; COPPER; OXIDE; SURFACE</t>
  </si>
  <si>
    <t>Polydimethylsiloxane (PDMS) is a significant polymer that has attracted great attention for its wide applications and unique physical/chemical properties. Furthermore, flexible PDMS-based optical devices are broadly used in many fundamental applications. However, the current methods of tuning the optical properties of polymers and fabricating polymer-based optical devices still have some issues. Therefore, it is essential to develop a simple and effective method for tuning the optical properties of polymers and fabricating polymer-based optical devices, especially for the highly transparent PDMS. Here, a feasible method of tuning the optical properties of PDMS films and fabricating elastic volume Bragg diffraction gratings (VBDGs) by picosecond ultraviolet (ps-UV) laserinduced photochemical reactions was proposed. Firstly, polymeric materials' swelling and penetration behavior was utilized to introduce copper ions Cu(II) and photoinitiator benzophenone (BP) into the commercially available PDMS films. Subsequently, under the ps-UV laser irradiation (355 nm), the laser-induced photochemical reactions occurred between Cu(II), BP, and PDMS polymer chains, resulting in the formation of copper oxides (CuO/Cu2O) within the PDMS matrix. As a result, the optical properties (absorption, transmissivity, and refractivity) of the PDMS films changed without any structural damage or surface corrugation. In a wide range of wavelengths (200-800 nm), the absorption and refractive index of the PDMS films were enhanced while the transmittance decreased. The PDMS films with the desired optical properties (refractive index n = 2.25-2.68) could be obtained by controlling solution concentrations and laser treating parameters. With this method, the elastic VBDG (grating period: 20 &amp; mu;m) was fabricated, which showed good flexibility and the ability to be tuned by external stress (the strain of 0%-60%).</t>
  </si>
  <si>
    <t>[Xu, Jun; Zhang, Guojun; Wu, Congyi; Huang, Yu; Rong, Youmin] Huazhong Univ Sci &amp; Technol HUST, Sch Mech Sci &amp; Engn, Wuhan 430074, Peoples R China; [Xu, Jun; Zhang, Guojun; Wu, Congyi; Huang, Yu; Rong, Youmin] Huazhong Univ Sci &amp; Technol HUST, State Key Lab Digital Mfg Equipment &amp; Technol, Wuhan 430074, Peoples R China; [Rong, Youmin] 1037 Luoyu Rd, Wuhan, Hubei, Peoples R China</t>
  </si>
  <si>
    <t>Huazhong University of Science &amp; Technology; Huazhong University of Science &amp; Technology</t>
  </si>
  <si>
    <t>Rong, YM (corresponding author), 1037 Luoyu Rd, Wuhan, Hubei, Peoples R China.</t>
  </si>
  <si>
    <t>rym@hust.edu.cn</t>
  </si>
  <si>
    <t>Ministry of Industry and Information Technology of China [TC200H02H]; Department of Science and Technology of Hubei Province, China [2020BAB051]; Wuhan Science and Technology Bureau, China [201903070311520]; Department of Science and Technology of Guangdong Province, China [1914050006248]</t>
  </si>
  <si>
    <t>Ministry of Industry and Information Technology of China; Department of Science and Technology of Hubei Province, China; Wuhan Science and Technology Bureau, China; Department of Science and Technology of Guangdong Province, China</t>
  </si>
  <si>
    <t>This work was supported by the Ministry of Industry and Information Technology of China (Grant No. TC200H02H) , Department of Science and Technology of Hubei Province, China (Grant No. 2020BAB051) , Wuhan Science and Technology Bureau, China (Grant No. 201903070311520) , and Department of Science and Technology of Guangdong Province, China (Grant No. 1914050006248) .</t>
  </si>
  <si>
    <t>10.1016/j.optlastec.2023.109820</t>
  </si>
  <si>
    <t>O3PH3</t>
  </si>
  <si>
    <t>WOS:001042965200001</t>
  </si>
  <si>
    <t>Xu, TZ; Lin, XW; Zhang, XL; Fu, Y; Luo, H; Luo, C; Luo, ZD; Lei, L; Jia, MA</t>
  </si>
  <si>
    <t>Xu, Tengzhi; Lin, Xingwei; Zhang, Xiaolian; Fu, Yong; Luo, Hao; Luo, Chun; Luo, Zhengduo; Lei, Lei; Jia, Meng-ao</t>
  </si>
  <si>
    <t>Triplex visual detection of tobacco potyviruses using reverse transcription recombinase polymerase amplification assay combined with lateral flow dipstick</t>
  </si>
  <si>
    <t>CROP PROTECTION</t>
  </si>
  <si>
    <t>Tobacco viral disease; Triplex detection; Recombinase polymerase amplification; Lateral flow dipstick; Potyviruses</t>
  </si>
  <si>
    <t>VIRUSES</t>
  </si>
  <si>
    <t>Currently, several analytical methods have been developed for identifying tobacco viral species. However, conventional methods are based on labor-intensive, time-consuming, and instrument-required approaches. A novel, rapid and visual method based on the combination of reverse transcription recombinase polymerase amplification assay (RT-RPA) and multiplex lateral flow dipstick (LFD) was established specifically for the rapid on-site detection of three tobacco viruses and evaluated. The biosensor used coat protein (CP) genes of potyviruses potato Y virus, chilli veinal mottle virus, and tobacco vein banding mosaic virus as detection markers. A triplex RT-RPA reaction for both targets was constructed and three chemical labels of the amplification products were carefully tested for effective and accurate visualization on the strip. This method demonstrated reasonable specificity and achieved a sensitivity of 103 copies per reaction. Validation with clinical samples showed results consistent with a real-time polymerase chain reaction. The detection process was simple, with little dependence on laboratory settings, and rapid, with a 30-min reaction at 39 degrees C and visualization on the strip within 5 min. This newly developed triplex RT-RPA-LFD assay was sensitive, specific, and suitable for the on-site detection of three tobacco viruses simultaneously.</t>
  </si>
  <si>
    <t>[Xu, Tengzhi; Lin, Xingwei; Fu, Yong; Luo, Hao; Luo, Chun; Luo, Zhengduo] Guizhou Univ, Inst Crop Protect, Coll Agr, Guiyang 550025, Peoples R China; [Lei, Lei] Guizhou Acad Agr Sci, Guizhou Rapeseed Inst, Guiyang 550008, Peoples R China; [Zhang, Xiaolian; Jia, Meng-ao] Guizhou Acad Tobacco Sci, Guiyang 550001, Guizhou, Peoples R China</t>
  </si>
  <si>
    <t>Guizhou University; Guizhou Academy of Agricultural Sciences; China National Tobacco Corporation</t>
  </si>
  <si>
    <t>Jia, MA (corresponding author), Guizhou Acad Tobacco Sci, Guiyang 550001, Guizhou, Peoples R China.</t>
  </si>
  <si>
    <t>jiamengao@126.com</t>
  </si>
  <si>
    <t>National College Students' innovation and entrepreneurship training program [[2022] 035]; Science and Technology Program of Guizhou Tobacco Company [2020XM04, 2022XM08]; National Natural Science Foundation of China [32260657]; Guizhou Provincial Science and Technology Foundation [QKHJC-ZK [2022] general 123]; Foundation of Guizhou Educational Committee [qianjiaoji [2022] 113]; Science and technology project of Guizhou Academy of Tobacco Science [GZYKY2021-02]</t>
  </si>
  <si>
    <t>National College Students' innovation and entrepreneurship training program; Science and Technology Program of Guizhou Tobacco Company; National Natural Science Foundation of China(National Natural Science Foundation of China (NSFC)); Guizhou Provincial Science and Technology Foundation; Foundation of Guizhou Educational Committee; Science and technology project of Guizhou Academy of Tobacco Science</t>
  </si>
  <si>
    <t>This research was supported by the projects National College Students' innovation and entrepreneurship training program ( [2022] 035) , Science and Technology Program of Guizhou Tobacco Company (2020XM04, 2022XM08) , National Natural Science Foundation of China (32260657) , Guizhou Provincial Science and Technology Foundation (QKHJC-ZK [2022] general 123) , Foundation of Guizhou Educational Committee (qianjiaoji [2022] 113) , and Science and technology project of Guizhou Academy of Tobacco Science (GZYKY2021-02) .</t>
  </si>
  <si>
    <t>0261-2194</t>
  </si>
  <si>
    <t>1873-6904</t>
  </si>
  <si>
    <t>CROP PROT</t>
  </si>
  <si>
    <t>Crop Prot.</t>
  </si>
  <si>
    <t>10.1016/j.cropro.2023.106397</t>
  </si>
  <si>
    <t>Agronomy</t>
  </si>
  <si>
    <t>R7AD9</t>
  </si>
  <si>
    <t>WOS:001065835000001</t>
  </si>
  <si>
    <t>Yamashita, R</t>
  </si>
  <si>
    <t>Yamashita, Ryusei</t>
  </si>
  <si>
    <t>A remark on the reconstruction formula of the support function for the magnetic Schrodinger operator</t>
  </si>
  <si>
    <t>Inverse boundary value problem; Enclosure method; Magnetic Schrodinger operator</t>
  </si>
  <si>
    <t>In this paper, we improve the result in [6] for the Robin case in an impenetrable obstacle case and also give a reconstruction formula of the support function of the jump of a perturbed potential in a penetrable obstacle case. We use the enclosure method proposed by Ikehata [3]. Recently in [5], Ikehata established the new estimates of the stationary Schrodinger equation for an impenetrable obstacle and a penetrable obstacle embedded in an absorbing medium. So, we extend this estimate for the magnetic Schrodinger operator under the Robin condition on the boundary D in the two and three dimensional case in an impenetrable case. In addition, we also show a reconstruction formula of the support function for the magnetic Schrodinger operator in a penetrable case. &amp; COPY; 2023 Elsevier Inc. All rights reserved.</t>
  </si>
  <si>
    <t>[Yamashita, Ryusei] Tokyo Metropolitan Univ, Dept Math Sci, Minami Ohsawa 1-1, Hachioji, Tokyo 1920397, Japan</t>
  </si>
  <si>
    <t>Tokyo Metropolitan University</t>
  </si>
  <si>
    <t>Yamashita, R (corresponding author), Tokyo Metropolitan Univ, Dept Math Sci, Minami Ohsawa 1-1, Hachioji, Tokyo 1920397, Japan.</t>
  </si>
  <si>
    <t>yamashita@uitec.ac.jp</t>
  </si>
  <si>
    <t>10.1016/j.jmaa.2023.127598</t>
  </si>
  <si>
    <t>O9PO5</t>
  </si>
  <si>
    <t>WOS:001047067700001</t>
  </si>
  <si>
    <t>Yan, BW; Shen, RF; Li, K; Wang, ZG; Yang, QS; Zhou, XH; Zhang, L</t>
  </si>
  <si>
    <t>Yan, Bowen; Shen, Ruifang; Li, Ke; Wang, Zhenguo; Yang, Qingshan; Zhou, Xuhong; Zhang, Le</t>
  </si>
  <si>
    <t>Spatio-temporal correlation for simultaneous ultra-short-term wind speed prediction at multiple locations</t>
  </si>
  <si>
    <t>Wind speed prediction; Multi-locations; Spatio-temporal correlation; Convolutional long-short memory neural network; Residual network</t>
  </si>
  <si>
    <t>GAUSSIAN PROCESS REGRESSION; RESOURCE ASSESSMENT; NEURAL-NETWORK; DECOMPOSITION; TURBULENCE; MODEL</t>
  </si>
  <si>
    <t>Wind, as a fluid, has continuity in both space and time. Coupling spatial and temporal information to build prediction models can improve wind speed prediction accuracy. This paper proposes a method that predicts wind speed at multiple locations using both spatial and temporal data. Three deep learning models are introduced: Convolutional Residual Spatial-Temporal Long Short-Term Memory neural network (CoReSTL), Convolutional Spatial-Temporal-3D neural network (CoST-3), and Convolutional Spatial-Temporal Long Short-Term Memory neural network (CoST-L). These models combine Convolutional Long Short-Term Memory (ConvLSTM), Residual Network (ResNet), and 1 x 1 3D convolution to extract spatial and temporal correlations between multi-site wind speeds. The spatio-temporal prediction of wind fields under two terrains was carried out to screen out neural network models with higher accuracy. The results show that CoReSTL, CoST-3, and CoST-L all achieved better prediction results. However, the performance of the CoReSTL model was better than that of CoST-3 and CoST-L, with stronger applicability in complex real terrain.</t>
  </si>
  <si>
    <t>[Yan, Bowen; Shen, Ruifang; Li, Ke; Yang, Qingshan; Zhou, Xuhong] Chongqing Univ, Sch Civil Engn, Chongqing Key Lab Wind Engn &amp; Wind Resource Utiliz, Chongqing 400045, Peoples R China; [Wang, Zhenguo] Changsha Vanke Enterprise Co Ltd, Changsha 410016, Peoples R China; [Zhang, Le] Univ Elect Sci &amp; Technol, Sch Informat &amp; Commun Engn, Chengdu 611731, Peoples R China</t>
  </si>
  <si>
    <t>Chongqing University; University of Electronic Science &amp; Technology of China</t>
  </si>
  <si>
    <t>Li, K (corresponding author), Chongqing Univ, Sch Civil Engn, Chongqing Key Lab Wind Engn &amp; Wind Resource Utiliz, Chongqing 400045, Peoples R China.</t>
  </si>
  <si>
    <t>keli-bridge@cqu.edu.cn</t>
  </si>
  <si>
    <t>Li, Ke/0000-0002-6888-7264</t>
  </si>
  <si>
    <t>National Natural Science Foundation of China [52278483, 52221002]; 111 Project [B18062]; Natural Science Foundation of Chongqing, China [cstc2022ycjh-bgzxm0050, cstc2020jcyj-msxmX0773]; Chongqing Technology Innovation and Application Development Project [cstc2021jscx-jbgsX0003]; Fundamental Research Funds for the Central Universities [2022CDJQY-009, 2020CDJ-LHZZ-018]; Chongqing Full-Time Postdoctoral Exit and Stay in Chongqing Project [2020LY07]</t>
  </si>
  <si>
    <t>National Natural Science Foundation of China(National Natural Science Foundation of China (NSFC)); 111 Project(Ministry of Education, China - 111 Project); Natural Science Foundation of Chongqing, China(Natural Science Foundation of Chongqing); Chongqing Technology Innovation and Application Development Project; Fundamental Research Funds for the Central Universities(Fundamental Research Funds for the Central Universities); Chongqing Full-Time Postdoctoral Exit and Stay in Chongqing Project</t>
  </si>
  <si>
    <t>This work was supported by the National Natural Science Foundation of China (52278483, 52221002), the 111 Project (B18062), the Natural Science Foundation of Chongqing, China (cstc2022ycjh-bgzxm0050, cstc2020jcyj-msxmX0773), Chongqing Technology Innovation and Application Development Project (cstc2021jscx-jbgsX0003), the Fundamental Research Funds for the Central Universities (2022CDJQY-009, 2020CDJ-LHZZ-018), and the Chongqing Full-Time Postdoctoral Exit and Stay in Chongqing Project (2020LY07).</t>
  </si>
  <si>
    <t>10.1016/j.energy.2023.128418</t>
  </si>
  <si>
    <t>P7IO4</t>
  </si>
  <si>
    <t>WOS:001052376000001</t>
  </si>
  <si>
    <t>Yan, JK; Zhai, RY; Yan, TH; Pu, WQ; Luo, JJ; Liu, HW</t>
  </si>
  <si>
    <t>Yan, Junkun; Zhai, Ruiyang; Yan, Tihua; Pu, Wenqiang; Luo, Jiajin; Liu, Hongwei</t>
  </si>
  <si>
    <t>System error estimation for sensor network with integrated sensing and communication application</t>
  </si>
  <si>
    <t>SIGNAL PROCESSING</t>
  </si>
  <si>
    <t>Sensor registration; Cooperative targets; Inexact block coordinate descent algorithm; Proximal method</t>
  </si>
  <si>
    <t>TARGET TRACKING; RESOURCE-ALLOCATION; REGISTRATION; ALGORITHM; FUSION</t>
  </si>
  <si>
    <t>The integrated sensing and communication base station can perform both communication and sensing tasks simultaneously. The key premise of accurate localization and tracking of targets is sensor registration process. If system errors of multi-sensor system are not corrected properly, it can lead to significant sensing errors and reduce the overall system performance. In this paper, we propose a system error estimation method for a 3-dimensional asynchronous base station network to achieve satisfactory localization and tracking performance. Specifically, by making use of the priori information of the cooperative targets, we propose to minimize the sum of squares of the position mismatch errors of the targets, this leads to a nonlinear error estimation model for the system errors. To handle the high nonlinearity and ensure fast convergence of online registration, an efficient inexact block coordinate descent optimization algorithm incorporating the proximal method is proposed. The algorithm divides the estimation problem into a linear least square subproblem and several quadratic constrained quadratic program subproblems, enabling different kinds of system errors to be alternatively updated. Finally, the effectiveness and feasibility of the proposed estimation algorithm are demonstrated through numerical simulation.</t>
  </si>
  <si>
    <t>[Yan, Junkun; Zhai, Ruiyang; Liu, Hongwei] Xidian Univ, Natl Key Lab Radar Signal Proc, Xian 710071, Peoples R China; [Yan, Tihua] Xidian Univ, Guangzhou Res Inst, Xian 710071, Peoples R China; [Pu, Wenqiang] Shenzhen Res Inst Big Data, Shenzhen 518000, Peoples R China; [Luo, Jiajin] Huawei Technol Co Ltd, Shenzhen, Peoples R China</t>
  </si>
  <si>
    <t>Xidian University; Xidian University; Shenzhen Research Institute of Big Data; Huawei Technologies</t>
  </si>
  <si>
    <t>Yan, JK (corresponding author), Xidian Univ, Natl Key Lab Radar Signal Proc, Xian 710071, Peoples R China.</t>
  </si>
  <si>
    <t>jkyan@xidian.edu.cn</t>
  </si>
  <si>
    <t>National Natural Science Foundation of China [62101350, 62192714, B18039]; Fund for Foreign Scholars in University Research and Teaching Programs through 111 Project [2023KJXX-015]; Innovation Capability Support Program of Shaanxi [201920081002]; aeronautical science foundation of China [20199236229]; Fundamental Research Funds for the Central Universities; [62071345]</t>
  </si>
  <si>
    <t>National Natural Science Foundation of China(National Natural Science Foundation of China (NSFC)); Fund for Foreign Scholars in University Research and Teaching Programs through 111 Project; Innovation Capability Support Program of Shaanxi; aeronautical science foundation of China; Fundamental Research Funds for the Central Universities(Fundamental Research Funds for the Central Universities);</t>
  </si>
  <si>
    <t>This work was supported in part by the National Natural Science Foundation of China under grants 62071345 and 62101350 and 62192714, in part by the Fund for Foreign Scholars in University Research and Teaching Programs through 111 Project under grant B18039, in part by the Innovation Capability Support Program of Shaanxi under grant 2023KJXX-015, in part by the aeronautical science foundation of China under grant 201920081002, and in part by the Fundamental Research Funds for the Central Universities under grant 20199236229.</t>
  </si>
  <si>
    <t>0165-1684</t>
  </si>
  <si>
    <t>1872-7557</t>
  </si>
  <si>
    <t>SIGNAL PROCESS</t>
  </si>
  <si>
    <t>Signal Process.</t>
  </si>
  <si>
    <t>10.1016/j.sigpro.2023.109200</t>
  </si>
  <si>
    <t>Engineering, Electrical &amp; Electronic</t>
  </si>
  <si>
    <t>P8YS3</t>
  </si>
  <si>
    <t>WOS:001053481700001</t>
  </si>
  <si>
    <t>Yang, HY; Ni, Y; Zhang, XY; Li, JL; Chen, HM; Liu, C</t>
  </si>
  <si>
    <t>Yang, Heyu; Ni, Yang; Zhang, Xinyi; Li, Jingling; Chen, Haimei; Liu, Chang</t>
  </si>
  <si>
    <t>The mitochondrial genomes of Panax notoginseng reveal recombination mediated by repeats associated with DNA replication</t>
  </si>
  <si>
    <t>Panax notoginseng; Mitochondrial genome; Recombination</t>
  </si>
  <si>
    <t>MULTIPLE SEQUENCE ALIGNMENT; PHYLOGENETIC ANALYSIS; EVOLUTION; GENE; ARALIACEAE; PROGRAM; CHOICE; MODEL; TOOL</t>
  </si>
  <si>
    <t>Panax notoginseng is one of the most valuable medicinal species. However, its mitochondrial genome has not been reported yet. We aimed to determine the mitogenome sequence of P. notoginseng. We de novo assembled the mitogenome with Illumina short reads and Nanopore long reads. The mitochondrial genome of P. notoginseng has a multipartite structure consisting of interconversion between a master circle and numerous subgenomic circles through recombinations mediated by 64 pairs of repetitive sequences. Among the multipartite structure, seven subgenomic circles were best supported. Six of the seven subgenomic circles shared an 852 bp conserved fragment. The complete mitogenome of P. notoginseng was 662,479 bp long including 34 mitochondrial proteincoding genes (PCGs), three rRNA, and 19 tRNA genes. We identified 166 microsatellite repeats and 26 longtandem repeats. Phylogenetic analysis resolved a tree that was mostly congruent with the phylogeny of Apiales species described in the APG IV system and the tree built with the chloroplast genome sequences. A total of 12 mitochondrial plastid DNA fragments were identified. Lastly, we predicted 591C-to-U RNA editing sites in the coding regions of mitochondrial PCGs. The mitochondrial genome will lay the foundation for understanding the evolution of Panax species.</t>
  </si>
  <si>
    <t>[Yang, Heyu; Ni, Yang; Zhang, Xinyi; Li, Jingling; Chen, Haimei; Liu, Chang] Chinese Acad Med Sci &amp; Peking Union Med Coll, Inst Med Plant Dev, Beijing 100193, Peoples R China</t>
  </si>
  <si>
    <t>Chinese Academy of Medical Sciences - Peking Union Medical College; Institute of Medicinal Plant Development - CAMS; Peking Union Medical College</t>
  </si>
  <si>
    <t>Chen, HM; Liu, C (corresponding author), Chinese Acad Med Sci &amp; Peking Union Med Coll, Inst Med Plant Dev, Beijing 100193, Peoples R China.</t>
  </si>
  <si>
    <t>hmchen@implad.ac.cn; cliu@implad.ac.cn</t>
  </si>
  <si>
    <t>liu, chang/0000-0003-3879-7302</t>
  </si>
  <si>
    <t>National Natural Science Foundation of China; CAMS Innovation Fund for Medical Sciences (CIFMS) [81872966, 2021-1-I2M-022]; National Science amp; Technology Fundamental Resources Investigation Program of China [2021-I2M-1-071]; National Mega-Project of China for Innovative Drugs [2018FY100705]; [2019ZX09735-002]</t>
  </si>
  <si>
    <t>National Natural Science Foundation of China(National Natural Science Foundation of China (NSFC)); CAMS Innovation Fund for Medical Sciences (CIFMS); National Science amp; Technology Fundamental Resources Investigation Program of China; National Mega-Project of China for Innovative Drugs;</t>
  </si>
  <si>
    <t>The study was supported by the National Natural Science Foundation of China [81872966], CAMS Innovation Fund for Medical Sciences (CIFMS) (2021-1-I2M-022 and 2021-I2M-1-071), the National Science &amp; amp; Technology Fundamental Resources Investigation Program of China [2018FY100705], and National Mega-Project of China for Innovative Drugs [2019ZX09735-002]</t>
  </si>
  <si>
    <t>10.1016/j.ijbiomac.2023.126359</t>
  </si>
  <si>
    <t>S5DZ9</t>
  </si>
  <si>
    <t>WOS:001071384800001</t>
  </si>
  <si>
    <t>Yang, ZC; Han, LH; Li, W</t>
  </si>
  <si>
    <t>Yang, Zhi-Cheng; Han, Lin -Hai; Li, Wei</t>
  </si>
  <si>
    <t>Seismic performance of concrete-encased hexagonal CFST column base: Design method</t>
  </si>
  <si>
    <t>Hexagonal concrete -filled steel tube (CFST); Column base; Combined compression and biaxial bending; Parametric analysis; Design method</t>
  </si>
  <si>
    <t>This paper presents the parametric analysis and design method for the concrete-encased hexagonal concretefilled steel tubular (CFST) column base under combined compression and biaxial bending. The corresponding experimental and numerical investigations on the seismic performance of the concrete-encased hexagonal CFST column base under combined compression and biaxial bending have been presented in the companion paper (Yang et al., 2023). The finite element model established in the companion paper is used to study the influence of key parameters on the load bearing capacity and the distribution of internal force. These parameters include those of the CFST column, the outer RC, the plate-anchor component, the axial load ratio and shear connectors. A total of six failure modes are identified, including three types of flexural failure and three types of shear failure. The ultimate capacity and ductility of the column base with flexural failure at the bottom or top of the plate are higher than that of other four failure modes, which are determined as the reasonable failure modes for practical application in the design and analysis of concrete-encased column bases. A novel design approach for the concrete-encased CFST column base is introduced. A simplified method is proposed to predict the flexural resistance of the concrete-encased CFST column base, following up with the shear strength calculation of outer RC to determine the stirrup arrangement. Some constructional recommendations are also proposed.</t>
  </si>
  <si>
    <t>[Yang, Zhi-Cheng; Han, Lin -Hai; Li, Wei] Tsinghua Univ, Dept Civil Engn, Beijing 100084, Peoples R China</t>
  </si>
  <si>
    <t>Han, LH (corresponding author), Tsinghua Univ, Dept Civil Engn, Beijing 100084, Peoples R China.</t>
  </si>
  <si>
    <t>lhhan@tsinghua.edu.cn</t>
  </si>
  <si>
    <t>National Natural Science Founda- tion of China [51678341, 52121005]</t>
  </si>
  <si>
    <t>National Natural Science Founda- tion of China(National Natural Science Foundation of China (NSFC))</t>
  </si>
  <si>
    <t>The research is supported by the National Natural Science Founda- tion of China (Projects 51678341 and 52121005) .</t>
  </si>
  <si>
    <t>10.1016/j.jcsr.2023.108133</t>
  </si>
  <si>
    <t>P3GV1</t>
  </si>
  <si>
    <t>WOS:001049567600001</t>
  </si>
  <si>
    <t>Zeng, C; Liu, ML; Zhang, WH; Liu, LM; Liu, L; Gu, HY</t>
  </si>
  <si>
    <t>Zeng, Chen; Liu, Maolong; Zhang, Weihao; Liu, Limin; Liu, Li; Gu, Hanyang</t>
  </si>
  <si>
    <t>Development and validation of a one-dimensional solidification model-Part II: Model validation for molten lead-bismuth</t>
  </si>
  <si>
    <t>LBE solidification experiment; 1D solidification simulation; ASYST-SF</t>
  </si>
  <si>
    <t>AUXILIARY COOLING SYSTEM; CONCEPTUAL DESIGN; FAST-REACTOR; CONVECTION; SAFETY</t>
  </si>
  <si>
    <t>The lead-bismuth eutectic (LBE) cooled fast reactor (LFR) has shown promising applications due to its excellent neutron economy and thermal-hydraulic characteristics. Nevertheless, the high-freezing point of LBE arises a risk of coolant solidification, which is identified as a design basis accident for LFRs. Accurate one-dimensional (1D) solidification models are critical for analyzing the coolant solidification behavior. However, the development and evaluation of solidification models are hindered by the lack of experimental data. In this study, a series of molten LBE horizontal penetration solidification experiments were designed and performed with different experimental conditions. The final penetration distances were measured, and the experimental conditions were used as boundary and initial conditions of 1D simulations based on the ASYST-SF code. The simulation results showed the relative error of the final penetration distance is within 12%. This study provides a series of LBE solidification experimental data and demonstrates the reliability of the ASYST-SF code.</t>
  </si>
  <si>
    <t>[Zeng, Chen; Liu, Maolong; Zhang, Weihao; Liu, Limin; Liu, Li; Gu, Hanyang] Shanghai Jiao Tong Univ, Sch Nucl Sci &amp; Engn, Shanghai 200240, Peoples R China</t>
  </si>
  <si>
    <t>Shanghai Jiao Tong University</t>
  </si>
  <si>
    <t>Liu, ML (corresponding author), Shanghai Jiao Tong Univ, Sch Nucl Sci &amp; Engn, Shanghai 200240, Peoples R China.</t>
  </si>
  <si>
    <t>maolongliu@sjtu.edu.cn</t>
  </si>
  <si>
    <t>Liu, Maolong/H-6238-2018</t>
  </si>
  <si>
    <t>Liu, Maolong/0000-0002-1927-6037</t>
  </si>
  <si>
    <t>10.1016/j.anucene.2023.110058</t>
  </si>
  <si>
    <t>P5UX9</t>
  </si>
  <si>
    <t>WOS:001051337100001</t>
  </si>
  <si>
    <t>Zhan, FC; Zhou, XR; Jiang, Y; Li, J; Li, B</t>
  </si>
  <si>
    <t>Zhan, Fuchao; Zhou, Xiaorui; Jiang, Ying; Li, Jing; Li, Bin</t>
  </si>
  <si>
    <t>From an oil with antifoaming properties to stabilization for foam: A novel approach for establishing a long-term stable foam system</t>
  </si>
  <si>
    <t>Capillary foam; Whey protein isolate particle; Coconut oil; Foam stability; Synergistic stabilization</t>
  </si>
  <si>
    <t>PICKERING EMULSIONS; AQUEOUS FOAMS; PARTICLES; STABILITY; ADSORPTION; LIQUID; SURFACTANTS; INTERFACES; BACTERIA; PROTEIN</t>
  </si>
  <si>
    <t>Can a foam be synergistically stabilized by particles and oil? Sure it can. A new strategy for preparing capillary foam based on whey protein isolate particles (WPs) was designed by co-stabilization with coconut oil (CO) to improve foam stability. Unique aspect of the capillary foam presented here was the protein particle-facilitated diffusion of the minority oil around the bubble. The foamability and foam stability were evaluated based on size, &amp; zeta;-potential, and surface wettability of particles, as well as different oil phase concentrations. Foam stability was significantly improved in the presence of a minor amount of CO (1%, v/v). The size and hydrophobicity of the particles become important factors in determining the stability of the capillary foam. The oil/water contact angle (&amp; theta;o/w) of the particles was close to 90 degrees at pH 5.0, which makes it easier for particles to adsorb at the oil/ water interface compared to the air/water interface, thus facilitating the formation of the special structure of the capillary foam with high stability. The distribution of the oil phase around the bubble surface raised with the increase of oil phase mass fraction, although the stability decreases slightly. This strategy provides useful tips and achieves a fundamental breakthrough, which means that the new idea of capillary foam is promised to furnish a new solution to the challenge of food foam stability.</t>
  </si>
  <si>
    <t>[Zhan, Fuchao; Zhou, Xiaorui; Jiang, Ying; Li, Jing; Li, Bin] Huazhong Agr Univ, Coll Food Sci &amp; Technol, Wuhan 430070, Peoples R China; [Zhan, Fuchao; Zhou, Xiaorui; Jiang, Ying; Li, Jing; Li, Bin] Huazhong Agr Univ, Key Lab Environm Correlat Dietol, Minist Educ, Wuhan 430070, Peoples R China</t>
  </si>
  <si>
    <t>Huazhong Agricultural University; Huazhong Agricultural University</t>
  </si>
  <si>
    <t>Li, B (corresponding author), Huazhong Agr Univ, Coll Food Sci &amp; Technol, Wuhan 430070, Peoples R China.</t>
  </si>
  <si>
    <t>libinfood@mail.hzau.edu.cn</t>
  </si>
  <si>
    <t>National Natural Science Foundation of China [32202229]; China Postdoctoral Science Foundation [2021M701349]; Hubei Provincial Natural Science Foundation for Innovative Group [2019CFA011]</t>
  </si>
  <si>
    <t>National Natural Science Foundation of China(National Natural Science Foundation of China (NSFC)); China Postdoctoral Science Foundation(China Postdoctoral Science Foundation); Hubei Provincial Natural Science Foundation for Innovative Group</t>
  </si>
  <si>
    <t>This work is financially supported by the National Natural Science Foundation of China (Grant No. 32202229) , the China Postdoctoral Science Foundation (Grant No. 2021M701349) and the Hubei Provincial Natural Science Foundation for Innovative Group (Grant No. 2019CFA011) . We acknowledge Dr. Sven H. Behrens and Dr. J. Carson Meredith (Georgia Institute of Technology) for their helpful suggestions and comments on this manuscript.</t>
  </si>
  <si>
    <t>10.1016/j.foodhyd.2023.109086</t>
  </si>
  <si>
    <t>O8FY9</t>
  </si>
  <si>
    <t>WOS:001046123600001</t>
  </si>
  <si>
    <t>Zhang, AL; Yin, JF; Zhang, YM; Wang, RZ; Zhou, XB; Guo, H</t>
  </si>
  <si>
    <t>Zhang, Ailin; Yin, Jinfei; Zhang, Yuanming; Wang, Ruzhen; Zhou, Xiaobing; Guo, Hao</t>
  </si>
  <si>
    <t>Plants alter their aboveground and belowground biomass allocation and affect community-level resistance in response to snow cover change in Central Asia, Northwest China</t>
  </si>
  <si>
    <t>Snow cover; Plant diversity; Net primary productivity allocation; Resistance; Temperate desert</t>
  </si>
  <si>
    <t>RAIN-USE EFFICIENCY; ARCTIC TUNDRA; LONG-TERM; SPECIES RICHNESS; SUMMER DROUGHT; CARBON-DIOXIDE; SOIL FROST; PRECIPITATION; WINTER; ECOSYSTEM</t>
  </si>
  <si>
    <t>It is important to elucidate the changing distribution pattern of net primary productivity (NPP) to mechanistically understand the changes in aboveground and belowground ecosystem functions. In water-scarce desert environments, snow provides a crucial supply of water for plant development and the spread of herbaceous species. Yet uncertainty persists regarding how herbaceous plants' NPP allocation responds to variation in snow cover. The goal of this study was to investigate how variation in snow cover in a temperate desert influenced the NPP allocation dynamics of herbaceous species and their resistance to environmental change in terms aboveground and belowground productivity. In the Gurbantunggut Desert, wintertime snow cover depth was adjusted in plots by applying four treatments: snow removal (-S), ambient snow, double snow (+S), and triple snow (+2S). We examined their species richness, aboveground NPP (ANPP), belowground NPP (BNPP), and the resistance of ANPP and BNPP. We found that species diversity of the aboveground community increased significantly with increasing snow cover and decreased significantly Pielou evenness in plots. This resulted in greater ANPP with increasing snow cover; meanwhile, BNPP first increased and then decreased with increasing snow cover. However, this productivity in different soil layers responded differently to changed snow cover. In the 0-10 cm soil layer, productivity first rose and then declined, while it declined linearly in both the 10-20 cm and 20-30 cm soil layers, whereas in the 30-40 cm soil layer it showed an increasing trend. Belowground resistance would increase given that greater snow cover improved the BNPP in deeper soil and maintained the resource provisioning for plant growth, thus improving overall belowground stability. These results can serve as a promising research foundation for future work on how the functioning of desert ecosystems becomes altered due to changes in plant community expansion and, in particular, changes in snow cover driven by global climate change.</t>
  </si>
  <si>
    <t>[Zhang, Ailin; Yin, Jinfei; Zhang, Yuanming; Zhou, Xiaobing; Guo, Hao] Chinese Acad Sci, Xinjiang Inst Ecol &amp; Geog, State Key Lab Desert &amp; Oasis Ecol, Key Lab Ecol Safety &amp; Sustainable Dev Arid Lands, Urumqi 830011, Peoples R China; [Wang, Ruzhen] Hebei Univ, Sch Life Sci, Baoding 071002, Peoples R China</t>
  </si>
  <si>
    <t>Chinese Academy of Sciences; Xinjiang Institute of Ecology &amp; Geography, CAS; Hebei University</t>
  </si>
  <si>
    <t>Yin, JF; Zhang, YM (corresponding author), Chinese Acad Sci, Xinjiang Inst Ecol &amp; Geog, State Key Lab Desert &amp; Oasis Ecol, Key Lab Ecol Safety &amp; Sustainable Dev Arid Lands, Urumqi 830011, Peoples R China.</t>
  </si>
  <si>
    <t>yinjinfei@ms.xjb.ac.cn; zhangym@ms.xjb.ac.cn</t>
  </si>
  <si>
    <t>National Natural Science Foundation of China [32101314, U2003214]; China Postdoctoral Science Foundation [2022M713347]; Xinjiang Tianchi Doctoral Project [Y970000365]</t>
  </si>
  <si>
    <t>National Natural Science Foundation of China(National Natural Science Foundation of China (NSFC)); China Postdoctoral Science Foundation(China Postdoctoral Science Foundation); Xinjiang Tianchi Doctoral Project</t>
  </si>
  <si>
    <t>We also thank Yulin Zhang and Xin Liu, for their assistance with sample collecting in field and sample test in laboratory. This work was supported by National Natural Science Foundation of China (32101314, U2003214), China Postdoctoral Science Foundation (2022M713347) and Xinjiang Tianchi Doctoral Project (Y970000365).</t>
  </si>
  <si>
    <t>10.1016/j.scitotenv.2023.166059</t>
  </si>
  <si>
    <t>R3HR8</t>
  </si>
  <si>
    <t>WOS:001063301000001</t>
  </si>
  <si>
    <t>Zhang, LF; Hu, ZQ; Li, HR; She, HC; Wang, XL</t>
  </si>
  <si>
    <t>Zhang, Longfei; Hu, Zaiqiang; Li, Hongru; She, Haicheng; Wang, Xiaoliang</t>
  </si>
  <si>
    <t>Impact of water delivery pipeline leakage on collapsible loess foundations and treatment methods</t>
  </si>
  <si>
    <t>Water delivery pipeline; Collapsible loess; Laboratory test; Field test; Numerical analysis</t>
  </si>
  <si>
    <t>SENSITIVITY; BEHAVIOR; AREA</t>
  </si>
  <si>
    <t>The Yumenkou Eastward-Expansion Water Pumping Project is an important pipeline for water network construction in Shanxi Province, China. This pipeline is vital for the development of cities and agricultural lands along its path. However, the foundation of the water delivery pipeline is mostly located in collapsible loess strata, thereby affecting project safety. To investigate the feasibility of foundation treatment schemes for the water delivery pipeline, a numerical analysis model is proposed in this study based on the analyzes of the leakage of water pipelines and different foundation treatment schemes through laboratory tests, field tests, and numerical simulations. Results show that the deeper the loess layer is, the smaller the collapsible deformation is and the greater the initial collapse pressure is. Furthermore, the deeper the buried pipeline is, the greater the collapsible deformation is after water leakage. A 0.5 m-thick limestabilized soil cushion layer is the most economically reasonable solution among the simulated scenarios. The collapsible deformation caused by pipeline leakage can be divided into three stages: start-up, development, and stabilization. Addressing the leakage point during the start-up stage is crucial. The proposed numerical analysis model can provide an important basis for similar engineering designs.</t>
  </si>
  <si>
    <t>[Zhang, Longfei; Hu, Zaiqiang; Li, Hongru; Wang, Xiaoliang] Xian Univ Technol, Inst Geotech Engn, Xian 710048, Peoples R China; [She, Haicheng] Yangtze Univ, Sch Urban Construction, Jingzhou 434032, Peoples R China</t>
  </si>
  <si>
    <t>Xi'an University of Technology; Yangtze University</t>
  </si>
  <si>
    <t>Hu, ZQ (corresponding author), Xian Univ Technol, Inst Geotech Engn, Xian 710048, Peoples R China.</t>
  </si>
  <si>
    <t>huzq@xaut.edu.cn</t>
  </si>
  <si>
    <t>ZAHNG, Longfei/0009-0001-8800-1360</t>
  </si>
  <si>
    <t>National Natural Science Foundation of China [52274007]; Science and Tech-nology Innovation Project of Key Laboratory of Shaanxi Province China [2014SZS15-Z02]</t>
  </si>
  <si>
    <t>National Natural Science Foundation of China(National Natural Science Foundation of China (NSFC)); Science and Tech-nology Innovation Project of Key Laboratory of Shaanxi Province China</t>
  </si>
  <si>
    <t>This work was supported by the National Natural Science Foundation of China (Grant no. 52274007) and the Science and Tech-nology Innovation Project of Key Laboratory of Shaanxi Province China (Grant no. 2014SZS15-Z02) .</t>
  </si>
  <si>
    <t>e02341</t>
  </si>
  <si>
    <t>10.1016/j.cscm.2023.e02341</t>
  </si>
  <si>
    <t>P6IP6</t>
  </si>
  <si>
    <t>WOS:001051695900001</t>
  </si>
  <si>
    <t>Zhang, MJ; Lu, SY; Chen, YH; Wu, X; Zhao, ZX; Zhao, C</t>
  </si>
  <si>
    <t>Zhang, Minjiao; Lu, Suyue; Chen, Yihan; Wu, Xue; Zhao, Zexu; Zhao, Chao</t>
  </si>
  <si>
    <t>Strategies for synthesizing human milk lacto-N-fucopentaoses oligosaccharides</t>
  </si>
  <si>
    <t>Human milk oligosaccharides; Lacto; N -fucopentaoses; Synthesis; Immunization</t>
  </si>
  <si>
    <t>MULTIENZYME OPME SYNTHESIS; ALPHA-L-FUCOSIDASES; CHEMOENZYMATIC SYNTHESIS; NOROVIRUS INHIBITION; HELICOBACTER-PYLORI; THERMOTOGA-MARITIMA; ESCHERICHIA-COLI; BREAST-MILK; MACROPHAGES; MODULATION</t>
  </si>
  <si>
    <t>Lacto-N-fucopentaoses (LNFPs) of type I to V are representative components of human milk oligosaccharides (HMOs) and have garnered increasing attention due to their multi-functional activities. These activities include regulating intestinal flora, resisting pathogen adhesion, and promoting the development and repair of the nervous system. Due to the limited resource of HMOs, artificial synthesis of HMOs can provide an alternative pathway to circumvent this limitation. Currently, LNFPs can be produced using various methods, including biosynthesis, chemical synthesis, and enzymatic synthesis. Currently, emphasis is placed on the last two methods. Chemical synthesis-based methods typically involve strict reaction conditions, cumbersome steps, and low yields. On the other hand, enzymatic synthesis offers several advantages, including mild reaction conditions, high yield, and good selectivity. However, only a few reports have focused on in vivo fermentation as a means to produce LNFPs, despite its cost advantage. In vivo fermentation presents an opportunity to supply the key substrates for fucosyl transfer reactions, namely LNnT and GDP-Fuc, along with the required biosynthesis enzymes. Further exploration of this approach is warranted.This paper aims to review the synthesis methods of LNFPs, their functional activities, and emerging trends in their development. By evaluating the different synthesis approaches, this review seeks to contribute to the advancement of LNFPs production and utilization.</t>
  </si>
  <si>
    <t>[Zhao, Zexu; Zhao, Chao] Fujian Agr &amp; Forestry Univ, Coll Marine Sci, Fuzhou 350002, Peoples R China; [Zhang, Minjiao; Lu, Suyue; Wu, Xue; Zhao, Chao] Fujian Agr &amp; Forestry Univ, Coll Food Sci, Fuzhou 350002, Peoples R China; [Zhao, Chao] Fujian Agr &amp; Forestry Univ, Inst Oceanol, Key Lab Marine Biotechnol Fujian Prov, Fuzhou 350002, Peoples R China; [Chen, Yihan] Jiangnan Univ, State Key Lab Food Sci &amp; Resources, Wuxi 214122, Peoples R China; [Zhao, Chao] 15 Shangxiadian Rd, Fuzhou 350002, Peoples R China</t>
  </si>
  <si>
    <t>Fujian Agriculture &amp; Forestry University; Fujian Agriculture &amp; Forestry University; Fujian Agriculture &amp; Forestry University; Jiangnan University</t>
  </si>
  <si>
    <t>Zhao, C (corresponding author), 15 Shangxiadian Rd, Fuzhou 350002, Peoples R China.</t>
  </si>
  <si>
    <t>zhchao@live.cn</t>
  </si>
  <si>
    <t>Zhao, Chao/P-1847-2017</t>
  </si>
  <si>
    <t>Zhao, Chao/0000-0003-1096-632X</t>
  </si>
  <si>
    <t>Fujian Young Eagle Program' Youth Top Talent Program and Double First-Class Construction Plan; Fujian Young Eagle Program' Youth Top Talent Program of Fujian Agriculture and Forestry University; Double First-Class Construction Plan of Fujian Agriculture and Forestry University [KSYLX013]</t>
  </si>
  <si>
    <t>Fujian Young Eagle Program' Youth Top Talent Program and Double First-Class Construction Plan; Fujian Young Eagle Program' Youth Top Talent Program of Fujian Agriculture and Forestry University; Double First-Class Construction Plan of Fujian Agriculture and Forestry University</t>
  </si>
  <si>
    <t>The project was funded by Fujian Young Eagle Program' Youth Top Talent Program and Double First-Class Construction Plan (KSYLX013) of Fujian Agriculture and Forestry University.</t>
  </si>
  <si>
    <t>10.1016/j.jafr.2023.100724</t>
  </si>
  <si>
    <t>Q3KX1</t>
  </si>
  <si>
    <t>WOS:001056548300001</t>
  </si>
  <si>
    <t>Zhang, XH; Xie, WX; Liang, QQ; Jiang, X; Zhang, Z; Shi, WZ</t>
  </si>
  <si>
    <t>Zhang, Xuehua; Xie, Wanxin; Liang, Qianqian; Jiang, Xin; Zhang, Zhen; Shi, Wenzheng</t>
  </si>
  <si>
    <t>High inner phase emulsion of fish oil stabilized with rutin-grass carp (Ctenopharyngodon idella) myofibrillar protein: Application as a fat substitute in surimi gel</t>
  </si>
  <si>
    <t>Grass carp myofibrillar protein; High internal phase emulsions; Fish oil; Fat replacers; Surimi gel</t>
  </si>
  <si>
    <t>PHYSICOCHEMICAL PROPERTIES; FUNCTIONAL-PROPERTIES; PRE-EMULSIFICATION; BEESWAX OLEOGELS; ETHYL CELLULOSE; MEAT; REPLACERS; PARTICLES; PORK</t>
  </si>
  <si>
    <t>This study investigated the effect of rutin-grass carp myofibrillar protein (R-GMP) co-stable fish oil high internal phase emulsion on the quality of surimi gel compared with the direct addition of soybean oil. Combined with the stability, microstructure and rheological properties, R-GMP (GMP: 3.0%, rutin: 12%,/GMP, w/w) could form a stable O/W type high internal phase Pickering emulsion with an oil-water ratio of 0.75. The L*, a*, and b* values and whiteness of silver carp surimi gel were increased significantly (P &lt; 0.05) after fish oil-based high internal phase emulsion was added as oil. Meanwhile, compared with the direct addition of soybean oil, the hardness, chewiness, gel strength and water-holding capacity of surimi gel were significantly enhanced (P &lt; 0.05) after the addition of R-GMP high internal phase emulsion, and more free water was bound to the gel network. The microstructure showed that the R-GMP high internal phase emulsion could be evenly distributed in the dense and ordered protein network gel in the form of small oil droplets, while the direct addition of soybean oil would produce an aggregation of oil droplets and destroy the network structure of the gel. In conclusion, R-GMP stabilized fish oil high internal phase emulsion optimizes the gel quality of oil-enhanced surimi gel, providing new ideas for healthy fat replacement and the development of functional emulsified surimi products.</t>
  </si>
  <si>
    <t>[Zhang, Xuehua; Xie, Wanxin; Liang, Qianqian; Jiang, Xin; Zhang, Zhen; Shi, Wenzheng] Shanghai Ocean Univ, Coll Food Sci &amp; Technol, Shanghai 201306, Peoples R China; [Shi, Wenzheng] Ctr Freshwater Aquat Prod Proc Technol Shanghai, Natl R&amp;D Branch, Shanghai 201306, Peoples R China; [Shi, Wenzheng] 999,Huchenghuan Rd,Nanhui New City, Shanghai, Peoples R China</t>
  </si>
  <si>
    <t>Shanghai Ocean University</t>
  </si>
  <si>
    <t>Shi, WZ (corresponding author), 999,Huchenghuan Rd,Nanhui New City, Shanghai, Peoples R China.</t>
  </si>
  <si>
    <t>wzshi@shou.edu.cn</t>
  </si>
  <si>
    <t>shi, wenzheng/0000-0002-9394-5745; Zhang, Xuehua/0000-0001-5145-7359</t>
  </si>
  <si>
    <t>National Key Research and Development Program of China [2019YFD0902003]</t>
  </si>
  <si>
    <t>This study is supported by National Key Research and Development Program of China (No. 2019YFD0902003).</t>
  </si>
  <si>
    <t>10.1016/j.foodhyd.2023.109115</t>
  </si>
  <si>
    <t>R4YG4</t>
  </si>
  <si>
    <t>WOS:001064417600001</t>
  </si>
  <si>
    <t>Zhao, RL; Jia, HD; Yin, CX; Cao, SG; Tong, ZF; Zhou, ZJ</t>
  </si>
  <si>
    <t>Zhao, Ruilin; Jia, Haodong; Yin, Chenxin; Cao, Shuguang; Tong, Zhenfeng; Zhou, Zhangjian</t>
  </si>
  <si>
    <t>Effects of cold rolling and heat treatment on microstructure and mechanical properties of 15Cr-15Ni ODS austenitic steel</t>
  </si>
  <si>
    <t>15Cr-15Ni ODS austenitic steel; Thermal mechanical treatment; Cold rolling; Heat treatment; Microstructure; Mechanical properties</t>
  </si>
  <si>
    <t>DEFORMATION; TENSILE</t>
  </si>
  <si>
    <t>Oxide dispersion strengthened (ODS) austenitic steels are considered as the promising candidate cladding materials application for advanced nuclear energy systems. However, the microstructure of ODS austenitic steels fabricated by mechanical alloying is usually not very homogeneous. Thermal mechanical treatment is an effective method for controlling microstructure of alloys. In this work, the effect of cold deformation and subsequent heat treatments on the improvement of microstructure homogeneous and mechanical property of a 15Cr15Ni ODS austenitic steel was systemically investigated by means of electron backscatter diffraction, transmission electron microscopy and tensile test. Results show that the average grain size decreased and the distribution of grains was more homogeneous after optimized thermal mechanical treatment. The deformation of cold rolling and heat treatment temperatures shows obvious influence on the average size of dispersion particle, the proportion of high angle grain boundary, Schmidt factor and tensile property of 15Cr-15Ni ODS austenitic steel.</t>
  </si>
  <si>
    <t>[Zhao, Ruilin; Jia, Haodong; Yin, Chenxin; Cao, Shuguang; Zhou, Zhangjian] Univ Sci &amp; Technol Beijing, Sch Mat Sci &amp; Engn, Beijing 100083, Peoples R China; [Tong, Zhenfeng] North China Elect Power Univ, Sch Nucl Sci &amp; Engn, Beijing 102206, Peoples R China</t>
  </si>
  <si>
    <t>University of Science &amp; Technology Beijing; North China Electric Power University</t>
  </si>
  <si>
    <t>Zhou, ZJ (corresponding author), Univ Sci &amp; Technol Beijing, Sch Mat Sci &amp; Engn, Beijing 100083, Peoples R China.</t>
  </si>
  <si>
    <t>zhouzhj@mater.ustb.edu.cn</t>
  </si>
  <si>
    <t>National Natural Science Foundation of China [U1967212]</t>
  </si>
  <si>
    <t>Acknowledgements The authors would like to thank for the financial support by the National Natural Science Foundation of China (No. U1967212) .</t>
  </si>
  <si>
    <t>10.1016/j.mtcomm.2023.106941</t>
  </si>
  <si>
    <t>S1PH3</t>
  </si>
  <si>
    <t>WOS:001068956100001</t>
  </si>
  <si>
    <t>Zheng, AN; Shi, HR; Gong, ZH; Wang, CL; Meng, SP</t>
  </si>
  <si>
    <t>Zheng, Anna; Shi, Hai-Rong; Gong, Zhaohui; Wang, Chun-Lin; Meng, Shaoping</t>
  </si>
  <si>
    <t>Experimental study on bamboo-shaped buckling-retrained energy dissipater with different grades of steel</t>
  </si>
  <si>
    <t>Low yield point steel; Bamboo-shaped energy dissipater; Low cycle fatigue performance; Buckling wavelength; Reserve performance</t>
  </si>
  <si>
    <t>BEHAVIOR; CONNECTIONS; MODEL; BEAM</t>
  </si>
  <si>
    <t>Buckling-restrained energy dissipaters are miniature energy dissipaters that constrain an inner core through an outer tube and have been widely utilized to improve the seismic performance of fabricated structures. Low yield point steel is often used to produce energy dissipaters, but the mechanical behavior of low yield point steel energy dissipater is rarely investigated. In this paper, a quasi-static test of bamboo-shaped energy dissipaters with different grades of steel was carried out. The influence of the material and configuration of the core on the fatigue performance and failure mode was evaluated. Test results showed that all specimens demonstrated stable hysteretic performance. The equivalent viscous damping ratio of low yield point steel energy dissipaters was relatively large at small strain amplitudes. At large strain amplitudes, both had a similar energy dissipation capacity. The compressive strength adjustment factors and strain hardening factors of low yield point steel energy dissipaters were higher because of their lower post-yield stiffness and significant isotropic hardening. The fracture mode on the low yield point steel energy dissipaters was similar to flat rupture, and significant necking was observed here. However, the normal strength steel energy dissipaters exhibited slant fracture, and no evident necking occurred. Two deformation modes were proposed. A calculation method for the buckling wavelength of the energy dissipater was proposed. When the effective length of the yielding region was smaller than the buckling wavelength, the fatigue performance of low yield point steel energy dissipater was better than that of normal strength steel energy dissipater, and the low yield point steel energy dissipater had a better reserve performance.</t>
  </si>
  <si>
    <t>[Zheng, Anna; Shi, Hai-Rong; Gong, Zhaohui; Wang, Chun-Lin; Meng, Shaoping] Southeast Univ, Key Lab Concrete Prestressed Concrete Struct, Minist Educ, Nanjing 210096, Peoples R China; [Wang, Chun-Lin] Southeast Univ, Sch Civil Engn, Nanjing 210096, Peoples R China</t>
  </si>
  <si>
    <t>Southeast University - China; Southeast University - China</t>
  </si>
  <si>
    <t>Wang, CL (corresponding author), Southeast Univ, Sch Civil Engn, Nanjing 210096, Peoples R China.</t>
  </si>
  <si>
    <t>chunlin@seu.edu.cn</t>
  </si>
  <si>
    <t>Na-tional Natural Science Foundations of China [52278488]; [51978149]</t>
  </si>
  <si>
    <t>Na-tional Natural Science Foundations of China(National Natural Science Foundation of China (NSFC));</t>
  </si>
  <si>
    <t>Acknowledgements The authors would like to acknowledge financial supports from Na-tional Natural Science Foundations of China (51978149, 52278488) .</t>
  </si>
  <si>
    <t>10.1016/j.jcsr.2023.108164</t>
  </si>
  <si>
    <t>Q4YV9</t>
  </si>
  <si>
    <t>WOS:001057602000001</t>
  </si>
  <si>
    <t>Zheng, CS; Li, JT; Xue, S; Jiang, BY; Liu, BJ</t>
  </si>
  <si>
    <t>Zheng, Chunshan; Li, Jinting; Xue, Sheng; Jiang, Bingyou; Liu, Bingjun</t>
  </si>
  <si>
    <t>Experimental study on changes in components and pore characteristics of acidified coal treated by organic solvents</t>
  </si>
  <si>
    <t>Chemical solvent; Coal components; Pore structure; Experimental study</t>
  </si>
  <si>
    <t>METHANE DEVELOPMENT; EXTRACTION; OPPORTUNITIES; CHALLENGES</t>
  </si>
  <si>
    <t>Chemical solvents could change coal components and effectively enhance conductivity of coal reservoir, which is beneficial to efficient methane extraction. Relationship between coal chemical structure parameters and main functional groups variations affected by acidification and tetrahydrofuran (THF) is investigated through infrared spectroscopy tests and curve peak fitting. Meanwhile, variations in fractal dimensionality and pore structure characteristics are studied by adopting low-temperature nitrogen adsorption tests and Frenkel-Halsey-Hill (FHH) fractal model. Main results are: (1) After extracting raw coal and acidified coal using THF with varying con-centrations, absorbance of aromatic hydrocarbon -CH surface and aromatic methyl bond become weaker. While the proportion of substituted aromatic hydrocarbons increases in acidified coal than in raw coal. Acidification treatment could reduce strength of C-O-C absorption peak. Proportion of CH2 and CH3 in raw coal decreases with increasing THF concentration, indicating that THF could react with aliphatic structure to reduce CH2 and CH3 content. Extraction with THF dissolves aromatic structure, lowering C = C content in coal to different degrees. (2) Acidification pretreatment could produce more micropores in coal samples. Micropore contents of acidified coal after THF extraction are all lower than coal sample S, while transition pores and mesopores contents are both higher than those in coal sample S. (3) Fractal dimension D1 of raw coal indicates a relatively linear relationship with specific surface area, while the D1 of acidified coal is less correlated with specific surface area. The factor D2 shows a linear relationship with average pore size. After treatment of THF, average pore size of raw coal increases with D2, while that of acidified coal varies in different degrees with uneven distribution of pore sizes.</t>
  </si>
  <si>
    <t>[Zheng, Chunshan; Li, Jinting; Xue, Sheng; Jiang, Bingyou; Liu, Bingjun] Anhui Univ Sci &amp; Technol, Joint Natl Local Engn Res Ctr Safe &amp; Precise Coal, Huainan 232001, Peoples R China; [Zheng, Chunshan; Xue, Sheng] Hefei Comprehens Natl Sci Ctr, Inst Energy, Hefei 230031, Peoples R China; [Zheng, Chunshan; Li, Jinting; Jiang, Bingyou] Anhui Univ Sci &amp; Technol, Sch Safety Sci &amp; Engn, Huainan 232001, Peoples R China</t>
  </si>
  <si>
    <t>Anhui University of Science &amp; Technology; Anhui University of Science &amp; Technology</t>
  </si>
  <si>
    <t>Zheng, CS; Jiang, BY (corresponding author), Anhui Univ Sci &amp; Technol, Joint Natl Local Engn Res Ctr Safe &amp; Precise Coal, Huainan 232001, Peoples R China.</t>
  </si>
  <si>
    <t>chunshanzheng@aust.edu.cn; byjiang@aust.edu.cn</t>
  </si>
  <si>
    <t>, Sheng/0000-0003-4937-8445</t>
  </si>
  <si>
    <t>National Key R amp; D Program of China [2022YFC2503201]; National Natural Science Foundation of China [52274171]; University Synergy Innovation Program of Anhui Province [GXXT-2021-018]; Joint National -Local Engineering Research Centre for Safe and Precise Coal Mining Fund [EC2023015]; Key Research and Development Projects in Anhui Province [2022 l107020020]; Youth Science and Technology Talents Support Program (2020) by Anhui Association for Science and Technology [RCTJ202005]</t>
  </si>
  <si>
    <t>National Key R amp; D Program of China; National Natural Science Foundation of China(National Natural Science Foundation of China (NSFC)); University Synergy Innovation Program of Anhui Province; Joint National -Local Engineering Research Centre for Safe and Precise Coal Mining Fund; Key Research and Development Projects in Anhui Province; Youth Science and Technology Talents Support Program (2020) by Anhui Association for Science and Technology</t>
  </si>
  <si>
    <t>This work is financially supported by National Key R &amp; amp; D Program of China (No. 2022YFC2503201) , National Natural Science Foundation of China (No. 52274171) , the University Synergy Innovation Program of Anhui Province (No. GXXT-2021-018) , Joint National -Local Engineering Research Centre for Safe and Precise Coal Mining Fund (No. EC2023015) , the Key Research and Development Projects in Anhui Province (No. 2022 l107020020) , Youth Science and Technology Talents Support Program (2020) by Anhui Association for Science and Technology (No. RCTJ202005) .</t>
  </si>
  <si>
    <t>10.1016/j.fuel.2023.129215</t>
  </si>
  <si>
    <t>O5FV5</t>
  </si>
  <si>
    <t>WOS:001044076400001</t>
  </si>
  <si>
    <t>Deng, KX; Huang, S; Wang, XH; Jiang, QM; Yin, HB; Fan, J; Jing, GJ; Wei, K; Zheng, YK; Shi, JY; Liu, XY</t>
  </si>
  <si>
    <t>Deng, Kexin; Huang, Sen; Wang, Xinhua; Jiang, Qimeng; Yin, Haibo; Fan, Jie; Jing, Guanjun; Wei, Ke; Zheng, Yingkui; Shi, Jingyuan; Liu, Xinyu</t>
  </si>
  <si>
    <t>Insight into the suppression mechanism of bulk traps in Al2O3 gate dielectric and its effect on threshold voltage instability in Al2O3/AlGaN/ GaN metal-oxide-semiconductor high electron mobility transistors</t>
  </si>
  <si>
    <t>GaN; MOS-HEMTs; Al2O3; Post deposition annealing; Isothermal capacitance transient spectroscopy</t>
  </si>
  <si>
    <t>PIEZOELECTRIC POLARIZATION; VALENCE-BAND; POWER; ALPHA-AL2O3; SPECTRA</t>
  </si>
  <si>
    <t>Bulk trapping and its effects on threshold voltage hysteresis (&amp; UDelta;VTH) in Al2O3/AlGaN/GaN metal-oxide-semiconductor high electron mobility transistors (MOS-HEMTs) have been identified by a combination of isothermal capacitance transient spectroscopy (ITS) and X-ray photoelectron spectroscopy (XPS). A post deposition annealing (PDA) at 500 degrees C in O2 ambient is confirmed to be an effective way to reduce the bulk traps in an atomic layer deposited (ALD)-Al2O3 film as it contributes to the suppressed &amp; UDelta;VTH in Al2O3/AlGaN/GaN MOS-HEMTs. The interface and bulk trapping behavior that account for &amp; UDelta;VTH, have been distinguished by ITS. It is revealed that continual charging of bulk traps in the Al2O3 gate dielectric occurred once the gate bias of the MOSHEMTs is applied exceeding +3 V, which leads to the degraded &amp; UDelta;VTH as well as subthreshold slopes in transfer characterization. Such bulk traps probably stem from the Al-O-H component in the as-deposited Al2O3 layers, as detected by XPS. Energy band simulation further illustrates the capture process of the bulk traps, verifying the physical relationship between bulk-trapping and &amp; UDelta;VTH in GaN-based MOS-HEMTs.</t>
  </si>
  <si>
    <t>[Deng, Kexin; Huang, Sen; Wang, Xinhua; Jiang, Qimeng; Yin, Haibo; Fan, Jie; Jing, Guanjun; Wei, Ke; Zheng, Yingkui; Shi, Jingyuan; Liu, Xinyu] Chinese Acad Sci, Inst Microelect, High Frequency High Voltage Device&amp; Integrated Cir, Beijing 100029, Peoples R China; [Deng, Kexin; Huang, Sen; Wang, Xinhua; Jiang, Qimeng; Jing, Guanjun; Liu, Xinyu] Univ Chinese Acad Sci, Beijing 100049, Peoples R China</t>
  </si>
  <si>
    <t>Chinese Academy of Sciences; Institute of Microelectronics, CAS; Chinese Academy of Sciences; University of Chinese Academy of Sciences, CAS</t>
  </si>
  <si>
    <t>Huang, S; Wang, XH (corresponding author), Chinese Acad Sci, Inst Microelect, High Frequency High Voltage Device&amp; Integrated Cir, Beijing 100029, Peoples R China.</t>
  </si>
  <si>
    <t>huangsen@ime.ac.cn; wangxinhua@ime.ac.cn</t>
  </si>
  <si>
    <t>Deng, Kexin/0000-0001-8861-5146</t>
  </si>
  <si>
    <t>National Key Research and Development Program of China [2022YFB3604400]; Youth Innovation Promotion Association of Chinese Academy Sciences (CAS); CAS-Croucher Funding Scheme [CAS22801]; National Natural Science Foundation of China [62074161, 62004213, U20A20208]; Beijing Municipal Science and Technology Commission [Z201100008420009, Z211100007921018]; University of CAS; IMECAS-HKUST-Joint Laboratory of Microelectronics</t>
  </si>
  <si>
    <t>National Key Research and Development Program of China; Youth Innovation Promotion Association of Chinese Academy Sciences (CAS); CAS-Croucher Funding Scheme; National Natural Science Foundation of China(National Natural Science Foundation of China (NSFC)); Beijing Municipal Science and Technology Commission(Beijing Municipal Science &amp; Technology Commission); University of CAS; IMECAS-HKUST-Joint Laboratory of Microelectronics</t>
  </si>
  <si>
    <t>This work was supported in part by the National Key Research and Development Program of China under Grant 2022YFB3604400; in part by the Youth Innovation Promotion Association of Chinese Academy Sciences (CAS) ; in part by CAS-Croucher Funding Scheme under Grant CAS22801; in part by National Natural Science Foundation of China under Grant 62074161, Grant 62004213, and Grant U20A20208; in part by the Beijing Municipal Science and Technology Commission project under Grant Z201100008420009 and Grant Z211100007921018; in part by the University of CAS; and in part by IMECAS-HKUST-Joint Laboratory of Microelectronics.</t>
  </si>
  <si>
    <t>NOV 30</t>
  </si>
  <si>
    <t>10.1016/j.apsusc.2023.158000</t>
  </si>
  <si>
    <t>P1KX0</t>
  </si>
  <si>
    <t>WOS:001048309700001</t>
  </si>
  <si>
    <t>El Mezdi, K; El Magri, A; Watil, A; El Myasse, I; Bahatti, L; Lajouad, R; Ouabi, H</t>
  </si>
  <si>
    <t>El Mezdi, Karim; El Magri, Abdelmounime; Watil, Aziz; El Myasse, Ilyass; Bahatti, Lhoucine; Lajouad, Rachid; Ouabi, Hassan</t>
  </si>
  <si>
    <t>Nonlinear control design and stability analysis of hybrid grid-connected photovoltaic-Battery energy storage system with ANN-MPPT method</t>
  </si>
  <si>
    <t>JOURNAL OF ENERGY STORAGE</t>
  </si>
  <si>
    <t>PV system; MPPT; Nonlinear controller; Li-ion battery; CC mode; CV mode; PFM</t>
  </si>
  <si>
    <t>MANAGEMENT; ALGORITHM; MODELS</t>
  </si>
  <si>
    <t>The problem of controlling a grid-connected solar energy conversion system with battery energy storage is addressed in this work. The study's target consists of a series and parallel combination of solar panel, DC/DC converter boost, DC/AC inverter, DC/DC converter buck-boost, Li-ion battery, and DC load. The main objectives of this work are: (i) PV voltage regulation: the PV panel voltage must track a given reference voltage corresponding to the maximum power point. The optimal reference voltage is generated by an optimizer based on the artificial neural network (ANN); (ii) DC link voltage regulation: The DC link voltage must track a reference voltage as closely as possible. (iii) PFC requirement: The grid currents must be sinusoidal with the same frequency and in phase with the voltage grid. The periodic nature of solar energy and the frequent fluctuations in load demand reduce battery life and charging performance. To deal with these limitations and ensure the battery's safety, a battery energy management algorithm is developed with the following objectives: (iv) CC mode: When the battery's state of charge is less than 100% (SOC &lt; 100%), it indicates that the battery is not fully charged, this aim has been adopted. The battery current should follow a constant reference as closely as possible to the permissible limits battery current; (v) CV mode: When the battery is completely charged, this mode is switched on. The voltage at the battery terminals then achieves its reference signal, which corresponds to the charge state's of the battery SOC = 100%. In addition, the energy management system which generates several energy flow scenarios, in this work, the focus is to balance the energy flows between the load and the different energy sources to minimize the system costs, to ensure the stability of the grid and to improve the power quality. To do this, a mathematical modeling of the overall system was performed. Subsequently, backstepping controllers are then synthesized in order to ensure the control objectives. The closed loop control convergence is formally analyzed using Lyapunov's stability theory and its performances are illustrated by simulation. As a result, the simulation results indicate that the proposed controllers perform admirably in achieving their objectives.</t>
  </si>
  <si>
    <t>[El Mezdi, Karim; El Magri, Abdelmounime; Watil, Aziz; El Myasse, Ilyass; Bahatti, Lhoucine; Lajouad, Rachid; Ouabi, Hassan] Hassan II Univ Casablanca, EEIS Lab, ENSET Mohammedia, Casablanca, Morocco</t>
  </si>
  <si>
    <t>Hassan II University of Casablanca</t>
  </si>
  <si>
    <t>El Mezdi, K (corresponding author), Hassan II Univ Casablanca, EEIS Lab, ENSET Mohammedia, Casablanca, Morocco.</t>
  </si>
  <si>
    <t>elmezdi.karim@gmail.com</t>
  </si>
  <si>
    <t>El Magri, Abdelmounime/GSM-7357-2022; Lajouad, Rachid/A-9726-2016</t>
  </si>
  <si>
    <t>El Magri, Abdelmounime/0000-0002-4781-113X; Lajouad, Rachid/0000-0003-2456-0582</t>
  </si>
  <si>
    <t>2352-152X</t>
  </si>
  <si>
    <t>2352-1538</t>
  </si>
  <si>
    <t>J ENERGY STORAGE</t>
  </si>
  <si>
    <t>J. Energy Storage</t>
  </si>
  <si>
    <t>E</t>
  </si>
  <si>
    <t>10.1016/j.est.2023.108747</t>
  </si>
  <si>
    <t>S4KY4</t>
  </si>
  <si>
    <t>WOS:001070885100001</t>
  </si>
  <si>
    <t>Jalilzadeh, H; Outokesh, M; Shafiekhani, A; Hosseinpour, M; Tayyebi, A</t>
  </si>
  <si>
    <t>Jalilzadeh, Hassan; Outokesh, Mohammad; Shafiekhani, Azizollah; Hosseinpour, Morteza; Tayyebi, Ahmad</t>
  </si>
  <si>
    <t>Magnetite nanoparticles embedded on reduced graphene oxide as an anode material for high capacity and long cycle-life Li-ion battery</t>
  </si>
  <si>
    <t>Reduced graphene oxide; Fe 3 O 4 nanoparticle; Anode material; Cycle life; Li-ion battery</t>
  </si>
  <si>
    <t>FE3O4 NANOPARTICLES; LITHIUM; CARBON; PERFORMANCE; NANOSPHERES; COMPOSITES; NANOSHEETS; STABILITY; SPHERES; HYBRID</t>
  </si>
  <si>
    <t>A facile and cost-effective method was developed for the synthesis of magnetite/reduced graphene oxide nanocomposite, as an anode material for lithium-ion batteries. The fabricated composite was characterized by different instrumental analyses including XRD, Raman, XPS, SEM, TEM, and FTIR, as well as various electro-chemical (i.e. battery) tests. Such broad examination revealed the structure of the prepared material and its electrochemical behavior. It was found that the fabricated composite has a number of advantages over the currently utilized electrode materials such as cost efficiency, high Li ion storage (2528 mAh/g at 0.05 A/g at 1st discharge), cycle stability of 986 mAh/g over 100 cycles at a current density of 0.1 A/g, and eventually Coulombic efficiency of about 100 %. In comparison, the reduced graphene oxide (rGO) shows inferior per-formances, such as a constant capacity of 462 mAh/g, and a slower kinetics of the ion storage. Consequently, the synthesized low-cost anode material seems to be an attractive candidate for development of the next-generation energy-storage devices, used in electrical vehicles, and portable electronic instruments.</t>
  </si>
  <si>
    <t>[Jalilzadeh, Hassan; Outokesh, Mohammad] Sharif Univ Technol, Dept Energy Engn, Azadi Ave,POB 113658639, Tehran, Iran; [Shafiekhani, Azizollah] Alzahra Univ, Fac Phys, Dept Theo Phys &amp; Nano, Tehran 1993893973, Iran; [Hosseinpour, Morteza] Niroo Res Inst NRI, Renewable Energy Res Dept, Tehran, Iran; [Tayyebi, Ahmad] Ulsan Natl Inst Sci &amp; Technol UNIST, Sch Energy &amp; Chem Engn, Dept Energy Engn, 50 UNIST Gil, Ulsan 44919, South Korea</t>
  </si>
  <si>
    <t>Sharif University of Technology; Alzahra University; Ulsan National Institute of Science &amp; Technology (UNIST)</t>
  </si>
  <si>
    <t>Outokesh, M (corresponding author), Sharif Univ Technol, Dept Energy Engn, Azadi Ave,POB 113658639, Tehran, Iran.</t>
  </si>
  <si>
    <t>outokesh@sharif.edu</t>
  </si>
  <si>
    <t>D</t>
  </si>
  <si>
    <t>10.1016/j.est.2023.108607</t>
  </si>
  <si>
    <t>Q7QA3</t>
  </si>
  <si>
    <t>WOS:001059420900001</t>
  </si>
  <si>
    <t>Jiang, F; Zhu, YL; Hu, WX; Li, MQ; Liu, YJ; Feng, JJ; Lv, X; Yu, XZ; Du, SK</t>
  </si>
  <si>
    <t>Jiang, Fan; Zhu, Yulian; Hu, Wen-Xuan; Li, Mengqing; Liu, Yangjin; Feng, Jingjing; Lv, Xin; Yu, Xiuzhu; Du, Shuang-kui</t>
  </si>
  <si>
    <t>Characterization of quinoa starch nanoparticles as a stabilizer for oil in water Pickering emulsion</t>
  </si>
  <si>
    <t>Quinoa starch nanoparticles; O/W Pickering emulsions; Stability; Re-dispersible emulsion; Nanoprecipitation</t>
  </si>
  <si>
    <t>PHYSICOCHEMICAL PROPERTIES; OXIDATIVE STABILITY; PARTICLES</t>
  </si>
  <si>
    <t>Quinoa starch nanoparticles (QSNPs) prepared by nanoprecipitation had a uniform particle size of 191.20 nm. QSNPs with amorphous crystalline structure had greater contact angle than QS with orthorhombic crystalline structure, which can therefore be utilized to stabilize Pickering emulsions. QSNPs-based Pickering emulsions prepared by suitable formulations (QSNPs concentration of 2.0-2.5 %, oil volume fraction of 0.33-0.67) exhibited good stability against pH of 3-9 and ionic strength of 0-200 mM. The oxidative stability of the emulsions increased with increasing starch concentration and ionic strength. Microstructural and rheological results indicated that the structure of the starch interfacial film and the thickening effect of the water phase affected the emulsion stability. The emulsion had excellent freeze-thaw stability and can be produced as a re-dispersible dry emulsion using the freeze-drying technique. These results implied that the QSNPs had great potential for application in the preparation of Pickering emulsions.</t>
  </si>
  <si>
    <t>[Jiang, Fan; Zhu, Yulian; Hu, Wen-Xuan; Li, Mengqing; Liu, Yangjin; Feng, Jingjing; Lv, Xin; Yu, Xiuzhu; Du, Shuang-kui] Northwest A&amp;F Univ, Coll Food Sci &amp; Engn, 22 Xinong Rd, Yangling 712100, Shaanxi, Peoples R China; [Yu, Xiuzhu; Du, Shuang-kui] Univ &amp; Enterprise Grain Proc Technol, Shaanxi Union Res Ctr, Yangling 712100, Shaanxi, Peoples R China; [Du, Shuang-kui] Northwest A&amp;F Univ, Coll Food Sci &amp; Engn, Xianyang, Peoples R China</t>
  </si>
  <si>
    <t>Northwest A&amp;F University - China; Northwest A&amp;F University - China</t>
  </si>
  <si>
    <t>Du, SK (corresponding author), Univ &amp; Enterprise Grain Proc Technol, Shaanxi Union Res Ctr, Yangling 712100, Shaanxi, Peoples R China.;Du, SK (corresponding author), Northwest A&amp;F Univ, Coll Food Sci &amp; Engn, Xianyang, Peoples R China.</t>
  </si>
  <si>
    <t>dushuangkui@nwafu.edu.cn</t>
  </si>
  <si>
    <t>Shaanxi Province Key Research and Development Program Project [NYKJ-2020-YL19]; Shaanxi Province Agricultural Science and Technology Innovation and Transformation Project; [2021NY-155]</t>
  </si>
  <si>
    <t>Shaanxi Province Key Research and Development Program Project; Shaanxi Province Agricultural Science and Technology Innovation and Transformation Project;</t>
  </si>
  <si>
    <t>The authors would like to thank Shaanxi Province Key Research and Development Program Project (2021NY-155) , Shaanxi Province Agricultural Science and Technology Innovation and Transformation Project (NYKJ-2020-YL19) .</t>
  </si>
  <si>
    <t>10.1016/j.foodchem.2023.136697</t>
  </si>
  <si>
    <t>Q2US9</t>
  </si>
  <si>
    <t>WOS:001056123600001</t>
  </si>
  <si>
    <t>Julie, S; Mariappan, K; David, C; Wasekar, NP; Shankar, V</t>
  </si>
  <si>
    <t>Julie, S.; Mariappan, K.; David, C.; Wasekar, Nitin P.; Shankar, Vani</t>
  </si>
  <si>
    <t>A study on the competition and synergy between irradiation and temperature on the texture and recrystallization of nanocrystalline nickel</t>
  </si>
  <si>
    <t>Ion irradiation; Recrystallization; Texture; Ion mixing; Radiation enhanced diffusion</t>
  </si>
  <si>
    <t>DYNAMIC RECRYSTALLIZATION; GRAIN-GROWTH; THERMAL-STABILITY; SELF-DIFFUSION; EVOLUTION; ALLOY; ORIENTATION; DIFFRACTION; BEHAVIOR; HARDNESS</t>
  </si>
  <si>
    <t>The application of nickel coatings on structural materials in molten salt reactors for corrosion resistance is being researched. For corrosion resistance, the coatings must have specific texture and grain boundary characteristics that withstand irradiation. While most reported results concern textural changes caused by room-temperature irradiation, research in the thermally-assisted regime, which is the operating temperature range of nuclear reactors, is limited. In this study, we investigate the effect of 1.4 MeV Ni+ ion irradiation on the texture, recrystallization, and grain boundary characteristics of nanocrystalline Ni at temperatures ranging from 250 &amp; DEG;C to 550 &amp; DEG;C. Thermal activation at 350 &amp; DEG;C and 450 &amp; DEG;C results in partially and fully recrystallized microstructures, respectively. A concurrent decrease of &lt;100&gt;//ED and evolution of &lt;111&gt;//ED, as well as minor orientations that reduces surface energy, are detected up to 450 &amp; DEG;C; nevertheless, textural reversal is found at higher temperatures. Irradiation accelerated the recrystallization kinetics, resulting in a fully recrystallized microstructure at temperatures 100 &amp; DEG;C lower. Irradiation at temperatures above 350 &amp; DEG;C increased the thermally-induced texture; at 250 &amp; DEG;C, this trend reversed. Calculated radiation-enhanced diffusion (RED) coefficients at 250 &amp; DEG;C revealed that ion mixing drives the growth of &lt;100&gt; by consuming &lt;111&gt; orientations. Conversely, the increasing RED contribution at higher temperatures strengthens the thermally-induced textures.</t>
  </si>
  <si>
    <t>[Julie, S.; David, C.; Shankar, Vani] Indira Gandhi Ctr Atom Res, CI Homi Bhabha Natl Inst HBNI, Kalpakkam 603102, Tamil Nadu, India; [Julie, S.; David, C.] Indira Gandhi Ctr Atom Res, Mat Sci Grp, Kalpakkam 603102, Tamil Nadu, India; [Mariappan, K.; Shankar, Vani] Indira Gandhi Ctr Atom Res, Met &amp; Mat Grp, Kalpakkam 603102, Tamil Nadu, India; [Wasekar, Nitin P.] ARCI, Int Adv Res Ctr Powder Met &amp; New Mat, Hyderabad 500005, India</t>
  </si>
  <si>
    <t>Indira Gandhi Centre for Atomic Research (IGCAR); Indira Gandhi Centre for Atomic Research (IGCAR); Indira Gandhi Centre for Atomic Research (IGCAR); Department of Science &amp; Technology (India); International Advanced Research Centre for Powder Metallurgy &amp; New Materials (ARCI)</t>
  </si>
  <si>
    <t>David, C (corresponding author), Indira Gandhi Ctr Atom Res, CI Homi Bhabha Natl Inst HBNI, Kalpakkam 603102, Tamil Nadu, India.</t>
  </si>
  <si>
    <t>david@igcar.gov.in</t>
  </si>
  <si>
    <t>Department of Atomic Energy (DAE); MHRD; MeitY; DST Nano Mission</t>
  </si>
  <si>
    <t>Department of Atomic Energy (DAE)(Department of Atomic Energy (DAE)); MHRD; MeitY; DST Nano Mission</t>
  </si>
  <si>
    <t>First author is thankful to the Department of Atomic Energy (DAE) for providing financial support in the form of a fellowship. We acknowledge CeNSE, IISc facilities funded by MHRD, MeitY and DST Nano Mission for FIB sample preparation and TEM.</t>
  </si>
  <si>
    <t>10.1016/j.apsusc.2023.158085</t>
  </si>
  <si>
    <t>P6YT7</t>
  </si>
  <si>
    <t>WOS:001052117700001</t>
  </si>
  <si>
    <t>Lu, YQ; Zou, ZM; Bai, Y; Wang, X; Zhang, HW; Jiang, CH</t>
  </si>
  <si>
    <t>Lu, Yiqing; Zou, Zhimin; Bai, Yu; Wang, Xin; Zhang, Hongwang; Jiang, Chunhai</t>
  </si>
  <si>
    <t>Spent graphite as promising carbon matrix for high performance SiO/C anode material of Li-ion battery</t>
  </si>
  <si>
    <t>Li-ion batteries; Spent graphite; SiO/G anode; Cycle stability; High energy density</t>
  </si>
  <si>
    <t>HIGH-CAPACITY; ELECTROCHEMICAL PROPERTIES; SCALABLE SYNTHESIS; LITHIUM; COMPOSITE; SIOX/C; SIOX/GRAPHITE; NANOPARTICLES; NANOWIRES</t>
  </si>
  <si>
    <t>Commercialization of SiO/graphite (SiO/G) composite anode material has been partially conducted in modern model Li-ion batteries but is still limited by its relatively high cost and inferior stability. Improving the Li-ion storage performance as well as lowering the manufacturing cost of SiO/G anode has been the ongoing target of many studies. Herein, a low cost SiO/G anode with good Li-ion storage performance is developed by facilely integrating SiO nanoparticles into spent graphite (SG) extracted from used LiFePO4 batteries. The loose SG particles after repeated charge/discharge cycles can be easily exfoliated and combined with the SiO nano particles during the mechanical ball-milling treatment. Further processing the composite into spherical structure by spray-drying and pyrolysis results in practically applicable anode materials. The SiO/SG/C anode with a SiO mass ratio of 30 % exhibits the best overall performance including an excellent rate capability (385 mAh g-1 at 3 A g-1) and encouraging cycle stability (442 mAh g-1 after 300 cycles at 1 A g-1). The coin-type full cells coupling the pre-lithiated spherical SiO/SG anode and NCM811 cathode delivers a high energy density of 461 Wh kg- 1 (based on the active masses of both electrodes) and good cycle performance (74.4 % capacity retention at 0.5C after 100 cycles). This work not only provides a high performance yet low cost SiO/G anode material, but explores a high value added way for the reuse of SG, thus can practically push forward the development of LIBs.</t>
  </si>
  <si>
    <t>[Lu, Yiqing; Zou, Zhimin; Jiang, Chunhai] Xiamen Univ Technol, Inst Adv Energy Mat, Sch Mat Sci &amp; Engn, Fujian Prov Key Lab Funct Mat &amp; Applicat, 600 Ligong Rd, Xiamen 361024, Peoples R China; [Bai, Yu] Shanghai XFH Sci &amp; Technol Dev Co Ltd, Bldg A7,Shanghai Future Off Pk,Hutai Rd, Shanghai 200949, Peoples R China; [Bai, Yu] Fujian XFH New Energy Mat Co Ltd, 38 Shuidong Ind Pk, Yongan 366000, Peoples R China; [Bai, Yu] Shenzhen XFH Sci &amp; Technol Co Ltd, Shenzhen 518071, Peoples R China; [Wang, Xin; Zhang, Hongwang] Yanshan Univ, Coll Mech Engn, Natl Engn Res Ctr Equipment &amp; Technol Cold Strip R, Qinhuangdao 066004, Peoples R China</t>
  </si>
  <si>
    <t>Xiamen University of Technology; Yanshan University</t>
  </si>
  <si>
    <t>Zou, ZM; Jiang, CH (corresponding author), Xiamen Univ Technol, Inst Adv Energy Mat, Sch Mat Sci &amp; Engn, Fujian Prov Key Lab Funct Mat &amp; Applicat, 600 Ligong Rd, Xiamen 361024, Peoples R China.;Bai, Y (corresponding author), Shanghai XFH Sci &amp; Technol Dev Co Ltd, Bldg A7,Shanghai Future Off Pk,Hutai Rd, Shanghai 200949, Peoples R China.</t>
  </si>
  <si>
    <t>zmzou@xmut.edu.cn; yubaicn@163.com; chjiang@xmut.edu.cn</t>
  </si>
  <si>
    <t>Natural Science Foundation of Fujian Province [2020H0024]; Guidance Project of Fujian Science and Technology Department [XPDKT20005]; Scientific Research Project of Xiamen University of Technology; [2020J01287]</t>
  </si>
  <si>
    <t>Natural Science Foundation of Fujian Province(Natural Science Foundation of Fujian Province); Guidance Project of Fujian Science and Technology Department; Scientific Research Project of Xiamen University of Technology;</t>
  </si>
  <si>
    <t>The authors sincerely acknowledge the financial supports from the Natural Science Foundation of Fujian Province (No. 2020J01287) , Guidance Project of Fujian Science and Technology Department (No. 2020H0024) and the Scientific Research Project of Xiamen University of Technology (No. XPDKT20005) .</t>
  </si>
  <si>
    <t>10.1016/j.est.2023.108711</t>
  </si>
  <si>
    <t>Q7QG7</t>
  </si>
  <si>
    <t>WOS:001059427300001</t>
  </si>
  <si>
    <t>Upadhyay, J; Borah, R; Das, TM; Das, JM</t>
  </si>
  <si>
    <t>Upadhyay, Jnanendra; Borah, Rajiv; Das, Trishna Moyi; Das, Jitu Mani</t>
  </si>
  <si>
    <t>Flexible solid-state supercapacitor based on ternary nanocomposites of reduced graphene oxide and ruthenium oxide nanoparticles bridged by polyaniline nanofibers</t>
  </si>
  <si>
    <t>Flexible supercapacitor; Ternary nanocomposites; Reduced graphene oxide; Polyaniline nanofiber; Charge -transfer kinetics</t>
  </si>
  <si>
    <t>FACILE SYNTHESIS; HYDROTHERMAL SYNTHESIS; ELECTRODE MATERIALS; NANOWIRE ARRAYS; RAMAN-SPECTRA; HYDROUS RUO2; PERFORMANCE; SHEETS; NANOSHEETS; COMPOSITE</t>
  </si>
  <si>
    <t>The rising demand for wearable electronics has driven research effort tremendously into flexible and compact supercapacitor materials furnished with high energy density, while retaining high-power density, cyclic stability, and durability. In this regard, we, herein, embedded ruthenium oxide nanoparticles (RuO2 NPs) and polyaniline nanofibers (PAni NFs) in the interplanar spaces of reduced graphene oxide (rGO) to prevent their re-stacking to maximize its electric double layer capacitance. It also integrates the pseudo-capacitance of RuO2 and PAni to the ternary nanocomposites (NCs), while the PAni NFs act as interconnecting conducting transmission channel between RuO2 and rGO to regulate charge-transfer kinetics within the system. The resultant ternary NCs display maximum areal capacitance of 1.66 F center dot cm(-2) at a current density of 2 mA center dot cm(-2). A flexible symmetric solid-state device (FSSSD), obtained by assembling the ternary NCs based electrode, attains a specific capacitance of 677 mF center dot cm(-2) with 87 % coulombic efficiency at 2 mA center dot cm(-2) and faster charge transport characteristics (R-ct = 5.5 Omega). The device demonstrates maximum energy density of 60.18 mu W center dot h center dot cm(-2) at a power density of 0.8023 mW center dot cm(-2). The functionality of the device is confirmed by turning on a red LED for up to 180 s with three FSSSDs connected in series.</t>
  </si>
  <si>
    <t>[Upadhyay, Jnanendra; Das, Trishna Moyi] Dakshin Kamrup Coll, Dept Phys, Mat Res Lab, Kamrup 781125, Assam, India; [Borah, Rajiv; Das, Jitu Mani] Inst Adv Study Sci &amp; Technol, Life Sci Div, Seri Biotechnol Lab, Gauhati 781035, Assam, India; [Borah, Rajiv] Trinity Coll Dublin, Dept Mech Mfg &amp; Biomed Engn, Dublin, Ireland</t>
  </si>
  <si>
    <t>Department of Science &amp; Technology (India); Institute of Advanced Study in Science &amp; Technology (IASST); Trinity College Dublin</t>
  </si>
  <si>
    <t>Upadhyay, J (corresponding author), Dakshin Kamrup Coll, Dept Phys, Mat Res Lab, Kamrup 781125, Assam, India.;Borah, R (corresponding author), Inst Adv Study Sci &amp; Technol, Life Sci Div, Seri Biotechnol Lab, Gauhati 781035, Assam, India.</t>
  </si>
  <si>
    <t>jnanendra2015@gmail.com; borahr@tcd.ie</t>
  </si>
  <si>
    <t>Science and Engineering Research Board (SERB), Government of India [ECR/2017/ 000628]; Department of Science and Technology (DST), Government of India [DST/INSPIRE/04/2018/000402]; Sophisticated Analytical Instrument Centre (SAIC) of IASST</t>
  </si>
  <si>
    <t>Science and Engineering Research Board (SERB), Government of India; Department of Science and Technology (DST), Government of India(Department of Science &amp; Technology (India)); Sophisticated Analytical Instrument Centre (SAIC) of IASST</t>
  </si>
  <si>
    <t>This research work received funding from Science and Engineering Research Board (SERB), Government of India (Grant No. ECR/2017/ 000628), and Department of Science and Technology (DST), Government of India (Grant No. DST/INSPIRE/04/2018/000402). Authors acknowledged the support received from Sophisticated Analytical Instrument Centre (SAIC) of IASST in physicochemical characterization of the experimental materials reported in this work.</t>
  </si>
  <si>
    <t>10.1016/j.est.2023.108600</t>
  </si>
  <si>
    <t>R0YL6</t>
  </si>
  <si>
    <t>WOS:001061683600001</t>
  </si>
  <si>
    <t>Wang, XK; Zhou, XQ; Luo, NK; Luo, H; Wei, H; Qin, BL; Zeng, J; Yu, XQ; Mei, Y; Zhang, YF</t>
  </si>
  <si>
    <t>Wang, Xikui; Zhou, Xueqiu; Luo, Ningkang; Luo, Hong; Wei, Han; Qin, Bingli; Zeng, Jia; Yu, Xinquan; Mei, Yi; Zhang, Youfa</t>
  </si>
  <si>
    <t>Beetle-like structured microfibers for rapid water harvesting</t>
  </si>
  <si>
    <t>Water harvesting; Beetle-like fiber; Sweeping removal; Collision removal</t>
  </si>
  <si>
    <t>METAL-ORGANIC FRAMEWORKS; FOG; SURFACE; WETTABILITY; CACTUS; TRANSPORT; MESHES</t>
  </si>
  <si>
    <t>Water harvesting in arid and semi-arid areas gains increasing attention, and harvesting water from the atmo-sphere are one of the effective ways to solve this problem. This work provides a structured microfiber coated with a beetle-like coating to obtain highly efficient water harvesting through self-induced drops jumping, drops sweeping and droplets collision. Then, the water collection efficiency of the beetle-like fiber is-4.7 times that of the lotus-like fiber and-4 times that of the initial fiber. Further more, the beetle-like harp structure exhibits a high water collection rate up to-2.6 x 104 g/m2/h, and the beetle-like network with a high water collection efficiency of-6.5 x 104 g/m2/h. These findings are considered instrumental in the further design and imple-mentation of bionic microfiber for cost-efficient atmospheric water harvesting, industrial vapor recovery and seawater desalination, etc.</t>
  </si>
  <si>
    <t>[Wang, Xikui; Zhou, Xueqiu; Luo, Ningkang; Luo, Hong; Wei, Han; Qin, Bingli; Mei, Yi] Guizhou Univ, Sch Mech Engn, Guiyang 550025, Peoples R China; [Zeng, Jia; Yu, Xinquan; Zhang, Youfa] Southeast Univ, Sch Mat Sci &amp; Engn, Jiangsu Key Lab Adv Met Mat, Nanjing 211189, Peoples R China</t>
  </si>
  <si>
    <t>Guizhou University; Southeast University - China</t>
  </si>
  <si>
    <t>Mei, Y (corresponding author), Guizhou Univ, Sch Mech Engn, Guiyang 550025, Peoples R China.;Zhang, YF (corresponding author), Southeast Univ, Sch Mat Sci &amp; Engn, Jiangsu Key Lab Adv Met Mat, Nanjing 211189, Peoples R China.</t>
  </si>
  <si>
    <t>mei_yi@163.com; yfzhang@seu.edu.cn</t>
  </si>
  <si>
    <t>National Natural Science Foundation of China [52205304, 52071076]; Natural Science Special Project of Guizhou University for Special Post [(2023) 25]</t>
  </si>
  <si>
    <t>National Natural Science Foundation of China(National Natural Science Foundation of China (NSFC)); Natural Science Special Project of Guizhou University for Special Post</t>
  </si>
  <si>
    <t>We are grateful for the support of the National Natural Science Foundation of China (Grants No. 52205304 and 52071076) , and the Natural Science Special Project of Guizhou University for Special Post (Grant No. (2023) 25) .</t>
  </si>
  <si>
    <t>10.1016/j.apsusc.2023.158090</t>
  </si>
  <si>
    <t>P5AX2</t>
  </si>
  <si>
    <t>WOS:001050801100001</t>
  </si>
  <si>
    <t>Zhang, J; Wang, ZP; Miller, EJ; Cui, DS; Liu, P; Zhang, ZS; Sun, ZY</t>
  </si>
  <si>
    <t>Zhang, Jin; Wang, Zhenpo; Miller, Eric J.; Cui, Dingsong; Liu, Peng; Zhang, Zhaosheng; Sun, Zhenyu</t>
  </si>
  <si>
    <t>Multi-period planning of locations and capacities of public charging stations</t>
  </si>
  <si>
    <t>Electric vehicle; Charging demand; Charging station; Multi-period planning</t>
  </si>
  <si>
    <t>ELECTRIC VEHICLES; OPTIMIZATION MODEL; OPTIMAL-DEPLOYMENT; INFRASTRUCTURE; ALLOCATION; FACILITIES; DEVIATION; NETWORK; TRAVEL</t>
  </si>
  <si>
    <t>Appropriate charging resources allocation is critical to ensure charging convenience and charging station operation efficiency. However, the temporality of electric vehicle penetration, the development of chargingrelated technologies, and the randomness of charging behaviors bring highly spatiotemporal dynamics to the charging demands distribution in cities. In this paper, the multi-period and multi-scenario spatiotemporal distribution of charging demands is evaluated based on real-world operation data of electric vehicles in Beijing. A three-period charging stations locations and capacities planning model is proposed to deploy charging stations reasonably based on high-resolution spatiotemporal charging demands distribution at a spatial resolution of 0.46 km side length hexagon units and time resolution of 15 min to satisfy dynamic multi-period charging demands. The model takes minimizing the total costs of charging stations and electric vehicles during all the planning periods as the optimization objective. The capacity-constrained M/M/c/N charging queuing theory combined with the sensitivity analysis and optimization of the charging arrival rate is introduced into the capacity designing process to determine the corresponding charging pile quantity reasonably. Suggestions are given on the charging stations construction locations and the corresponding configurations of types and quantities of charging piles during different planning periods, an actual case study in the Haidian district, Beijing is conducted to validate the proposed planning models.</t>
  </si>
  <si>
    <t>[Zhang, Jin; Wang, Zhenpo; Cui, Dingsong; Liu, Peng; Zhang, Zhaosheng; Sun, Zhenyu] Beijing Inst Technol, Natl Engn Res Ctr Elect Vehicles, Beijing 100081, Peoples R China; [Zhang, Jin; Wang, Zhenpo; Cui, Dingsong; Liu, Peng; Zhang, Zhaosheng; Sun, Zhenyu] Beijing Coinnovat Ctr Elect Vehicles, Beijing 100081, Peoples R China; [Wang, Zhenpo; Cui, Dingsong; Liu, Peng] Beijing Inst Technol, Chongqing Innovat Ctr, Chongqing 401120, Peoples R China; [Zhang, Jin; Miller, Eric J.] Univ Toronto, Dept Civil &amp; Mineral Engn, Toronto, ON M5S 1A4, Canada; [Zhang, Jin] China North Ind Corp, Beijing 100053, Peoples R China; [Wang, Zhenpo] Beijing Inst Technol, Natl Engn Res Ctr Elect Vehicles, Sch Mech Engn, 5 South Zhongguancun St, Beijing 100081, Peoples R China</t>
  </si>
  <si>
    <t>Beijing Institute of Technology; Beijing Institute of Technology; University of Toronto; China North Industries (NORINCO); Beijing Institute of Technology</t>
  </si>
  <si>
    <t>Wang, ZP (corresponding author), Beijing Inst Technol, Natl Engn Res Ctr Elect Vehicles, Sch Mech Engn, 5 South Zhongguancun St, Beijing 100081, Peoples R China.</t>
  </si>
  <si>
    <t>wangzhenpo@bit.edu.cn</t>
  </si>
  <si>
    <t>National Natural Science Foundation of China [U21A20170, 52072040]; National Key Research and Development Program of China [2021YFB2501600]; China Scholarship Council</t>
  </si>
  <si>
    <t>National Natural Science Foundation of China(National Natural Science Foundation of China (NSFC)); National Key Research and Development Program of China; China Scholarship Council(China Scholarship Council)</t>
  </si>
  <si>
    <t>The authors would like to acknowledge the funding support of the National Natural Science Foundation of China (Grant No. U21A20170 and Grant No. 52072040) and the National Key Research and Development Program of China (Grant No. 2021YFB2501600). This work is also funded by China Scholarship Council.</t>
  </si>
  <si>
    <t>10.1016/j.est.2023.108565</t>
  </si>
  <si>
    <t>R7KY1</t>
  </si>
  <si>
    <t>WOS:001066118100001</t>
  </si>
  <si>
    <t>Zhang, X; Liang, ZY; Ma, WJ; Zhao, QX</t>
  </si>
  <si>
    <t>Zhang, Xu; Liang, Zhiyuan; Ma, Wenjun; Zhao, Qinxin</t>
  </si>
  <si>
    <t>Pretreatment options for the recycling of spent lithium-ion batteries: A comprehensive review</t>
  </si>
  <si>
    <t>Recovery; LIB; Pretreatment</t>
  </si>
  <si>
    <t>CATHODE MATERIALS; ELECTRODE MATERIALS; SEPARATION; COBALT</t>
  </si>
  <si>
    <t>The growing demand for lithium ion batteries (LIBs) has led to numerous batteries-usage, generating a large number of spent LIBs due to its limited service life. Considering the high recovery value of precious metals contained in the cathodes from spent LIBs, the research on the method of recycling cathode materials is a hot topic. Throughout the recycling-to-reuse process, the concern is not just how to recycle the cathode material, but also how to recover the precious metals flexibly and efficiently with the pretreatment of spent LIBs based on the variety of LIBs and the complexity of the battery system. This review mainly integrates the research on the pretreatment of spent LIBs recycling from the perspective of recycling process, bringing engineers, researchers and readers new inspiration about the recycling life of LIBs.</t>
  </si>
  <si>
    <t>[Zhang, Xu; Liang, Zhiyuan; Ma, Wenjun; Zhao, Qinxin] Xi An Jiao Tong Univ, Sch Energy &amp; Power Engn, Key Lab Thermal Fluid Sci &amp; Engn MOE, Xian 710049, Shaanxi, Peoples R China; [Liang, Zhiyuan] Xi An Jiao Tong Univ, Xian, Peoples R China</t>
  </si>
  <si>
    <t>Xi'an Jiaotong University; Xi'an Jiaotong University</t>
  </si>
  <si>
    <t>Liang, ZY (corresponding author), Xi An Jiao Tong Univ, Xian, Peoples R China.</t>
  </si>
  <si>
    <t>liangzy@xjtu.edu.cn</t>
  </si>
  <si>
    <t>Shaanxi Key research and Development Program [2022KJXX-51]; Young Science and Technology Nova Project; [2023-YBGY-291]</t>
  </si>
  <si>
    <t>Shaanxi Key research and Development Program; Young Science and Technology Nova Project;</t>
  </si>
  <si>
    <t>This work was supported by Shaanxi Key research and Development Program [2023-YBGY-291] and Young Science and Technology Nova Project [2022KJXX-51] . We thank Mr Ren Zijun at Instrument Analysis Center of Xi ' an Jiaotong University for his assistance with SEM analysis.</t>
  </si>
  <si>
    <t>10.1016/j.est.2023.108691</t>
  </si>
  <si>
    <t>Q7NJ9</t>
  </si>
  <si>
    <t>WOS:001059352400001</t>
  </si>
  <si>
    <t>Zhou, J; Zhang, D; Yuan, H; Ding, Y; Li, HY; Wang, R; Cao, Y; Wang, H</t>
  </si>
  <si>
    <t>Zhou, Jing; Zhang, Da; Yuan, Hao; Ding, Yang; Li, Haoyu; Wang, Rui; Cao, Yu; Wang, Hua</t>
  </si>
  <si>
    <t>Constructing stable interfaces for wide-temperature and high-rate aqueous zinc metal batteries by dual-salt cosolvent electrolyte</t>
  </si>
  <si>
    <t>Dual -salt cosolvent electrolyte; Zn metal anode; Wide temperature; Solid electrolyte interphase</t>
  </si>
  <si>
    <t>SOLVATION; DESIGN; ANODE</t>
  </si>
  <si>
    <t>Rechargeable aqueous zinc metal batteries are large-scale new energy storage system due to their low cost and high safety. Nonetheless, a series of problems faced by zinc anode at wide temperatures will also limit its development, such as serious zinc dendrites and parasitic reactions. Herein, we report a dual-salt cosolvent electrolyte in which the addition of zinc perchlorate and 2-methyltetrahydrofuran assists the formation of stable SEI on the Zn anode surface. The ZnF2-rich SEI was constructed in-situ, which effectively inhibited the growth of zinc dendrite and exacerbation of parasitic reaction. Meanwhile, such solvents break the hydrogen bond network between the water molecules and change the solvation structure of Zn2+. Consequently, the Zn||Zn symmetric cells could remain stable during cycling for 9200 min at-20 degrees C and 6000 min at 60 degrees C (5 mA cm-2). Signifi-cantly, AZMBs exhibited an ultrahigh cumulative cycling capacity of 2250 mAh cm-2 at 20 degrees C. The PANI@V2O5 full cells maintained a capacity of 78.80 mAh/g after 250 cycles at-20 degrees C (2 A/g) and exhibited a long cycle life at 60 degrees C (more than 200 cycles). This study demonstrates a promising pathway for the future exploitation of high-rate AZMBs for operation under wide temperature.</t>
  </si>
  <si>
    <t>[Zhou, Jing; Zhang, Da; Yuan, Hao; Ding, Yang; Li, Haoyu; Wang, Rui; Cao, Yu] Northeast Elect Power Univ, Sch Chem Engn, Sch Elect Engn, Jilin 132012, Peoples R China; [Wang, Hua] Beihang Univ, Beijing Adv Innovat Ctr Biomed Engn, Sch Chem, Beijing 100191, Peoples R China</t>
  </si>
  <si>
    <t>Northeast Electric Power University; Beihang University</t>
  </si>
  <si>
    <t>Cao, Y (corresponding author), Northeast Elect Power Univ, Sch Chem Engn, Sch Elect Engn, Jilin 132012, Peoples R China.;Wang, H (corresponding author), Beihang Univ, Beijing Adv Innovat Ctr Biomed Engn, Sch Chem, Beijing 100191, Peoples R China.</t>
  </si>
  <si>
    <t>ycao@neepu.edu.cn; wanghua8651@buaa.edu.cn</t>
  </si>
  <si>
    <t>Cao, Yu/0000-0002-0858-0674</t>
  </si>
  <si>
    <t>National Nat- ural Science Foundation of China [52172185]; Innovation and Entrepreneurship (Talent) Project of Jilin Province [2022QN15]</t>
  </si>
  <si>
    <t>National Nat- ural Science Foundation of China(National Natural Science Foundation of China (NSFC)); Innovation and Entrepreneurship (Talent) Project of Jilin Province</t>
  </si>
  <si>
    <t>This work acknowledges the financial support of the National Nat- ural Science Foundation of China (52172185) and Innovation and Entrepreneurship (Talent) Project of Jilin Province (2022QN15) .</t>
  </si>
  <si>
    <t>10.1016/j.apsusc.2023.158087</t>
  </si>
  <si>
    <t>O9NZ7</t>
  </si>
  <si>
    <t>WOS:001047026900001</t>
  </si>
  <si>
    <t>Chauhan, M; Arya, E; Kumari, A; Sanghi, S; Agarwal, A</t>
  </si>
  <si>
    <t>Chauhan, Meenal; Arya, Ekta; Kumari, Anand; Sanghi, Sujata; Agarwal, Ashish</t>
  </si>
  <si>
    <t>Structural, magnetic, dielectric, magneto-electric and ferroelectric properties of BaTiO3-NiFe2O4 multiferroics</t>
  </si>
  <si>
    <t>XRD; Rietveld refinement; Magnetic properties; Dielectric characteristics; Magneto-electric coefficient; Ferroelectric properties</t>
  </si>
  <si>
    <t>CRYSTAL-STRUCTURE REFINEMENT; BARIUM-TITANATE; COMPOSITES; BEHAVIOR; BATIO3</t>
  </si>
  <si>
    <t>Multiferroics having composition yNiFe2O4 -(1-y) BaTiO3(y = 0.10, 0.30 and 0.50) have been prepared through the solid-state reaction route. These samples constitute NiFe2O4 as the ferromagnetic phase and BaTiO3as the ferroelectric phase. The X-ray diffraction (XRD) has been carried out to investigate the crystal structure for-mation and phase purity of the prepared ceramic samples. Rietveld refinement of XRD patterns confirm the presence of cubic (Fd3m) and tetragonal (P4mm) symmetries in all the samples. The effect of ferrite (NFO) concentration on magnetic, dielectric, ME coefficient and ferroelectric properties of samples has been studied further. The recorded M-H loops at room temperature, reflects the ferromagnetic nature of all samples. These hysteresis loops are fitted by LAS (law of approach to saturation), and the values of various magnetic parameters are evaluated. A gradual enhancement in magnetic parameters is noticed with an increased in NFO concentra-tion. Variations of dielectric constant (&amp; epsilon;') and loss tangent (tan &amp; delta;) as a function of frequency as well as of temperature at various selected frequencies (10 kHz, 100 kHz, 500 kHz, and 1 MHz) have been studied. The highest value of magnetoelectric (ME) response has been observed for thesample0.10NiFe2O4-0.90BaTiO3. P-E loops show an enhancement in both the coercive field and the remnant polarization with an increment in ferrite content at room temperature.</t>
  </si>
  <si>
    <t>[Chauhan, Meenal; Arya, Ekta; Kumari, Anand; Sanghi, Sujata; Agarwal, Ashish] Guru Jambheshwar Univ Sci &amp; Technol, Dept Phys, Hisar 125001, Haryana, India</t>
  </si>
  <si>
    <t>Guru Jambheshwar University of Science &amp; Technology</t>
  </si>
  <si>
    <t>Agarwal, A (corresponding author), Guru Jambheshwar Univ Sci &amp; Technol, Dept Phys, Hisar 125001, Haryana, India.</t>
  </si>
  <si>
    <t>aagju@yahoo.com</t>
  </si>
  <si>
    <t>Sanghi, Sujata/0000-0002-1471-4616</t>
  </si>
  <si>
    <t>DST, New Delhi [SR/PURSE Phase 2/40(G)]</t>
  </si>
  <si>
    <t>DST, New Delhi(Department of Science &amp; Technology (India))</t>
  </si>
  <si>
    <t>Meenal Chauhan is grateful to UGC, New Delhi for providing finical assistance (JRF) to carry out this work. SS is thankful to DST, New Delhi for providing fund under PURSE program No. SR/PURSE Phase 2/40(G).</t>
  </si>
  <si>
    <t>NOV 25</t>
  </si>
  <si>
    <t>10.1016/j.jallcom.2023.171360</t>
  </si>
  <si>
    <t>P5XK3</t>
  </si>
  <si>
    <t>WOS:001051401800001</t>
  </si>
  <si>
    <t>Chen, HX; Wang, RQ; Li, J; Liu, C; Yang, XJ; Liu, Y</t>
  </si>
  <si>
    <t>Chen, Hongxing; Wang, Renquan; Li, Jun; Liu, Chang; Yang, Xiaojiao; Liu, Ying</t>
  </si>
  <si>
    <t>Simultaneous enhancement of magnetic properties and electric resistance of hot-deformed Nd-Fe-B magnets by doping insulating nano-diamonds</t>
  </si>
  <si>
    <t>Nd-Fe-B; Hot -deformation; Coercivity; Resistance; Nano-diamonds</t>
  </si>
  <si>
    <t>NUCLEATION CONTROLLED MAGNETS; SINTERED MAGNETS; GRAIN-SIZE; RICH PHASE; COERCIVITY; MICROSTRUCTURE; REVERSAL; CARBON</t>
  </si>
  <si>
    <t>The combination of high coercivity and resistivity is a strong requirement for permanent magnets to resist thermal demagnetization under complex operating conditions. However, this still remains a challenge for con-ventional strategies, which always sacrifice the maximum energy product as the coercivity or resistivity in-creases. In this work, we report a unique strategy of introducing only 0.1 wt% of insulating nano-diamonds (NDs) into the hot-deformed Nd-Fe-B magnets to significantly and simultaneously improve both magnetic properties (Hci, Br, (BH)max and Hk/Hcj) and resistivity. In particular, the coercivity increased by 60% from 746 to 1193 kA/ m. Further microstructure observations indicate that this exceptional effect stems from NDs can effectively inhibit the formation of coarse grains and optimize the distribution of Nd-rich phases, ensuring a strong pinning effect to enhance hard magnetic performance. Meanwhile, the presence of additional grain boundaries and NDs can also lead to higher resistivity by preventing the movement of free electrons. Our work provides a distinctive strategy for interface modification with excellent comprehensive performance in permanent magnets.</t>
  </si>
  <si>
    <t>[Chen, Hongxing; Wang, Renquan; Li, Jun; Liu, Chang; Yang, Xiaojiao; Liu, Ying] Sichuan Univ, Coll Mat Sci &amp; Engn, 24 South Sect 1,Yihuan Rd, Chengdu 610065, Peoples R China; [Liu, Ying] Minist Educ, Key Lab Adv Special Mat &amp; Technol, Chengdu 610065, Peoples R China; [Liu, Ying] Key Lab Polymer Mat Engn, Chengdu 610065, Peoples R China; [Wang, Renquan; Li, Jun; Liu, Chang; Yang, Xiaojiao; Liu, Ying] Sichuan Univ, Sichuan Prov Engn Lab Preparat Technol Rare Earth, 24 South Sect 1,Yihuan Rd, Chengdu 610065, Peoples R China</t>
  </si>
  <si>
    <t>Liu, Y (corresponding author), Sichuan Univ, Coll Mat Sci &amp; Engn, 24 South Sect 1,Yihuan Rd, Chengdu 610065, Peoples R China.</t>
  </si>
  <si>
    <t>National Natural Science Foundation of China [U21A2053]; Fundamental Research Funds for Central Universities [20826041D4125, 2020SCUNG201]</t>
  </si>
  <si>
    <t>National Natural Science Foundation of China(National Natural Science Foundation of China (NSFC)); Fundamental Research Funds for Central Universities(Fundamental Research Funds for the Central Universities)</t>
  </si>
  <si>
    <t>This research has received partial support from the National Natural Science Foundation of China (Grant No. U21A2053) , the Fundamental Research Funds for Central Universities (20826041D4125) , New func-tional materials and applications of rare earth vanadium titanium (2020SCUNG201) .</t>
  </si>
  <si>
    <t>10.1016/j.jallcom.2023.171424</t>
  </si>
  <si>
    <t>P3CT8</t>
  </si>
  <si>
    <t>WOS:001049461600001</t>
  </si>
  <si>
    <t>Chikkatti, BS; Sajjan, AM; Kalahal, PB; Banapurmath, NR; Ayachit, NH</t>
  </si>
  <si>
    <t>Chikkatti, Bipin S.; Sajjan, Ashok M.; Kalahal, Prakash B.; Banapurmath, Nagaraj R.; Ayachit, Narasimha H.</t>
  </si>
  <si>
    <t>Fabrication and assessment of poly(lactic acid)-poly(4-styrene sulfonate) flexible membranes as electrodes for supercapacitors</t>
  </si>
  <si>
    <t>Supercapacitor; Flexible films; Areal capacitance; Energy density; Power density</t>
  </si>
  <si>
    <t>ACID) NANOCOMPOSITES; ENERGY-STORAGE; COMPOSITE FILM; CAPACITANCE; MICROSTRUCTURE; PERFORMANCE; CARBONS</t>
  </si>
  <si>
    <t>Flexible supercapacitors have become a popular research area as an energy storage technology for powering portable gadgets because of their high areal capacitance. The present work describes the preparation of flexible films of poly(lactic acid) and poly(4-styrene sulfonate) as electrode material for supercapacitors. The techniques like Fourier transform infrared spectroscopy (FTIR), X-ray diffraction (XRD), thermogravimetric analysis (TGA), differential scanning calorimetry (DSC), water contact angle (WCA), scanning electron microscopy (SEM) and atomic force microscopy (AFM) were used to analyze physicochemical properties and cyclic voltammetry (CV), electrochemical impedance spectroscopy (EIS) and galvanostatic charge-discharge (GCD) were used to analyze electrochemical properties of developed flexible films. An electrode film exhibited maximum areal capacitance of 303.5 mF cm-2 at 0.2 mA cm-2 current density with energy density 15.8 &amp; mu;Wh cm-2 and power density 243.9 &amp; mu;W cm-2 and showed capacitance retention of 66.69 % after prolonged 1000 cycles. The fabricated micro supercapacitor device achieved an areal capacitance of 490.3 mF cm-2 at 0.3 mA cm-2 current density, which provides a platform for making large-scale supercapacitor devices for industrial applications.</t>
  </si>
  <si>
    <t>[Chikkatti, Bipin S.; Sajjan, Ashok M.; Kalahal, Prakash B.] KLE Technol Univ, Dept Chem, Hubballi 580031, India; [Sajjan, Ashok M.; Banapurmath, Nagaraj R.; Ayachit, Narasimha H.] KLE Technol Univ, Ctr Excellence Mat Sci, Hubballi 580031, India</t>
  </si>
  <si>
    <t>KLE Technological University; KLE Technological University</t>
  </si>
  <si>
    <t>Sajjan, AM (corresponding author), KLE Technol Univ, Dept Chem, Hubballi 580031, India.</t>
  </si>
  <si>
    <t>am_sajjan@kletech.ac.in</t>
  </si>
  <si>
    <t>Sajjan, Ashok/H-1182-2015; Banapurmath, Nagaraj/P-7855-2014</t>
  </si>
  <si>
    <t>Sajjan, Ashok/0000-0003-1251-8803; Banapurmath, Nagaraj/0000-0002-1280-6234; Chikkatti, Bipin/0000-0002-5973-9841</t>
  </si>
  <si>
    <t>VGST, Karnataka, India [K-FIST (L2) /2016-17/GRD-540/2017- 18/103/310]</t>
  </si>
  <si>
    <t>VGST, Karnataka, India</t>
  </si>
  <si>
    <t>One of the authors (Ashok M. Sajjan) acknowledges financial support from VGST, Karnataka, India (No K-FIST (L2) /2016-17/GRD-540/2017- 18/103/310) .</t>
  </si>
  <si>
    <t>C</t>
  </si>
  <si>
    <t>10.1016/j.est.2023.108513</t>
  </si>
  <si>
    <t>P5JC0</t>
  </si>
  <si>
    <t>WOS:001051027500001</t>
  </si>
  <si>
    <t>Deng, Y; Shao, ZF; Dang, CY; Huang, X; Wu, WF; Zhuang, QW; Ding, Q</t>
  </si>
  <si>
    <t>Deng, Ying; Shao, Zhenfeng; Dang, Chaoya; Huang, Xiao; Wu, Wenfu; Zhuang, Qingwei; Ding, Qing</t>
  </si>
  <si>
    <t>Assessing urban wetlands dynamics in Wuhan and Nanchang, China</t>
  </si>
  <si>
    <t>Urban wetland; Fine wetland extraction; Shape features; Hierarchical decision trees; The Wetland city</t>
  </si>
  <si>
    <t>GOOGLE EARTH ENGINE; WATER INDEX NDWI; SURFACE-WATER; FINE CLASSIFICATION; RANDOM FOREST; URBANIZATION; IMAGES; MAPS; EXPANSION; FRAMEWORK</t>
  </si>
  <si>
    <t>Urban wetlands play a crucial role in sustainable social development. However, current research mainly focuses on specific wetland types, and fine extraction of urban wetlands remains a challenge. This study proposes a fine extraction framework based on hierarchical decision trees and shape features for urban wetlands, using Sentinel2 remote sensing data to obtain detailed wetland data of Wuhan and Nanchang from 2016 to 2022. Our framework applies random forests to classify land cover, extracts urban fine wetlands by hierarchical decision trees and shape features, and assesses the dynamics of wetlands in the two cities. We also analyzed and discussed the characteristics of urban wetlands in the two cities. The results show that wetland accuracies of Wuhan and Nanchang are greater than 84.5 % and 82.9 %, respectively. The wetland areas of Wuhan in 2016, 2019, and 2022 are 1969.4 km2, 1713.8 km2, and 1681.1 km2, while those in Nanchang are 1405.9 km2, 1361.6 km2, and 766.9 km2. Inland wetlands are the main wetland types in both regions, with lake wetlands accounting for the highest proportion (over 40 %). The urban wetlands in the two cities exhibit different spatial and temporal evolution patterns, with varying change trends of wetland area and the structural proportions of fine wetlands. Besides, Wuhan's urban wetlands are primarily located in the south, while Nanchang's urban wetlands are concentrated in the east, exhibiting higher spatial and temporal dynamics. Analysis suggests that the reduced urban wetlands from 2016 to 2022 are related to fluctuating decreasing precipitation, growing population, and gross domestic product (GDP). Our study provides support for the conservation of urban wetland resources in Wuhan and Nanchang and highlights the need for targeted management strategies.</t>
  </si>
  <si>
    <t>[Deng, Ying; Shao, Zhenfeng; Dang, Chaoya; Zhuang, Qingwei; Ding, Qing] Wuhan Univ, State Key Lab Informat Engn Surveying Mapping &amp; Re, Wuhan 430079, Peoples R China; [Huang, Xiao] Univ Arkansas, Dept Geosci, Fayetteville, AR 72701 USA; [Wu, Wenfu] Wuhan Univ, Sch Remote Sensing &amp; Informat Engn, Wuhan 430079, Peoples R China</t>
  </si>
  <si>
    <t>Wuhan University; University of Arkansas System; University of Arkansas Fayetteville; Wuhan University</t>
  </si>
  <si>
    <t>Shao, ZF (corresponding author), Wuhan Univ, State Key Lab Informat Engn Surveying Mapping &amp; Re, Wuhan 430079, Peoples R China.</t>
  </si>
  <si>
    <t>shaozhenfeng@whu.edu.cn</t>
  </si>
  <si>
    <t>National Natural Science Foundation of China [42090012]; Guangxi Science and Technology Program [2021AB30019]; Hubei Key R amp; D Plan [2022BAA048]; Sichuan Science and Technology Program [2022YFN0031, 2023YFS0381, 2023YFN0022]; Zhuhai Industry University Research Cooperation Project of China [ZH22017001210098PWC]; Shanxi Science and Technology Major Special Project [202201150401020]; Guangxi Key Laboratory of Spatial Information and Mapping Fund Project [21-238-21-01]</t>
  </si>
  <si>
    <t>National Natural Science Foundation of China(National Natural Science Foundation of China (NSFC)); Guangxi Science and Technology Program; Hubei Key R amp; D Plan; Sichuan Science and Technology Program; Zhuhai Industry University Research Cooperation Project of China; Shanxi Science and Technology Major Special Project; Guangxi Key Laboratory of Spatial Information and Mapping Fund Project</t>
  </si>
  <si>
    <t>This work was supported in part by the National Natural Science Foundation of China under Grants 42090012; Guangxi Science and Technology Program under Grants 2021AB30019; Hubei Key R &amp; D Plan under Grants 2022BAA048; Sichuan Science and Technology Program under Grants 2022YFN0031, 2023YFS0381, and 2023YFN0022; Zhuhai Industry University Research Cooperation Project of China under Grants ZH22017001210098PWC; Shanxi Science and Technology Major Special Project under Grants 202201150401020; Guangxi Key Laboratory of Spatial Information and Mapping Fund Project under Grants 21-238-21-01. We thank Wuhan Geomatics Institute for providing the hydrological vector data of Wuhan. We thank the academic editors and re-viewers for their kind suggestions and valuable comments.</t>
  </si>
  <si>
    <t>10.1016/j.scitotenv.2023.165777</t>
  </si>
  <si>
    <t>P8HC2</t>
  </si>
  <si>
    <t>WOS:001053016400001</t>
  </si>
  <si>
    <t>Habib, M; Bollin, E; Wang, Q</t>
  </si>
  <si>
    <t>Habib, Mustapha; Bollin, Elmar; Wang, Qian</t>
  </si>
  <si>
    <t>Edge-based solution for battery energy management system: Investigating the integration capability into the building automation system</t>
  </si>
  <si>
    <t>Photovoltaics; Battery energy management system; Edge control; Building automation system</t>
  </si>
  <si>
    <t>SMART; OPTIMIZATION; INTERNET; THINGS; COST</t>
  </si>
  <si>
    <t>Recently, photovoltaic (PV) with energy storage systems (ESS) have been widely adopted in buildings to overcome growing power demands and earn financial benefits. The overall energy cost can be optimized by combining a well-sized hybrid PV/ESS system with an efficient energy management system (EMS). Generally, EMS is implemented within the overall functions of the Building Automation System (BAS). However, due to its limited computing resources, BAS cannot handle complex algorithms that aim to optimize energy use in real-time under different operating conditions. Furthermore, islanding the building's local network to maximize the PV energy share represents a challenging task due to the potential technical risks. In this context, this article addresses an improved approach based on upgrading the BAS data analytics capability by means of an edge computing technology. The edge communicates with the BAS low-level controller using a serial communication protocol. Taking advantage of the high computing ability of the edge device, an optimization-based EMS of the PV/ESS hybrid system is implemented. Different testing scenarios have been carried out on a real prototype with different weather conditions, and the results show the implementation feasibility and technical performance of such advanced EMS for the management of building energy resources. It has also been proven to be feasible and advantageous to operate the local energy network in island mode while ensuring system safety. Additionally, an estimated energy saving improvement of 6.23 % has been achieved using optimization-based EMS compared to the classical rule-based EMS, with better ESS constraints fulfillment.</t>
  </si>
  <si>
    <t>[Habib, Mustapha; Wang, Qian] KTH Royal Inst Technol, Dept Civil &amp; Architectural Engn, Div Bldg Technol &amp; Design, S-11428 Stockholm, Sweden; [Bollin, Elmar] Offenburg Univ Appl Sci, Inst Energy Syst Technol, D-77652 Offenburg, Germany; [Wang, Qian] Uponor AB, Hackstavagen 1, S-72132 Vasteras, Sweden</t>
  </si>
  <si>
    <t>Royal Institute of Technology; Hochschule Offenburg</t>
  </si>
  <si>
    <t>Habib, M (corresponding author), KTH Royal Inst Technol, Dept Civil &amp; Architectural Engn, Div Bldg Technol &amp; Design, S-11428 Stockholm, Sweden.</t>
  </si>
  <si>
    <t>mushab@kth.se; bollin@hs-offenburg.de; qianwang@kth.se</t>
  </si>
  <si>
    <t>Algerian Ministry of Higher Education and Scientific Research; EU [101036656]</t>
  </si>
  <si>
    <t>Algerian Ministry of Higher Education and Scientific Research; EU(European Union (EU))</t>
  </si>
  <si>
    <t>This research was funded by Algerian Ministry of Higher Education and Scientific Research in the framework of Programme National Exceptionnel (PNE). This research is also partially funded by EU H2020 programme under Grant Agreement No. 101036656.</t>
  </si>
  <si>
    <t>10.1016/j.est.2023.108479</t>
  </si>
  <si>
    <t>Q2VD6</t>
  </si>
  <si>
    <t>WOS:001056134300001</t>
  </si>
  <si>
    <t>Liu, B; Liu, H; Lyu, Z; Li, GJ; Li, JY; Huang, P; Yang, LL; Gong, RX</t>
  </si>
  <si>
    <t>Liu, Bin; Liu, Hui; Lyu, Zhilin; Li, Guojin; Li, Jiyong; Huang, Ping; Yang, Liulin; Gong, Renxi</t>
  </si>
  <si>
    <t>Control of a lithium-ion battery interfacing input-voltage-controlled boost converter with virtual impedance compensation technique</t>
  </si>
  <si>
    <t>Input-voltage-controlled boost converter; Virtual impedance; dc micro-grid</t>
  </si>
  <si>
    <t>STRATEGY; CHARGER; DESIGN; SYSTEM</t>
  </si>
  <si>
    <t>Lithium-ion batteries are becoming increasingly popular for energy storage in various hybrid energy systems, hybrid ac/dc, micro-grid, e-mobility applications. However, due to the wide battery impedance range, the performance of lithium-ion battery interfacing dc-dc converter is affected, results in complicated task for design of this regulation. As the virtual impedance concept is increasingly used for the control of power electronic systems, this letter introduces virtual impedance into the Lithium-ion Battery interfacing boost converter controller, to reduce the impact of variable inner impedance. The proposed virtual-impedance based control structure, is derived with small-signal model of boost converter, and explained in detail in this letter. Finally, the performance of the strategy is verified on a lithium-ion battery pack equipped dc micro-grid.</t>
  </si>
  <si>
    <t>[Liu, Bin; Liu, Hui; Lyu, Zhilin; Li, Guojin; Li, Jiyong; Huang, Ping; Yang, Liulin] Guangxi Univ, Sch Elect Engn, Nanning, Peoples R China; [Liu, Bin; Gong, Renxi] Nanning Univ, Coll Traff &amp; Transportat, Nanning, Peoples R China</t>
  </si>
  <si>
    <t>Guangxi University; Nanning University</t>
  </si>
  <si>
    <t>Liu, B (corresponding author), Guangxi Univ, Sch Elect Engn, Nanning, Peoples R China.;Liu, B (corresponding author), Nanning Univ, Coll Traff &amp; Transportat, Nanning, Peoples R China.</t>
  </si>
  <si>
    <t>bingo.liu@gxu.edu.cn</t>
  </si>
  <si>
    <t>wang, KiKi/JFZ-3334-2023; 龚, 仁喜/AAZ-4204-2020</t>
  </si>
  <si>
    <t>National Natural Science Foundation of China [62141103]; Natural Science Foundation of Guangxi Province of China [2021GXNSFAA220132]</t>
  </si>
  <si>
    <t>National Natural Science Foundation of China(National Natural Science Foundation of China (NSFC)); Natural Science Foundation of Guangxi Province of China(National Natural Science Foundation of Guangxi Province)</t>
  </si>
  <si>
    <t>Acknowledgments This work was supported by the National Natural Science Foundation of China under Grants 62141103, the Natural Science Foundation of Guangxi Province of China under Grant no. 2021GXNSFAA220132.</t>
  </si>
  <si>
    <t>10.1016/j.est.2023.108469</t>
  </si>
  <si>
    <t>P4RJ1</t>
  </si>
  <si>
    <t>WOS:001050531500001</t>
  </si>
  <si>
    <t>Naseri, M; Moghaddam, AO; Shaburova, N; Gholami, D; Pellenen, A; Trofimov, E</t>
  </si>
  <si>
    <t>Naseri, Majid; Moghaddam, Ahmad Ostovari; Shaburova, Nataliya; Gholami, Davood; Pellenen, Anatoliy; Trofimov, Evgeny</t>
  </si>
  <si>
    <t>Ultrafine lamellar microstructures for enhancing strength-ductility synergy in high-entropy alloys via severe cold rolling process</t>
  </si>
  <si>
    <t>High-entropy alloys; Severe cold rolling; Microstructure characterization; Ultrafine lamellar microstructures; Mechanical characterization</t>
  </si>
  <si>
    <t>MECHANICAL-PROPERTIES; DEFORMATION TEXTURE; AA2024 ALLOY; BEHAVIOR</t>
  </si>
  <si>
    <t>In the present study, the effect of severe cold rolling (SCR) on the microstructure and mechanical characteristics of X0.25FeCoNiMnV (X: Al, Ti) high-entropy alloys (HEAs) specimens was investigated. It was observed that the as-cast and homogenized specimens exhibited a two-phase microstructure consisting of face-centered cubic (FCC) and a minor body-centered cubic (BCC) structure. Electron backscattered diffraction (EBSD) analysis indicated that SCR could effectively induce a strong rolling texture with stretched grains along the rolling direction and lamellar deformation bands as the major microstructural features for all the HEAs specimens. Moreover, a large number of nano-scale grains are formed within the coarse-stretched microstructure of Al0.25FeCoNiMnV and Ti0.25FeCoNiMnV HEAs specimens due to local fragmentation, resulting in a bimodal grain structure. After 85 % cold rolling, the fraction of high angle grain boundaries and mean misorientation angle of the boundaries are 54 % and 22.15 degrees in the FeCoNiMnV specimen, while they are 61 % and 26.42 degrees for Al0.25FeCoNiMnV, and 57 % and 28.53 degrees for Ti0.25FeCoNiMnV. Ti0.25FeCoNiMnV specimen exhibited the best combination of strength-ductility (tensile strength of 1225 MPa and elongation of 26 %) compared to FeCoNiMnV (720 MPa and 15 %) and Al0.25FeCoNiMnV (970 MPa and 18 %). Observations revealed that the failure mode of HEAs specimens was a ductile type fracture with a combination of deep and shallow dimples. The findings revealed that SCR can effectively improve the strength and microhardness of HEAs, while it highly retains their elongation owing to the formation of a bimodal structure consisting of new grain boundaries and dislocation substructures.</t>
  </si>
  <si>
    <t>[Naseri, Majid; Moghaddam, Ahmad Ostovari; Shaburova, Nataliya; Pellenen, Anatoliy; Trofimov, Evgeny] South Ural State Univ, 76 Lenin Ave, Chelyabinsk 454080, Russia; [Gholami, Davood] Iran Univ Sci &amp; Technol, Sch Met &amp; Mat Engn, Tehran, Iran</t>
  </si>
  <si>
    <t>South Ural State University; Iran University Science &amp; Technology</t>
  </si>
  <si>
    <t>Naseri, M; Trofimov, E (corresponding author), South Ural State Univ, 76 Lenin Ave, Chelyabinsk 454080, Russia.</t>
  </si>
  <si>
    <t>majid_na3ri@yahoo.com; trofimovea@susu.ru</t>
  </si>
  <si>
    <t>Russian Federation by the Russian Ministry of Education and Science [075-15-2022-1243]</t>
  </si>
  <si>
    <t>Russian Federation by the Russian Ministry of Education and Science</t>
  </si>
  <si>
    <t>The work was supported financially by the Russian Federation represented by the Russian Ministry of Education and Science, project number is 075-15-2022-1243.</t>
  </si>
  <si>
    <t>10.1016/j.jallcom.2023.171385</t>
  </si>
  <si>
    <t>P3YZ5</t>
  </si>
  <si>
    <t>WOS:001050050100001</t>
  </si>
  <si>
    <t>Pongerard, A; Mallo, L; Do Sacramento, V; Boiron, O; Eckly, A; Gachet, C; Lanza, FC; Knapp, Y; Strassel, C</t>
  </si>
  <si>
    <t>Pongerard, Anais; Mallo, Lea; Do Sacramento, Valentin; Boiron, Olivier; Eckly, Anita; Gachet, Christian; Lanza, Francois; Knapp, Yannick; Strassel, Catherine</t>
  </si>
  <si>
    <t>Development of an efficient, ready to use, blood platelet-release device based on two new flow regime parameters: The periodic hydrodynamic loading and the shear stress accumulation</t>
  </si>
  <si>
    <t>NEW BIOTECHNOLOGY</t>
  </si>
  <si>
    <t>Cultured platelets; Flow regime; Large-scale production; Shear stress accumulation</t>
  </si>
  <si>
    <t>In vitro production of blood platelets for transfusion purposes is gaining interest. While platelet production is now possible on a laboratory scale, the challenge is to move towards industrial production. Attaining this goal calls for the development of platelet release devices capable of producing large quantities of platelets. To this end, we have developed a continuous-flow platelet release device composed of five spherical chambers each containing two calibrated cones placed in a staggered configuration. Following perfusion of proplatelet-bearing cultured megakaryocytes, the device achieves a high yield of about 100 bona-fide platelets/megakaryocyte, at a flow rate of similar to 80 mL/min. Performances and operating conditions comply with the requirements of large-scale platelet production. Moreover, this device enabled an in-depth analysis of the flow regimes through Computational Fluid Dynamics (CFD). This revealed two new universal parameters to be taken into account for an optimal platelet release: i.e. a periodic hydrodynamic load and a sufficient accumulation of shear stress. An efficient 16 Pa.s shear stress accumulation is obtained in our system at a flow rate of 80 mL/min.</t>
  </si>
  <si>
    <t>[Pongerard, Anais; Mallo, Lea; Do Sacramento, Valentin; Eckly, Anita; Gachet, Christian; Lanza, Francois; Strassel, Catherine] Univ Strasbourg, INSERM, EFS Grand Est, BPPS UMR S1255,FMTS, F-67065 Strasbourg, France; [Boiron, Olivier] Univ Aix Marseille, Ecole Cent Marseille, CNRS, IRPHE UMR7342, F-13000 Marseille, France; [Knapp, Yannick] Univ Avignon, LAPEC UPR 4278, F-84000 Avignon, France; [Strassel, Catherine] EFS Grand Est, UMR S1255, 10 rue Spielmann, F-67065 Strasbourg, France</t>
  </si>
  <si>
    <t>UDICE-French Research Universities; Universites de Strasbourg Etablissements Associes; Universite de Strasbourg; Universite de Lorraine; Institut National de la Sante et de la Recherche Medicale (Inserm); UDICE-French Research Universities; Aix-Marseille Universite; Centre National de la Recherche Scientifique (CNRS); CNRS - Institute for Engineering &amp; Systems Sciences (INSIS); Avignon Universite</t>
  </si>
  <si>
    <t>Strassel, C (corresponding author), EFS Grand Est, UMR S1255, 10 rue Spielmann, F-67065 Strasbourg, France.</t>
  </si>
  <si>
    <t>Catherine.strassel@efs.sante.fr</t>
  </si>
  <si>
    <t>Do Sacramento, Valentin/0009-0006-3836-627X</t>
  </si>
  <si>
    <t>1871-6784</t>
  </si>
  <si>
    <t>1876-4347</t>
  </si>
  <si>
    <t>NEW BIOTECHNOL</t>
  </si>
  <si>
    <t>New Biotech.</t>
  </si>
  <si>
    <t>10.1016/j.nbt.2023.07.002</t>
  </si>
  <si>
    <t>Biochemical Research Methods; Biotechnology &amp; Applied Microbiology</t>
  </si>
  <si>
    <t>Biochemistry &amp; Molecular Biology; Biotechnology &amp; Applied Microbiology</t>
  </si>
  <si>
    <t>O9UJ2</t>
  </si>
  <si>
    <t>WOS:001047192500001</t>
  </si>
  <si>
    <t>Raja, N; Yadav, S; Kumar, A; Gautam, G</t>
  </si>
  <si>
    <t>Raja, Nitish; Yadav, Sandeep; Kumar, Atul; Gautam, Gaurav</t>
  </si>
  <si>
    <t>Hot working and microstructural response of ultrasonically fabricated 2 wt%ZrB2/AA7068 composite</t>
  </si>
  <si>
    <t>In-situ composite; Thermomechanical processing; 3D processing map; Hot forging; DEFORM-3D; Electron microscopy</t>
  </si>
  <si>
    <t>7075 ALUMINUM-ALLOY; DEFORMATION-BEHAVIOR; MECHANICAL-PROPERTIES; DYNAMIC RECRYSTALLIZATION; PROCESSING MAP; ZRB2 PARTICLES; MATRIX COMPOSITE; GRAIN-REFINEMENT; STRAIN-RATE; EVOLUTION</t>
  </si>
  <si>
    <t>Hot compression is an efficient and widely accepted route for optimizing the microstructural characteristics of metallic materials; thus, understanding hot deformation response is essential for producing the upgraded material. The present research investigated the hot working behaviour of ultrasonically fabricated in-situ 2 wt% ZrB2/AA7068 composite to obtain a dendrite-free microstructure after single-step compression. Compression response is studied in the broad thermomechanical range of T = 250-450 degrees C and &amp; epsilon; = 0.001-1 s- 1. The true stresstrue strain of the deformed specimens increases with an increase in the deformation rate and a decrease in temperature. The constitutive equation was established, which precisely predicted the flow behaviour of the material. A 3-dimensional workability map was plotted to study the workability with increasing strain. The workability map has displayed the highest power dissipation efficiency of 39 % in the domain of 433-450 degrees C, 0.04-0.01 s- 1. Hot forging simulation through DEFORM-3D indicated a higher effective strain in the centre of the deformed specimens. EBSD IPF and GOS micrograph illustrated strained microstructure at lower temperatures &amp; LE; 375 degrees C, &amp; LE; 0.1 s- 1, whereas fair recrystallization was observed at 375 degrees C, 0.001 &amp; LE; &amp; epsilon;&amp; LE; 0.01 s- 1. The dynamic softening indicated the occurrence of DRV and CDRX. Additionally, the occurrence of PSN was also observed in the deformed microstructure. After hot working, the best-working region for a dendritic-free microstructure is recognized in 380-450 degrees C, 0.001-0.5 s- 1. Microstructural evolution and workability map were in line with each other.</t>
  </si>
  <si>
    <t>[Raja, Nitish] Indian Inst Technol Kanpur, Dept Mat Sci &amp; Engn, Kanpur 208016, India; [Raja, Nitish; Yadav, Sandeep] Indian Inst Technol Roorkee, Dept Met &amp; Mat Engn, Roorkee 247767, India; [Kumar, Atul] Vellore Inst Technol, Sch Mech Engn, Vellore 632014, India; [Gautam, Gaurav] Graph Era Hill Univ, Dept Phys, Dehra Dun 248001, Uttarakhand, India</t>
  </si>
  <si>
    <t>Indian Institute of Technology System (IIT System); Indian Institute of Technology (IIT) - Kanpur; Indian Institute of Technology System (IIT System); Indian Institute of Technology (IIT) - Roorkee; Vellore Institute of Technology (VIT); VIT Vellore</t>
  </si>
  <si>
    <t>Raja, N (corresponding author), Indian Inst Technol Kanpur, Dept Mat Sci &amp; Engn, Kanpur 208016, India.;Kumar, A (corresponding author), Vellore Inst Technol, Sch Mech Engn, Vellore 632014, India.;Gautam, G (corresponding author), Graph Era Hill Univ, Dept Phys, Dehra Dun 248001, Uttarakhand, India.</t>
  </si>
  <si>
    <t>nitish.raja90@gmail.com; atul.kumar@vit.ac.in; gauravgautamm1988@gmail.com</t>
  </si>
  <si>
    <t>Raja, Nitish/ACA-9504-2022</t>
  </si>
  <si>
    <t>10.1016/j.jallcom.2023.171412</t>
  </si>
  <si>
    <t>P3ZF6</t>
  </si>
  <si>
    <t>WOS:001050056300001</t>
  </si>
  <si>
    <t>Wang, SS; Wang, Q; Liu, WX; Wang, Y; Wei, YL; Luo, SH; Hou, PQ; Zhang, YH; Yan, SX; Liu, X</t>
  </si>
  <si>
    <t>Wang, Shasha; Wang, Qing; Liu, Wuxin; Wang, Yan; Wei, Yuli; Luo, Shaohua; Hou, Pengqing; Zhang, Yahui; Yan, Shengxue; Liu, Xin</t>
  </si>
  <si>
    <t>The g-C3N4-derived nanoarchitectonics of nitrogen-doped carbon material as a high-rate performance anode for potassium ion batteries</t>
  </si>
  <si>
    <t>Anode; Nitrogen-doped carbon; Potassium-ion battery</t>
  </si>
  <si>
    <t>POROUS CARBON; GRAPHENE; NITRIDE; GRAPHITE; FABRICATION; CAPACITY</t>
  </si>
  <si>
    <t>Due to the advantages of abundant precursors, simple preparation, and environmental friendliness, nitrogendoped carbon is considered one of the most potential anodes for potassium ion batteries (PIBs). Here, nitrogen-doped carbon materials (NC-2) were prepared by using secondary exfoliated g-C3N4 as a precursor, combined with sucrose, and subjected to hydrothermal and high-temperature pyrolysis. NC-2 is characterized by high nitrogen content, porous layered structure, and large interlayer spacing. NC-2 used as anode of PIBs shows a high reversible capacity of 261.07 mAh g-1 at 0.1 A g-1 and an impressive rate performance of 153.36 mAh g-1 at 2 A g-1. The impressive performance of NC-2 can be originated from the porous layered structure and enlarged interlayer spacing promotes the intercalation/deintercalation and the diffusion of K ions, and the defective carbon structure formed after nitrogen doping can supply abundant active sites for K ions. The results show that NC-2 has great potential in the field of PIBs anode.</t>
  </si>
  <si>
    <t>[Wang, Shasha; Wang, Qing; Liu, Wuxin; Wang, Yan; Wei, Yuli; Luo, Shaohua; Zhang, Yahui; Yan, Shengxue; Liu, Xin] Northeastern Univ, Sch Mat Sci &amp; Engn, Shenyang 110819, Peoples R China; [Wang, Shasha; Wang, Qing; Liu, Wuxin; Wang, Yan; Wei, Yuli; Luo, Shaohua; Zhang, Yahui; Yan, Shengxue; Liu, Xin] Northeastern Univ, State Key Lab Rolling &amp; Automat, Shenyang 110819, Peoples R China; [Wang, Qing; Luo, Shaohua; Hou, Pengqing; Zhang, Yahui; Yan, Shengxue; Liu, Xin] Northeastern Univ Qinhuangdao, Sch Resources &amp; Mat, Qinhuangdao 066004, Peoples R China; [Wang, Shasha; Wang, Qing; Liu, Wuxin; Wang, Yan; Wei, Yuli; Luo, Shaohua; Hou, Pengqing; Zhang, Yahui; Yan, Shengxue; Liu, Xin] Hebei Key Lab Dielect &amp; Electrolyte Funct Mat, Qinhuangdao 066004, Peoples R China; [Hou, Pengqing] Shenyang Univ Technol, Sch Mat Sci &amp; Engn, Shenyang 110870, Peoples R China</t>
  </si>
  <si>
    <t>Northeastern University - China; Northeastern University - China; Northeastern University - China; Shenyang University of Technology</t>
  </si>
  <si>
    <t>Wang, Q; Luo, SH; Hou, PQ (corresponding author), Northeastern Univ Qinhuangdao, Sch Resources &amp; Mat, Qinhuangdao 066004, Peoples R China.</t>
  </si>
  <si>
    <t>wangqing@neuq.edu.cn; tianyanglsh@163.com; 2008hpq@163.com</t>
  </si>
  <si>
    <t>Jun, Zhang/0000-0002-5006-0621</t>
  </si>
  <si>
    <t>National Natural Science Foundation of China [52104291, 52274295]; Natural Science Foundation of Hebei Province [E2021501029, E2021501007, E2022501028, E2022501029]; Natural Science Foundation-Steel; Iron Foundation of Hebei Province [E2022501030]; Science and Technology Project of Hebei Education Department [ZD2022158]; Fundamental Research Funds for the Central Universities [N2023040, N2223009, N2223010, N2123035]; Central Guided Local Science and Technology Development Fund Project of Hebei Province [226Z4401G]; Performance subsidy fund for Key Laboratory of Dielectric and Electrolyte Functional Material Hebei Province [22567627H]</t>
  </si>
  <si>
    <t>National Natural Science Foundation of China(National Natural Science Foundation of China (NSFC)); Natural Science Foundation of Hebei Province(Natural Science Foundation of Hebei Province); Natural Science Foundation-Steel; Iron Foundation of Hebei Province; Science and Technology Project of Hebei Education Department; Fundamental Research Funds for the Central Universities(Fundamental Research Funds for the Central Universities); Central Guided Local Science and Technology Development Fund Project of Hebei Province; Performance subsidy fund for Key Laboratory of Dielectric and Electrolyte Functional Material Hebei Province</t>
  </si>
  <si>
    <t>&amp; nbsp;This work was financially supported by the National Natural Science Foundation of China (Nos. 52104291, 52274295) , the Natural Science Foundation of Hebei Province (Nos. E2021501029, E2021501007, E2022501028 and E2022501029) , the Natural Science Foundation-Steel, the Iron Foundation of Hebei Province (No. E2022501030) , the Science and Technology Project of Hebei Education Department (ZD2022158) , the Fundamental Research Funds for the Central Universities (N2023040, N2223009, N2223010 and N2123035) , the Central Guided Local Science and Technology Development Fund Project of Hebei Province (226Z4401G) , Performance subsidy fund for Key Laboratory of Dielectric and Electrolyte Functional Material Hebei Province (No. 22567627H) .</t>
  </si>
  <si>
    <t>10.1016/j.jallcom.2023.171494</t>
  </si>
  <si>
    <t>P4CA0</t>
  </si>
  <si>
    <t>WOS:001050129300001</t>
  </si>
  <si>
    <t>Wei, JJ; Wang, ST; Tang, WX; Xu, ZR; Ma, DH; Zheng, M; Li, JS</t>
  </si>
  <si>
    <t>Wei, Jianjian; Wang, Shuting; Tang, Weixu; Xu, Zhourui; Ma, Dehua; Zheng, Min; Li, Jiansheng</t>
  </si>
  <si>
    <t>Redox-directed identification of toxic transformation products during ozonation of aromatics</t>
  </si>
  <si>
    <t>Advanced oxidation processes; p-benzoquinones; Nonspecific toxicity; Sodium borohydride reduction; Fluorescence enhancement</t>
  </si>
  <si>
    <t>DISSOLVED ORGANIC-MATTER; DISINFECTION BY-PRODUCTS; ADVANCED OXIDATION PROCESSES; WASTE-WATER; OPTICAL-PROPERTIES; QUENCHING AGENTS; HUMIC SUBSTANCES; HALOBENZOQUINONES; OZONE; DEGRADATION</t>
  </si>
  <si>
    <t>The toxicity assessment of transformation products (TPs) formed in oxidative water treatment is crucial but challenging because of their low concentration, structural diversity, and mixture complexity. Here, this study developed a novel redox-directed approach for identification of toxic TPs without the individual toxicity and concentration information. This approach based on sodium borohydride reduction comprised an integrated process of toxicological evaluation, fluorescence excitation-emission matrix characterization, high-resolution mass spectrometry detection, followed by ecological toxicity assessment of identified TPs. The redox-directed identification of primary causative toxicants was experimentally tested for the increased nonspecific toxicity observations in the ozonated effluents of model aromatics. Reduction reaction caused a remarkable decrease in toxicity and increase in fluorescence intensity, obtaining a good linear relation between them. More than ten monomeric or dimeric p-benzoquinone (p-BQ) TPs were identified in the ozonated effluents. The occurrence of the p-BQ TPs was further verified through parallel sodium sulfite reduction and actual wastewater ozonation experiments. In vitro bioassays of luminescent bacteria, as well as in silico genotoxicity and cytotoxicity predictions, indicate that the toxicity of p-BQ TPs is significantly higher than that of their precursors and other TPs. These together demonstrated that the identified p-BQ TPs are primary toxicity contributors. The redox-directed approach facilitated the revelation of primary toxicity contribution, illustrating emerging p-BQs are a concern for aquatic ecosystem safety in the oxidative treatment of aromatics-contaminated wastewater.</t>
  </si>
  <si>
    <t>[Wei, Jianjian; Wang, Shuting; Tang, Weixu; Xu, Zhourui; Ma, Dehua; Li, Jiansheng] Nanjing Univ Sci &amp; Technol, Jiangsu Key Lab Chem Pollut Control &amp; Resources Re, Sch Environm &amp; Biol Engn, Nanjing 210094, Jiangsu, Peoples R China; [Zheng, Min] Univ Queensland, Australian Ctr Water &amp; Environm Biotechnol, St Lucia, Qld 4072, Australia</t>
  </si>
  <si>
    <t>Nanjing University of Science &amp; Technology; University of Queensland</t>
  </si>
  <si>
    <t>Ma, DH (corresponding author), Nanjing Univ Sci &amp; Technol, Jiangsu Key Lab Chem Pollut Control &amp; Resources Re, Sch Environm &amp; Biol Engn, Nanjing 210094, Jiangsu, Peoples R China.</t>
  </si>
  <si>
    <t>madh@njust.edu.cn</t>
  </si>
  <si>
    <t>National Natural Science Foundation of China [51708292]; [52270073]</t>
  </si>
  <si>
    <t>This work was supported by the National Natural Science Foundation of China (grants 52270073 and 51708292) for financial support.</t>
  </si>
  <si>
    <t>10.1016/j.scitotenv.2023.165929</t>
  </si>
  <si>
    <t>P8AM6</t>
  </si>
  <si>
    <t>WOS:001052843400001</t>
  </si>
  <si>
    <t>Xu, QY; Guo, SF; Zhai, LM; Wang, CY; Yin, YH; Liu, HB</t>
  </si>
  <si>
    <t>Xu, Qiyu; Guo, Shufang; Zhai, Limei; Wang, Chenyang; Yin, Yinghua; Liu, Hongbin</t>
  </si>
  <si>
    <t>Guiding the landscape patterns evolution is the key to mitigating river water quality degradation</t>
  </si>
  <si>
    <t>Non -point sources pollution; Landscape pattern evolution; Key landscape metrics; Eutrophication index; Scenario simulation</t>
  </si>
  <si>
    <t>LOW-ORDER STREAMS; LAND-USE; SPATIAL SCALES; PHOSPHORUS; SIMULATION; NITROGEN; COVER; AREA; EUTROPHICATION; DYNAMICS</t>
  </si>
  <si>
    <t>Consensus has emerged that landscape pattern evolution significantly impacts the river environment. However, there remains unclear how the landscape pattern evolves possible to achieve a balance between land resource use and water conservation. Thus, simulating future landscape patterns under different scenarios to predict river eutrophication level is critical to propose targeted landscape planning programs and alleviate river water quality degradation. Here, we coupled five water quality parameters (TOC, TN, NO3 -N, NH4+-N, TP), collected from October 2020 to September 2021, to construct the river eutrophication index (EI) to assess river water quality. Meanwhile, based on redundancy analysis, patch-generating land use simulation model, and stepwise multiple linear regression model comprehensively analyze the Fengyu River watershed landscape patterns evolution and their impact on river eutrophication. Results indicated that current rivers reach eutrophic levels, and EI reaches 40.7. The landscape patterns explain 88.2 % of river eutrophication variation, while the LPI_Con metric is critical and individually explained 21.5 %. Furthermore, eutrophication in the watershed will increase in 2040 under the natural development (ND) scenario, and the EI will reach 44.4. In contrast, farmland protection (FP) scenarios and environmental protection (EP) scenarios contribute to mitigating eutrophication, the EI values are 38.2 and 38.1, respectively. The results provide a potential mechanistic explanation that river eutrophication is a consequence of unreasonable landscape pattern evolution. Guiding the landscape patterns evolution based on critical driver factors from a planning perspective is conducive to mitigating river water quality degradation.</t>
  </si>
  <si>
    <t>[Xu, Qiyu; Zhai, Limei; Wang, Chenyang; Yin, Yinghua; Liu, Hongbin] Chinese Acad Agr Sci, Inst Agr Resources &amp; Reg Planning, State Key Lab Efficient Utilizat Arid &amp; Semiarid A, Key Lab Nonpoint Source Pollut Control, Beijing 100081, Peoples R China; [Xu, Qiyu] Inner Mongolia Univ, Inst Ecol &amp; Environm, Hohhot 010021, Inner Mongolia, Peoples R China; [Guo, Shufang] Yunnan Acad Agr Sci, Inst Agr Environm &amp; Resources, Kunming 650201, Peoples R China; [Zhai, Limei] Chinese Acad Agr Sci, Inst Agr Resources &amp; Reg Planning, Key Lab Nonpoint Source Pollut Control, Minist Agr &amp; Rural Affairs, Beijing 100081, Peoples R China</t>
  </si>
  <si>
    <t>Chinese Academy of Agricultural Sciences; Institute of Agricultural Resources &amp; Regional Planning, CAAS; Inner Mongolia University; Yunnan Academy of Agricultural Sciences; Chinese Academy of Agricultural Sciences; Institute of Agricultural Resources &amp; Regional Planning, CAAS; Ministry of Agriculture &amp; Rural Affairs</t>
  </si>
  <si>
    <t>Zhai, LM (corresponding author), Chinese Acad Agr Sci, Inst Agr Resources &amp; Reg Planning, Key Lab Nonpoint Source Pollut Control, Minist Agr &amp; Rural Affairs, Beijing 100081, Peoples R China.</t>
  </si>
  <si>
    <t>zhailimei@caas.cn</t>
  </si>
  <si>
    <t>National Natural Science Foundation of China [32072683]; Fundamental Research Funds for Central Non-profit Scientific Institution [1610132022008]</t>
  </si>
  <si>
    <t>National Natural Science Foundation of China(National Natural Science Foundation of China (NSFC)); Fundamental Research Funds for Central Non-profit Scientific Institution</t>
  </si>
  <si>
    <t>This study was funded by the National Natural Science Foundation of China (32072683) , and the Fundamental Research Funds for Central Non-profit Scientific Institution (No. 1610132022008) .</t>
  </si>
  <si>
    <t>10.1016/j.scitotenv.2023.165869</t>
  </si>
  <si>
    <t>P7LM8</t>
  </si>
  <si>
    <t>WOS:001052452700001</t>
  </si>
  <si>
    <t>Zhang, CB; Li, ZF; Sun, Y; Gao, J; Zhou, YA; Qin, ZB; Tian, R; Gao, Y</t>
  </si>
  <si>
    <t>Zhang, Chaobo; Li, Zefang; Sun, Yi; Gao, Jie; Zhou, Yanan; Qin, Zhanbin; Tian, Ran; Gao, Yun</t>
  </si>
  <si>
    <t>The high performance lithium metal composite anode by excessive alloying process</t>
  </si>
  <si>
    <t>Lithium metal alloy; Anode; Lithium dendrite</t>
  </si>
  <si>
    <t>IN-SITU OBSERVATION; ENERGY-STORAGE; DEAD LITHIUM; ZN ALLOY; DENDRITE; DEPOSITION; ION</t>
  </si>
  <si>
    <t>With the rapid development of technology and the severe environmental crisis, improving the utilization and conversion rate of sustainable energy has become an important way to alleviate ecological and sustainable development. Therefore, the development of a new generation of anode materials with high specific capacity, long cycle life has become the primary task. Elements that can react with lithium and form alloy can be used as electrode materials, but these materials have limited capacity and poor electrochemical property. Lithium metal, as the ideal anode in lithium batteries, are restrained because of the dendrites formation. Herein, we introduced lithium metal composite anode by excessive alloying process, and to some extent, lithium dendrite formation and electrochemical issues are solved. The results show that lithium metal can be deposited evenly on the silver and silicon electrode surface, and both silver and silicon can enhance the coulombic efficiency and improve the electrochemical stability. In particular, silver-lithium composite electrodes can maintain 70 cycles with coulombic efficiency over 60 % which is twice as much as bare Cu electrodes. By this way, we make a new lithium metal composite anode structure and provide excessive alloying process to extend the application of commercial anode.</t>
  </si>
  <si>
    <t>[Zhang, Chaobo; Li, Zefang; Sun, Yi; Gao, Jie; Zhou, Yanan; Qin, Zhanbin; Tian, Ran; Gao, Yun] North China Univ Sci &amp; Technol, Coll Chem Engn, Hebei Key Lab Environm Photocatalyt &amp; Electrocatal, Tangshan 063210, Hebei, Peoples R China</t>
  </si>
  <si>
    <t>North China University of Science &amp; Technology</t>
  </si>
  <si>
    <t>Tian, R; Gao, Y (corresponding author), North China Univ Sci &amp; Technol, Coll Chem Engn, Hebei Key Lab Environm Photocatalyt &amp; Electrocatal, Tangshan 063210, Hebei, Peoples R China.</t>
  </si>
  <si>
    <t>943525900@qq.com; gaoyun@ncst.edu.cn</t>
  </si>
  <si>
    <t>Natural Science Foundation of Hebei Province [E2020209183]; basic expenses for scientific research in North China University of Science and Technology [JQN2023024]; project of High level group for research and innovation of School of Public Health, North China University of Science and Technology [KYTD202309]</t>
  </si>
  <si>
    <t>Natural Science Foundation of Hebei Province(Natural Science Foundation of Hebei Province); basic expenses for scientific research in North China University of Science and Technology; project of High level group for research and innovation of School of Public Health, North China University of Science and Technology</t>
  </si>
  <si>
    <t>This work was supported by the Natural Science Foundation of Hebei Province (No. E2020209183) , basic expenses for scientific research in North China University of Science and Technology (No. JQN2023024) , the project of High level group for research and innovation of School of Public Health, North China University of Science and Technology (KYTD202309) .</t>
  </si>
  <si>
    <t>10.1016/j.jallcom.2023.171395</t>
  </si>
  <si>
    <t>P4BQ6</t>
  </si>
  <si>
    <t>WOS:001050119900001</t>
  </si>
  <si>
    <t>Zhang, WY; Liao, ZY; Xiao, Q; Zhou, J; Shi, XQ; Li, C; Chen, YH; Xu, WH</t>
  </si>
  <si>
    <t>Zhang, Wenyan; Liao, Ziyan; Xiao, Qi; Zhou, Jin; Shi, Xiaoqin; Li, Cheng; Chen, Youhua; Xu, Weihua</t>
  </si>
  <si>
    <t>Habitat-specific conservation priorities of multidimensional diversity patterns of amphibians in China effectively contribute to the '3030' target</t>
  </si>
  <si>
    <t>Large-scale pattern; Biodiversity conservation; Landscape features; Natural reserves; Species vulnerability score; Conservation gap index</t>
  </si>
  <si>
    <t>FUNCTIONAL DIVERSITY; PHYLOGENETIC DIVERSITY; ECOSYSTEM SERVICES; SEED PLANTS; BIODIVERSITY; DIMENSIONS; CLIMATE; FUTURE; EXTINCTION; INDICATORS</t>
  </si>
  <si>
    <t>Amphibia is the most threatened animal group among all land vertebrates in the context of anthropogenic global change. Filling the conservation gaps for this taxonomic group could help achieve the ambitious target of covering 30 % of the land by 2030 ('3030' target) set by the 15-th meeting of the Conference of the Parties (COP15). In this study, we compiled the most up-to-date occurrence records and corresponding species-specific traits and phylogenies of amphibians in China (particularly those newly described in the past decade) to explore the spatial distribution patterns of multidimensional diversity (including taxonomic, functional, and phylogenetic) for different species groups (including all, endemic and threatened). Additionally, a new conservation gap index (CGI) was proposed and applied to the analysis of multi-objective conservation strategies. The results showed that the spatial distribution of taxonomic, functional and phylogenetic diversity of amphibians in China is markedly geographically diverse, with common hotspots for all three concentrated in the humid mountainous regions of southern China. The CGI, which is independent of arbitrary threshold selection and grid cell size, showed that the conservation gap for amphibians in China is largest in biomes such as tropical and subtropical moist broadleaf forests and temperate broadleaf and mixed forests. The multi-objective conservation analysis revealed that the Yangtze River basin, Pearl River basin and Southeast Basin in China have pivotal roles in achieving the '3030' target due to their high taxonomic, phylogenetic and functional diversity, relatively high proportion of threatened and endemic species, and low coverage of existing nature reserves. Notably, sustainable management of less-protected habitats, including farmlands and grasslands, can reduce the area requirement of strict protection for reaching the '3030' conservation goal. This study provides practical strategies for guiding amphibian conservation by systematically integrating multidimensional biodiversity information, habitat features and the spatial distributions of the existing natural reserves.</t>
  </si>
  <si>
    <t>[Zhang, Wenyan; Liao, Ziyan; Xiao, Qi; Zhou, Jin; Shi, Xiaoqin; Li, Cheng; Chen, Youhua] Chinese Acad Sci, Chengdu Inst Biol, Chengdu 610041, Peoples R China; [Xu, Weihua] Chinese Acad Sci, Res Ctr Ecoenvironm Sci, State Key Lab Urban &amp; Reg Ecol, Beijing 100085, Peoples R China; [Zhang, Wenyan; Xiao, Qi; Zhou, Jin; Shi, Xiaoqin] Univ Chinese Acad Sci, Beijing 100049, Peoples R China</t>
  </si>
  <si>
    <t>Chinese Academy of Sciences; Chengdu Institute of Biology, CAS; Chinese Academy of Sciences; Research Center for Eco-Environmental Sciences (RCEES); Chinese Academy of Sciences; University of Chinese Academy of Sciences, CAS</t>
  </si>
  <si>
    <t>Liao, ZY (corresponding author), Chinese Acad Sci, Chengdu Inst Biol, Chengdu 610041, Peoples R China.</t>
  </si>
  <si>
    <t>liaozy@cib.ac.cn</t>
  </si>
  <si>
    <t>Liao, Ziyan/AHB-8125-2022</t>
  </si>
  <si>
    <t>Liao, Ziyan/0000-0001-9354-2009</t>
  </si>
  <si>
    <t>National Key Research and Development Program of China [2022YFF1301404]; National Natural Science Foundation of China [32201424, 31901221]; Second Tibetan Plateau Scientific Expedition and Research Program [2019QZKK0303]; Strategic Priority Research Program of the Chinese Academy of Sciences [XDB31000000]; China Postdoctoral Science Foundation [2022M713073]</t>
  </si>
  <si>
    <t>National Key Research and Development Program of China; National Natural Science Foundation of China(National Natural Science Foundation of China (NSFC)); Second Tibetan Plateau Scientific Expedition and Research Program; Strategic Priority Research Program of the Chinese Academy of Sciences(Chinese Academy of Sciences); China Postdoctoral Science Foundation(China Postdoctoral Science Foundation)</t>
  </si>
  <si>
    <t>This work was supported by the National Key Research and Development Program of China (2022YFF1301404) , the National Natural Science Foundation of China (grant no. 32201424 and 31901221) , the Second Tibetan Plateau Scientific Expedition and Research Program (2019QZKK0303) , the Strategic Priority Research Program of the Chinese Academy of Sciences (grant no. XDB31000000) and the China Postdoctoral Science Foundation (grant no. 2022M713073) .</t>
  </si>
  <si>
    <t>10.1016/j.scitotenv.2023.165959</t>
  </si>
  <si>
    <t>R3GV9</t>
  </si>
  <si>
    <t>WOS:001063278800001</t>
  </si>
  <si>
    <t>Cong, XY; Shang, YL; Zhao, L; Jiang, H; Tian, WC; Wu, JT; Zhang, S; Tian, DY; Lu, S; Tan, YQ</t>
  </si>
  <si>
    <t>Cong, Xinyu; Shang, Yunlong; Zhao, Lei; Jiang, Hua; Tian, Weichen; Wu, Jintao; Zhang, Shuo; Tian, Dongyang; Lu, Shuang; Tan, Yiqiu</t>
  </si>
  <si>
    <t>Binary heterojunctions of Mg/Al-LDH and carbon-based matrixes derived from self-assembly synthesis for inhibition of pyrene photopolymerizing: Elucidation of LDHs protecting bitumen against UV aging</t>
  </si>
  <si>
    <t>COLLOIDS AND SURFACES A-PHYSICOCHEMICAL AND ENGINEERING ASPECTS</t>
  </si>
  <si>
    <t>Mg/Al-LDH; Carbon-based matrix; Photocatalyst; Photodegradation; Photopolymerization</t>
  </si>
  <si>
    <t>LAYERED DOUBLE HYDROXIDES; VISIBLE-LIGHT; PHOTOCATALYTIC ACTIVITY; COMPOSITE PHOTOCATALYST; RHEOLOGICAL PROPERTIES; ASPHALT BINDERS; G-C3N4; PERFORMANCE; RESISTANCE; DEGRADATION</t>
  </si>
  <si>
    <t>Layered double hydroxides (LDHs) have been found to protect bitumen against UV aging that was a culprit to shorten service life of new paved roads and burden environment with toxic volatiles in case of repaving roads time and again. Utilizing LDHs to improve the UV resistance to bitumen is desirable but the corresponding mechanism is still not be clarified. In this work, a simple self-assembly strategy is used to synthesize binaryheterojunction catalysts consisting of Mg/Al-LDH and carbon-based matrixes, aiming at obtaining copious mesopores and tailoring photocatalytic routes. The specific surface areas of the binary-heterojunction catalysts reached 193.94 and 156.31 m2/g for Mg/Al-LDH@biocarbon and Mg/Al-LDH@g-C3N4, respectively. It was found that the as-synthesized catalyst of Mg/Al-LDH@g-C3N4 was an outstanding inhibitor in photopolymerizing polycyclic aromatics, which was verified by photochemical experiments using pyrene (PY) as a target. The Mg/ Al-LDH@g-C3N4 enabled to decrease the proportion of exciplex of PY to 8.63% upon UV irradiation, while the proportion was as high as 39.81% in the absence of Mg/Al-LDH@g-C3N4. The test results revealed that photo generated holes and photogenerated electrons were responsible for accelerating the photodegradation process of PY and suppressing the photopolymerization of PY molecules, respectively. The binary-heterojunction Mg/AlLDH@g-C3N4 showed its outstanding photocatalytic activities under UV irradiation, including avoiding PY molecules from degradation and macromolecular polymerization, which was attributed to the new channel for electron-hole recombination and built-up photocatalytic routes between Mg/Al-LDH and g-C3N4. This work provided a perspective for tailoring promising protective agents for bitumen anti-UV aging through building reasonable photocatalytic routes for heterogeneous structures.</t>
  </si>
  <si>
    <t>[Cong, Xinyu; Shang, Yunlong; Wu, Jintao; Tan, Yiqiu] Harbin Inst Technol, Sch Transportat &amp; Sci Engn, Harbin 150090, Peoples R China; [Zhao, Lei; Jiang, Hua; Tian, Weichen; Zhang, Shuo; Tian, Dongyang; Lu, Shuang] Harbin Inst Technol, Sch Civil Engn, Harbin 150090, Peoples R China; [Lu, Shuang] Harbin Inst Technol, Key Lab Struct Dynam Behav &amp; Control, Minist Educ, Harbin 150090, Peoples R China</t>
  </si>
  <si>
    <t>Harbin Institute of Technology; Harbin Institute of Technology; Harbin Institute of Technology</t>
  </si>
  <si>
    <t>Cong, XY; Tan, YQ (corresponding author), Harbin Inst Technol, Sch Transportat &amp; Sci Engn, Harbin 150090, Peoples R China.;Lu, S (corresponding author), Harbin Inst Technol, Sch Civil Engn, Harbin 150090, Peoples R China.</t>
  </si>
  <si>
    <t>congxinyu@hit.edu.cn; lus@hit.edu.cn; tanyiqiu@hit.edu.cn</t>
  </si>
  <si>
    <t>Heilongjiang Provincial Department of Human Resources and Social Security [LBH-Z20137]; National Natural Science Foundation of China Regional Innovation and Development Joint Fund [U20A20315]</t>
  </si>
  <si>
    <t>Heilongjiang Provincial Department of Human Resources and Social Security; National Natural Science Foundation of China Regional Innovation and Development Joint Fund</t>
  </si>
  <si>
    <t>This work was jointly supported by Heilongjiang Provincial Department of Human Resources and Social Security (Grant No. LBH-Z20137) and the National Natural Science Foundation of China Regional Innovation and Development Joint Fund (U20A20315) .</t>
  </si>
  <si>
    <t>0927-7757</t>
  </si>
  <si>
    <t>1873-4359</t>
  </si>
  <si>
    <t>COLLOID SURFACE A</t>
  </si>
  <si>
    <t>Colloid Surf. A-Physicochem. Eng. Asp.</t>
  </si>
  <si>
    <t>NOV 20</t>
  </si>
  <si>
    <t>10.1016/j.colsurfa.2023.132313</t>
  </si>
  <si>
    <t>S4DS0</t>
  </si>
  <si>
    <t>WOS:001070695500001</t>
  </si>
  <si>
    <t>Hameed, MM; Bin Mansor, M; Azau, MAM; Alshara, AK</t>
  </si>
  <si>
    <t>Hameed, Majid M.; Bin Mansor, Muhamad; Azau, Mohd Azrin Mohd; Alshara, Ahmed Kadhim</t>
  </si>
  <si>
    <t>Computational design and analysis of LiFePO4 battery thermal management system (BTMS) using thermoelectric cooling/thermoelectric generator (TEC-TEG) in electric vehicles (EVs)</t>
  </si>
  <si>
    <t>LifePO4 batteries; EVs; Thermoelectric coolers; Thermoelectric generators; Battery thermal management system (BTMS)</t>
  </si>
  <si>
    <t>The best option for addressing the issue of rising carbon dioxide levels, which is the primary cause of global warming, currently involves using electric vehicles (EVs). The successful production of EVs can be attributed to batteries. However, one major issue lies in the rise in temperatures for the battery system of EVs. Therefore, a good battery thermal management system (BTMS) is necessary. Several traditional and non-traditional types of these systems are available. BTMSs for EVs have utilized thermoelectric cooling (TEC) and thermoelectric generator (TEG). The current research introduces a hybrid BTMS that combines thermoelectric materials with forced air. While the use of thermoelectric materials in BTMS is not a new concept, this approach offers a novel solution. In the current study, the thermoelectric cooler (TEC) and thermoelectric generator (TEG) are combined into a single unit. While TECs have long been used in BTMS, the new addition of TEGs allows for the conversion of lost heat from the TEC's hot surface into a reverse voltage that powers both the TEC and TEG. Additionally, the TEG helps to reduce the overall temperature of the battery container by converting heat into a potential difference, as previously mentioned. Simulation of the single battery cell and the full BTMS is realized using the ANSYS 2021R1 software. A single battery cell and BTMS utilize 6,197,879 and 12,697,173 numbers of mesh, respectively. The introduced BTMS was utilized in the current study to decrease the maximum surface temperature of a single battery cell by approximately 7 degrees C.</t>
  </si>
  <si>
    <t>[Hameed, Majid M.] Missan Oil Co, Minist Oil, Amarah, Iraq; [Hameed, Majid M.; Bin Mansor, Muhamad] Univ Tenaga Nas, Inst Power Engn, Kajang, Malaysia; [Azau, Mohd Azrin Mohd] Univ Tenaga Nas, Dept Elect &amp; Elect Engn, Kajang, Malaysia; [Alshara, Ahmed Kadhim] Univ Misan, Dept Mech Engn, Amarah, Iraq</t>
  </si>
  <si>
    <t>Universiti Tenaga Nasional; Universiti Tenaga Nasional; Misan University</t>
  </si>
  <si>
    <t>Hameed, MM (corresponding author), Univ Tenaga Nas, Inst Power Engn, Kajang, Malaysia.</t>
  </si>
  <si>
    <t>pe21092@student.uniten.edu.my</t>
  </si>
  <si>
    <t>Long Term Research Grant Scheme (LRGS) under the Ministry of Education, Malaysia [LRGS/1/2018/UNITEN/01/1/2]</t>
  </si>
  <si>
    <t>Long Term Research Grant Scheme (LRGS) under the Ministry of Education, Malaysia</t>
  </si>
  <si>
    <t>Long Term Research Grant Scheme (LRGS) under the Ministry of Education, Malaysia, Grant Number: LRGS/1/2018/UNITEN/01/1/2.</t>
  </si>
  <si>
    <t>10.1016/j.est.2023.108394</t>
  </si>
  <si>
    <t>P0FB3</t>
  </si>
  <si>
    <t>WOS:001047472000001</t>
  </si>
  <si>
    <t>Mehmood, S; Lizana, J; Friedrich, D</t>
  </si>
  <si>
    <t>Mehmood, Sajid; Lizana, Jesus; Friedrich, Daniel</t>
  </si>
  <si>
    <t>Low-energy resilient cooling through geothermal heat dissipation and latent heat storage</t>
  </si>
  <si>
    <t>Resilient cooling; Passive cooling; Low -energy buildings; Phase change materials; Geothermal energy</t>
  </si>
  <si>
    <t>PHASE-CHANGE MATERIALS; THERMAL COMFORT; BUILDINGS; PCM; TEMPERATURE; PERFORMANCE</t>
  </si>
  <si>
    <t>Conventional passive cooling techniques provide limited benefits in extremely hot climates in southern Asia, characterised by high daytime and night temperatures and frequent climate-related disruptions, such as power cuts. This study proposes and demonstrates a novel low-energy and resilient cooling solution for extremely hot regions in southern Asia. The novelty lies in the combination of geothermal heat dissipation and latent heat storage, specifically designed for the particular conditions of extremely hot climates in Southern Asia; considering the influence of climate-related disruptions such as power cuts, whose frequency is increasing in the region; and using discomfort hours as an indicator to measure the passive survivability of buildings in the absence of airconditioning (following the adaptive comfort model). A numerical model was developed in TRNSYS for optimal sizing and configuration of the phase change material (PCM) integrated into a ceiling panel using a typical multifamily building archetype in three climatic regions of Pakistan. A parametric numerical analysis was performed concerning different PCM melting temperatures, amount of PCM, convective heat transfer capacity, and equivalent thermal conductivity. Moreover, daytime was considered the period with a higher probability of power cuts. The results showed how integrating PCM-based ceiling panels with geothermal heat dissipation can mitigate discomfort hours by 28 % in extremely hot climates, 55 % in very hot climates, and 91 % in hot climate areas with intermittent access to electricity. Latent heat storage maximised the benefits of geothermal heat dissipation by extending thermal comfort periods by 13 % and 18 % in extremely hot and very hot climates compared to the scenario without PCM. This low-energy resilient cooling solution, integrating PCM as a cool battery, can keep the home cool for longer when electricity is unavailable. This study demonstrates the importance of considering the specific climate-related disruptions from these extremely hot regions in building design, such as extreme heat events or power cuts, to enhance the heat resilience capacity of cities.</t>
  </si>
  <si>
    <t>[Mehmood, Sajid; Friedrich, Daniel] Univ Edinburgh, Inst Energy Syst, Sch Engn, Colin Maclaurin Rd, Edinburgh EH9 3DW, Scotland; [Mehmood, Sajid] Univ Engn &amp; Technol, Dept Mech Mechatron &amp; Mfg Engn New Campus, Lahore, Pakistan; [Lizana, Jesus] Univ Oxford, Dept Engn Sci, Parks Rd, Oxford OX1 3PJ, England; [Lizana, Jesus] Univ Oxford, Oxford Martin Sch, Future Cooling Programme, Oxford OX1 3BD, England</t>
  </si>
  <si>
    <t>University of Edinburgh; University of Engineering &amp; Technology Lahore; University of Oxford; University of Oxford</t>
  </si>
  <si>
    <t>Friedrich, D (corresponding author), Univ Edinburgh, Inst Energy Syst, Sch Engn, Colin Maclaurin Rd, Edinburgh EH9 3DW, Scotland.</t>
  </si>
  <si>
    <t>D.Friedrich@ed.ac.uk</t>
  </si>
  <si>
    <t>Friedrich, Daniel/A-9498-2015; Lizana, Jesus/N-2272-2018</t>
  </si>
  <si>
    <t>Friedrich, Daniel/0000-0002-3951-2201; Lizana, Jesus/0000-0002-1802-5017</t>
  </si>
  <si>
    <t>Higher Education Commission of Pakistan; University of Engineering and Technology, Lahore, New Campus, Pakistan; UK ESRC Cool infrastructure project [ES/T008091/1]; European Union [101023241]; Marie Curie Actions (MSCA) [101023241] Funding Source: Marie Curie Actions (MSCA)</t>
  </si>
  <si>
    <t>Higher Education Commission of Pakistan(Higher Education Commission of Pakistan); University of Engineering and Technology, Lahore, New Campus, Pakistan; UK ESRC Cool infrastructure project; European Union(European Union (EU)); Marie Curie Actions (MSCA)(Marie Curie Actions)</t>
  </si>
  <si>
    <t>This research has received financial support from the Higher Education Commission of Pakistan, the University of Engineering and Technology, Lahore, New Campus, Pakistan, and the UK ESRC Cool infrastructure project (ES/T008091/1). The work was also supported by the European Unions Horizon 2020 research and innovation programme under the Marie Sklodowska-Curie grant agreement No 101023241.</t>
  </si>
  <si>
    <t>10.1016/j.est.2023.108377</t>
  </si>
  <si>
    <t>P0JW8</t>
  </si>
  <si>
    <t>WOS:001047599400001</t>
  </si>
  <si>
    <t>Roy, F; Ibayev, O; Arnstadt, T; Bassler, C; Borken, W; Gross, C; Hoppe, B; Hossen, S; Kahl, T; Moll, J; Noll, M; Purahong, W; Schreiber, J; Weisser, WW; Hofrichter, M; Kellner, H</t>
  </si>
  <si>
    <t>Roy, Friederike; Ibayev, Orkhan; Arnstadt, Tobias; Baessler, Claus; Borken, Werner; Gross, Christina; Hoppe, Bjoern; Hossen, Shakhawat; Kahl, Tiemo; Moll, Julia; Noll, Matthias; Purahong, Witoon; Schreiber, Jasper; Weisser, Wolfgang W.; Hofrichter, Martin; Kellner, Harald</t>
  </si>
  <si>
    <t>Nitrogen addition increases mass loss of gymnosperm but not of angiosperm deadwood without changing microbial communities</t>
  </si>
  <si>
    <t>Anthropogenic nitrogen; Respiration; Lignocellulolytic enzymes; Bacterial and fungal community; Carbon cycle; White-rot fungi</t>
  </si>
  <si>
    <t>COARSE WOODY DEBRIS; PICEA-ABIES; LITTER DECOMPOSITION; ENZYME-ACTIVITIES; FAGUS-SYLVATICA; DEPOSITION; FOREST; CARBON; RATES; DECAY</t>
  </si>
  <si>
    <t>Enhanced nitrogen (N) deposition due to combustion of fossil fuels and agricultural fertilization is a global phenomenon which has severely altered carbon (C) and N cycling in temperate forest ecosystems in the northern hemisphere. Although deadwood holds a substantial amount of C in forest ecosystems and thus plays a crucial role in nutrient cycling, the effect of increased N deposition on microbial processes and communities, wood chemical traits and deadwood mass loss remains unclear. Here, we simulated high N deposition rates by adding reactive N in form of ammonium-nitrate (40 kg N ha-1 yr-1) to deadwood of 13 temperate tree species over nine years in a field experiment in Germany. Non-treated deadwood from the same logs served as control with background N deposition. Our results show that chronically elevated N levels alters deadwood mass loss alongside respiration, enzymatic activities and wood chemistry depending on tree clade and species. In gym-nosperm deadwood, elevated N increased mass loss by +38 %, respiration by +37 % and increased laccase activity 12-fold alongside increases of white-rot fungal abundance +89 % (p = 0.03). Furthermore, we observed marginally significant (p = 0.06) shifts of bacterial communities in gymnosperm deadwood. In angiosperm deadwood, we did not detect consistent effects on mass loss, physico-chemical properties, extracellular enzy-matic activity or changes in microbial communities except for changes in abundance of 10 fungal OTUs in seven tree species and 28 bacterial OTUs in 10 tree species. We conclude that N deposition alters decomposition processes exclusively in N limited gymnosperm deadwood in the long term by enhancing fungal activity as expressed by increases in respiration rate and extracellular enzyme activity with minor shifts in decomposing microbial communities. By contrast, deadwood of angiosperm tree species had higher N concentrations and mass loss as well as community composition did not respond to N addition.</t>
  </si>
  <si>
    <t>[Roy, Friederike; Ibayev, Orkhan; Arnstadt, Tobias; Hofrichter, Martin; Kellner, Harald] Tech Univ Dresden, Int Inst Zittau, Dept Bio &amp; Environm Sci, Markt 23, D-02763 Zittau, Germany; [Baessler, Claus; Schreiber, Jasper] Goethe Univ Frankfurt, Inst Ecol Evolut &amp; Divers, Dept Conservat Biol, Max von Laue Str 13, D-60438 Frankfurt, Germany; [Baessler, Claus] Natl Pk Bavarian Forest, Freyunger Str 2, D-94481 Grafenau, Germany; [Borken, Werner; Gross, Christina] Univ Bayreuth, Inst Soil Ecol, Dr Hans Frisch Str 1-3, D-95448 Bayreuth, Germany; [Hoppe, Bjoern] Fed Res Ctr Cultivated Plants, Inst Natl &amp; Int Plant Hlth, Julius Kuhn Inst JKI, Messeweg 11-12, D-38104 Braunschweig, Germany; [Hossen, Shakhawat; Noll, Matthias] Univ Appl Sci Coburg, Inst Bioanal, Friedrich Streib Str 2, D-96450 Coburg, Germany; [Kahl, Tiemo] UNESCO Biospharenreservat Thuringer Wald, Brunnenstr 1, D-98528 Suhl, Germany; [Moll, Julia; Purahong, Witoon] UFZ Helmholtz Ctr Environm Res, Dept Soil Ecol, Th Lieser Str 4, D-06120 Halle, Saale, Germany; [Weisser, Wolfgang W.] Tech Univ Munich, Terr Ecol Res Grp, D-85354 Freising Weihenstephan, Germany</t>
  </si>
  <si>
    <t>Technische Universitat Dresden; Goethe University Frankfurt; University of Bayreuth; Julius Kuhn-Institut; Hochschule Coburg; Helmholtz Association; Helmholtz Center for Environmental Research (UFZ); Technical University of Munich</t>
  </si>
  <si>
    <t>Kellner, H (corresponding author), Tech Univ Dresden, Int Inst Zittau, Dept Bio &amp; Environm Sci, Markt 23, D-02763 Zittau, Germany.</t>
  </si>
  <si>
    <t>harald.kellner@tu-dresden.de</t>
  </si>
  <si>
    <t>Deutsche Forschungsgemeinschaft (DFG) [BA 5127/1- 3, BU 941/26-3, HO 1961/6-3, KE 1742/2-3, HO 6077/1-3]</t>
  </si>
  <si>
    <t>Deutsche Forschungsgemeinschaft (DFG)(German Research Foundation (DFG))</t>
  </si>
  <si>
    <t>For their assistance in laboratory work in Zittau we would like to thank Constanze Stark, Heike Heidenreich and Benita Lueckel. We would also like to thank Beatrix Schnabel and Melanie Guenther for their assistance in library preparation and sequencing. We thank the man- agers of the Hainich Exploratory, Sonja Gockel, Kerstin Wiesner, Katrin Lorenzen, Juliane Vogt, Anna K. Franke and all former managers for their work in maintaining the plot and project infrastructure; Simone Pfeiffer, Maren Gleisberg, Christiane Fischer, Jule Mangels and Victoria Griemeier for giving support through the central office, Jens Nie- schulze, Michael Owonibi and Andreas Ostrowski for managing the central database, and Markus Fischer, Eduard Linsenmair, Dominik Hessenmoler, Daniel Prati, Ingo Schoning, Francois Buscot, Ernst-Detlef Schulze, Wolfgang W. Weisser and the late Elisabeth Kalko for their role in setting up the Biodiversity Exploratories project. We thank the administration of the Hainich National Park as well as all land owners for the excellent collaboration.The work has been funded by the Deutsche Forschungsgemeinschaft (DFG) Priority Program 1374 Biodiversity-Exploratories (BA 5127/1- 3, BU 941/26-3, HO 1961/6-3, HO 6077/1-3, KE 1742/2-3) . Field work permits were issued by the responsible state environmental office of Thueringen.</t>
  </si>
  <si>
    <t>10.1016/j.scitotenv.2023.165868</t>
  </si>
  <si>
    <t>P7LK2</t>
  </si>
  <si>
    <t>WOS:001052450100001</t>
  </si>
  <si>
    <t>Mendonca, CMN; Oliveira, RC; Pizauro, LJL; Pereira, WA; Abboud, K; Almeida, S; Watanabe, IS; Varani, AM; Dominguez, JM; Correa, B; Venema, K; Azevedo, POS; Oliveira, RPS</t>
  </si>
  <si>
    <t>Mendonca, Carlos M. N.; Oliveira, Rodrigo C.; Pizauro, Lucas J. L.; Pereira, Wellison A.; Abboud, Kahlile; Almeida, Sonia; Watanabe, Ii-Sei; Varani, Alessandro M.; Dominguez, Jose M.; Correa, Benedito; Venema, Koen; Azevedo, Pamela O. S.; Oliveira, Ricardo P. S.</t>
  </si>
  <si>
    <t>Tracking new insights into antifungal and anti-mycotoxigenic properties of a biofilm forming Pediococcus pentosaceus strain isolated from grain silage</t>
  </si>
  <si>
    <t>INTERNATIONAL JOURNAL OF FOOD MICROBIOLOGY</t>
  </si>
  <si>
    <t>Mycotoxin; Aflatoxins; Fumonisin; Crops contamination; Lactic acid bacteria; Biofilm</t>
  </si>
  <si>
    <t>GROWTH; ACID; VIRULENCE</t>
  </si>
  <si>
    <t>The present study offers detailed insights into the antifungal and anti-mycotoxigenic potential of a biofilm forming lactic acid bacterium (Pediococcus pentosaceus) against one atoxigenic (Aspergillus flavus) and two toxi-genic (Aspergillus nomius and Fusarium verticillioides) fungal strains. The antifungal effect of P. pentosaceus LBM18 strain was initially investigated through comparative analysis of fungi physiology by macroscopic visual eval-uations and scanning electron microscopy examinations. The effects over fungal growth rate and asexual spor-ulation were additionally accessed. Furthermore, analytical evaluations of mycotoxin production were carried out by HPLC-MS/MS to provide insights on the bacterial anti-mycotoxigenic activity over fungal production of the aflatoxins B1, B2, G1 and G2 as well as fumonisins B1 and B2. Finally, reverse transcription quantitative real-time PCR (RT-qPCR) analysis was employed at the most effective bacterial inoculant concentration to evaluate, at the molecular level, the down-regulation of genes aflR, aflQ and aflD, related to the biosynthesis of aflatoxins by the strain of Aspergillus nomius. The effects over mycotoxin contamination were thought to be result of a combination of several biotic and abiotic factors, such as interaction between living beings and physical-chemical aspects of the environment, respectively. Several possible mechanisms of action were addressed along with potentially deleterious effects ascribing from P. pentosaceus misuse as biopesticide, emphasizing the importance of evaluating lactic acid bacteria safety in new applications, concentrations, and exposure scenarios.</t>
  </si>
  <si>
    <t>[Mendonca, Carlos M. N.; Oliveira, Rodrigo C.; Pereira, Wellison A.; Azevedo, Pamela O. S.; Oliveira, Ricardo P. S.] Univ Sao Paulo, Dept Biochem &amp; Pharmaceut Technol, Lab Microbial Biomol, BR-05508000 Sao Paulo, Brazil; [Mendonca, Carlos M. N.] Maastricht Univ, Fac Sci &amp; Engn, Ctr Hlth Eating &amp; Food Innovat HEFI, Campus Venlo,Villafloraweg 1, NL-5928 SZ Venlo, Netherlands; [Pizauro, Lucas J. L.; Abboud, Kahlile; Varani, Alessandro M.; Venema, Koen] UNESP, Sch Agr &amp; Vet Sci FCAV, Dept Agr &amp; Environm Biotechnol, Jaboticabal, Brazil; [Almeida, Sonia; Watanabe, Ii-Sei] Univ Sao Paulo, Inst Biomed Sci, Dept Anat, BR-05508000 Sao Paulo, Brazil; [Dominguez, Jose M.] Univ Vigo, Chem Engn Dept, Ind Biotechnol &amp; Environm Engn Grp BiotecnIA, Campus Ourense,Lagoas S-N, Orense 32004, Spain; [Correa, Benedito] Univ Sao Paulo, Inst Biomed Sci, Dept Microbiol, Lab Mycotoxins &amp; Toxigen Fungi, BR-05508900 Sao Paulo, Brazil; [Azevedo, Pamela O. S.] SAZ Anim Nutr, Sao Paulo, Brazil; [Oliveira, Ricardo P. S.] Univ Sao Paulo, Dept Biochem &amp; Pharmaceut Technol, BR-05508000 Sao Paulo, Brazil</t>
  </si>
  <si>
    <t>Universidade de Sao Paulo; Maastricht University; Universidade Estadual Paulista; Universidade de Sao Paulo; Universidade de Vigo; Universidade de Sao Paulo; Universidade de Sao Paulo</t>
  </si>
  <si>
    <t>Oliveira, RPS (corresponding author), Univ Sao Paulo, Dept Biochem &amp; Pharmaceut Technol, Lab Microbial Biomol, BR-05508000 Sao Paulo, Brazil.;Oliveira, RPS (corresponding author), Univ Sao Paulo, Dept Biochem &amp; Pharmaceut Technol, BR-05508000 Sao Paulo, Brazil.</t>
  </si>
  <si>
    <t>rpsolive@usp.br</t>
  </si>
  <si>
    <t>FAPESP (Sao Paulo Research Foundation) [2018/25511-1, 2020/13271-6, 2021/15138-4]; National Council for Scientific and Technological Development -CNPq [312923/2020-1, 408783/2021-4]; Spanish Ministry of Science and Innovation [PID2020- 115879RB-I00]; Xunta de Galicia (Spain) [GPC-ED431B 2021/23]</t>
  </si>
  <si>
    <t>FAPESP (Sao Paulo Research Foundation)(Fundacao de Amparo a Pesquisa do Estado de Sao Paulo (FAPESP)); National Council for Scientific and Technological Development -CNPq(Conselho Nacional de Desenvolvimento Cientifico e Tecnologico (CNPQ)); Spanish Ministry of Science and Innovation(Spanish Government); Xunta de Galicia (Spain)(Xunta de Galicia)</t>
  </si>
  <si>
    <t>The authors are grateful to FAPESP (Sao Paulo Research Foundation) for processes n. 2018/25511-1, n. 2020/13271-6 and n. 2021/15138-4; the National Council for Scientific and Technological Development -CNPq (processes No. 312923/2020-1 and 408783/2021-4) ; the Spanish Ministry of Science and Innovation (project PID2020- 115879RB-I00) ; and Xunta de Galicia (Spain) since this study forms part of the activities of the Group with Potential for Growth (GPC-ED431B 2021/23) .</t>
  </si>
  <si>
    <t>0168-1605</t>
  </si>
  <si>
    <t>1879-3460</t>
  </si>
  <si>
    <t>INT J FOOD MICROBIOL</t>
  </si>
  <si>
    <t>Int. J. Food Microbiol.</t>
  </si>
  <si>
    <t>NOV 16</t>
  </si>
  <si>
    <t>10.1016/j.ijfoodmicro.2023.110337</t>
  </si>
  <si>
    <t>Food Science &amp; Technology; Microbiology</t>
  </si>
  <si>
    <t>P3LD9</t>
  </si>
  <si>
    <t>WOS:001049682000001</t>
  </si>
  <si>
    <t>Abou El-Nour, KM; El-Sherbiny, IM; Khairy, GM; Abbas, AM; Salem, EH</t>
  </si>
  <si>
    <t>Abou El-Nour, Kholoud M.; El-Sherbiny, Ibrahim M.; Khairy, Gasser. M.; Abbas, Abbas M.; Salem, Eman H.</t>
  </si>
  <si>
    <t>Investigation of thymine as a potential cancer biomarker employing tryptophan with nanomaterials as a biosensor</t>
  </si>
  <si>
    <t>Fluorescence; Tryptophan; Nanomaterials; Thymine; Graphene oxide; Gold -silver nanocomposite</t>
  </si>
  <si>
    <t>GOLD NANOPARTICLES; FLUORESCENCE; GRAPHENE; ADENINE; GUANINE; CYTOSINE; URACIL; OXIDE; DNA; BIOSYNTHESIS</t>
  </si>
  <si>
    <t>Tryptophan and tryptophan-based nanomaterials sensors in a solution have been developed to directly evaluate thymine. The determination of thymine has been done via quenching of the fluorescence of tryptophan and tryptophan-based nanomaterials such as graphene (Gr), graphene oxide (GO), gold nanoparticles (AuNPs), gold -silver nanocomposite (Au-Ag NC) in a physiological buffer. As the concentration of thymine rises, the fluores-cence of tryptophan and tryptophan/nanomaterials becomes less intense. Trp, Trp/Gr, and tryptophan/(Au-Ag) NC systems' quenching mechanisms were dynamic, but tryptophan /GO and tryptophan/AuNPs' quenching mechanisms were static. The linear dynamic range for the determination of thy by tryptophan and tryptophan /nanomaterials is 10 to 200 &amp; mu;M. The detection limits for tryptophan, tryptophan /Gr, tryptophan /GO, trypto-phan /AuNPs, and tryptophan/Au-Ag NC were 3.21, 14.20, 6.35, 4.67and 7.79 \Mm, respectively. Thermody-namic parameters for the interaction of the Probes with Thy include the enthalpy (H degrees) and entropy (S degrees) change values, were assessed, as well as the binding constant (Ka) of Thy with Trp and Trp-based nanomaterials. A recovery study was conducted utilizing a human serum sample after the addition of the required quantity of the investigational thymine.</t>
  </si>
  <si>
    <t>[Abou El-Nour, Kholoud M.; Khairy, Gasser. M.; Abbas, Abbas M.; Salem, Eman H.] Suez Canal Univ, Fac Sci, Dept Chem, Ismailia 41522, Egypt; [El-Sherbiny, Ibrahim M.] Zewail City Sci &amp; Technol, Nanomed Res Labs, Ctr Mat Sci, 6th October City 12578, Giza, Egypt</t>
  </si>
  <si>
    <t>Egyptian Knowledge Bank (EKB); Suez Canal University; Egyptian Knowledge Bank (EKB); Zewail City of Science &amp; Technology</t>
  </si>
  <si>
    <t>Abou El-Nour, KM (corresponding author), Suez Canal Univ, Fac Sci, Dept Chem, Ismailia 41522, Egypt.</t>
  </si>
  <si>
    <t>kabolnoor@yahoo.com</t>
  </si>
  <si>
    <t>Mamdoh Abbas, Abbas/AGV-8323-2022</t>
  </si>
  <si>
    <t>Mamdoh Abbas, Abbas/0000-0001-7380-5609</t>
  </si>
  <si>
    <t>NOV 15</t>
  </si>
  <si>
    <t>10.1016/j.saa.2023.122928</t>
  </si>
  <si>
    <t>Q6CX2</t>
  </si>
  <si>
    <t>WOS:001058393000001</t>
  </si>
  <si>
    <t>Agathokleous, E; Blande, JD; Masui, N; Calabrese, EJ; Zhang, J; Sicard, P; Guedes, RNC; Benelli, G</t>
  </si>
  <si>
    <t>Agathokleous, Evgenios; Blande, James D.; Masui, Noboru; Calabrese, Edward J.; Zhang, Jing; Sicard, Pierre; Guedes, Raul Narciso C.; Benelli, Giovanni</t>
  </si>
  <si>
    <t>Sublethal chemical stimulation of arthropod parasitoids and parasites of agricultural and environmental importance</t>
  </si>
  <si>
    <t>ENVIRONMENTAL RESEARCH</t>
  </si>
  <si>
    <t>Hormetic dose-response relationship; Natural enemy; Parasitoid; Parasitic arthropod; Pest-parasite interaction</t>
  </si>
  <si>
    <t>INDUCED HORMESIS; HYMENOPTERA; SELECTIVITY; MANAGEMENT; INSECTS; STRESS</t>
  </si>
  <si>
    <t>An increasing number of studies have reported stimulation of various organisms in the presence of environmental contaminants. This has created a need to critically evaluate sublethal stimulation and hormetic responses of arthropod parasitoids and parasites following exposure to pesticides and other contaminants. Examining this phenomenon with a focus on arthropods of agricultural and environmental importance serves as the framework for this literature review. This review shows that several pesticides, with diverse chemical structures and different modes of action, applied individually or in combination at sublethal doses, commonly stimulate an array of arthropod parasitoids and parasites. Exposure at sublethal doses can enhance responses related to physiology (e.g., respiration, total lipid content, and total protein content), behavior (e.g., locomotor activity, antennal drumming frequency, host location, and parasitization), and fitness (longevity, growth, fecundity, population net and gross reproduction). Concordantly, the parasitic potential (e.g., infestation efficacy, parasitization rate, and parasitoid/parasite emergence) can be increased, and as a result host activities inhibited. There is some evidence illustrating hormetic dose-responses, but the relevant literature commonly included a limited number and range of doses, precluding a robust differentiation between sub-and superNOAEL (no observed-adverse-effect level) stimulation. These results reveal a potentially significant threat to ecological health, through stimulation of harmful parasitic organisms by environmental contaminants, and highlight the need to include sublethal stimulation and hormetic responses in relevant ecological pesticide risk assessments. Curiously, considering a more utilitarian view, hormesis may also assist in optimizing mass rearing of biological control agents for field use, a possibility that also remains neglected.</t>
  </si>
  <si>
    <t>[Agathokleous, Evgenios] Nanjing Univ Informat Sci &amp; Technol, Collaborat Innovat Ctr Forecast &amp; Evaluat Meteorol, Nanjing 210044, Jiangsu, Peoples R China; [Agathokleous, Evgenios] Nanjing Univ Informat Sci &amp; Technol, Res Ctr Global Changes &amp; Ecosyst Carbon Sequestrat, Sch Appl Meteorol, Nanjing 210044, Jiangsu, Peoples R China; [Blande, James D.] Univ Eastern Finland, Dept Environm &amp; Biol Sci, POB 1627, Kuopio 70211, Finland; [Masui, Noboru] Univ Shizuoka, Sch Food &amp; Nutr Sci, Shizuoka 4228526, Japan; [Calabrese, Edward J.] Univ Massachusetts, Dept Environm Hlth Sci, Morrill 1,N344, Amherst, MA 01003 USA; [Zhang, Jing] Shanghai Inst Technol, Coll Ecol Technol &amp; Engn, Shanghai 201418, Peoples R China; [Sicard, Pierre] ARGANS, 260 Route Pin Montard, Biot, France; [Guedes, Raul Narciso C.] Univ Fed Vicosa, Dept Entomol, Vicosa, MG, Brazil; [Benelli, Giovanni] Univ Pisa, Dept Agr Food &amp; Environm, Via Borghetto 80, I-56124 Pisa, Italy</t>
  </si>
  <si>
    <t>Nanjing University of Information Science &amp; Technology; Nanjing University of Information Science &amp; Technology; University of Eastern Finland; University of Shizuoka; University of Massachusetts System; University of Massachusetts Amherst; Shanghai Institute of Technology; Universidade Federal de Vicosa; University of Pisa</t>
  </si>
  <si>
    <t>Agathokleous, E (corresponding author), Nanjing Univ Informat Sci &amp; Technol, Collaborat Innovat Ctr Forecast &amp; Evaluat Meteorol, Nanjing 210044, Jiangsu, Peoples R China.</t>
  </si>
  <si>
    <t>evgenios@nuist.edu.cn</t>
  </si>
  <si>
    <t>Agathokleous, Evgenios/D-2838-2016</t>
  </si>
  <si>
    <t>Agathokleous, Evgenios/0000-0002-0058-4857</t>
  </si>
  <si>
    <t>National Natural Science Foundation of China (NSFC) -Academy of Finland Cooperation and Exchange Project [4210070867]; National Natural Science Foundation of China [003080]; Startup Foundation for Introducing Talent of Nanjing University of Information Science and Technology, China [001]; Jiangsu Distinguished Professor program of the People ' s Government of Jiangsu Province; CAPES Foundation [302,865/2020 9]; National Council for Scientific and Technological Development (CNPq); Minas Gerais State Foundation for Research Aid (FAPEMIG); [42311530043]</t>
  </si>
  <si>
    <t>National Natural Science Foundation of China (NSFC) -Academy of Finland Cooperation and Exchange Project; National Natural Science Foundation of China(National Natural Science Foundation of China (NSFC)); Startup Foundation for Introducing Talent of Nanjing University of Information Science and Technology, China; Jiangsu Distinguished Professor program of the People ' s Government of Jiangsu Province; CAPES Foundation(Coordenacao de Aperfeicoamento de Pessoal de Nivel Superior (CAPES)); National Council for Scientific and Technological Development (CNPq)(Conselho Nacional de Desenvolvimento Cientifico e Tecnologico (CNPQ)); Minas Gerais State Foundation for Research Aid (FAPEMIG)(Fundacao de Amparo a Pesquisa do Estado de Minas Gerais (FAPEMIG));</t>
  </si>
  <si>
    <t>E.A. and J.B. ackowledge support from the National Natural Science Foundation of China (NSFC) -Academy of Finland Cooperation and Exchange Project (No. 42311530043) . E.A. also acknowledges support from the National Natural Science Foundation of China (No.4210070867) , the Startup Foundation for Introducing Talent of Nanjing University of Information Science and Technology, China (No. 003080) , and the Jiangsu Distinguished Professor program of the People ' s Government of Jiangsu Province. R.N.C.G. acknowledges financial support from the CAPES Foundation (Financial code 001) , the National Council for Scientific and Technological Development (CNPq; grant 302,865/2020 - 9) and the Minas Gerais State Foundation for Research Aid (FAPEMIG) .</t>
  </si>
  <si>
    <t>0013-9351</t>
  </si>
  <si>
    <t>1096-0953</t>
  </si>
  <si>
    <t>ENVIRON RES</t>
  </si>
  <si>
    <t>Environ. Res.</t>
  </si>
  <si>
    <t>10.1016/j.envres.2023.116876</t>
  </si>
  <si>
    <t>Environmental Sciences; Public, Environmental &amp; Occupational Health</t>
  </si>
  <si>
    <t>Environmental Sciences &amp; Ecology; Public, Environmental &amp; Occupational Health</t>
  </si>
  <si>
    <t>Q9SI8</t>
  </si>
  <si>
    <t>WOS:001060838800001</t>
  </si>
  <si>
    <t>Almi, S; Morandotti, M; Solombrino, F</t>
  </si>
  <si>
    <t>Almi, Stefano; Morandotti, Marco; Solombrino, Francesco</t>
  </si>
  <si>
    <t>Optimal control problems in transport dynamics with additive noise</t>
  </si>
  <si>
    <t>JOURNAL OF DIFFERENTIAL EQUATIONS</t>
  </si>
  <si>
    <t>Mean-field optimal control; Optimal control with SDE constraints; Population dynamics; P-convergence; Superposition principle</t>
  </si>
  <si>
    <t>FIELD OPTIMAL-CONTROL; WASSERSTEIN DISTANCE; GLOBAL OPTIMIZATION; EQUATIONS; MODELS; LIMIT</t>
  </si>
  <si>
    <t>Motivated by the applications in leader-follower multi-agent dynamics, a class of optimal control prob-lems is investigated, where the goal is to influence the behavior of a given population through another controlled one interacting with the first. The evolution of the systems obeys a non-linear Fokker-Planck-type equation as diffusive terms accounting for randomness in the evolution are taken into account. A well-posedness theory under very low regularity of the control vector fields is developed, as well as a rig-orous mean-field limit of a stochastic particle approximation.&amp; COPY; 2023 The Author(s). Published by Elsevier Inc. This is an open access article under the CC BY-NC-ND license (http://creativecommons .org /licenses /by -nc -nd /4 .0/).</t>
  </si>
  <si>
    <t>[Almi, Stefano; Solombrino, Francesco] Univ Napoli Federico II, Dipartimento Matemat &amp; Applicazioni R Caccioppoli, via Cintia, I-80126 Naples, Italy; [Morandotti, Marco] Politecn Torino, Dipartimento Sci Matemat GL Lagrange, Corso Duca Abruzzi 24, I-10129 Turin, Italy</t>
  </si>
  <si>
    <t>University of Naples Federico II; Polytechnic University of Turin</t>
  </si>
  <si>
    <t>Morandotti, M (corresponding author), Politecn Torino, Dipartimento Sci Matemat GL Lagrange, Corso Duca Abruzzi 24, I-10129 Turin, Italy.</t>
  </si>
  <si>
    <t>stefano.almi@unina.it; marco.morandotti@polito.it; francesco.solombrino@unina.it</t>
  </si>
  <si>
    <t>; Morandotti, Marco/J-7862-2017</t>
  </si>
  <si>
    <t>Solombrino, Francesco/0000-0003-4251-3851; Morandotti, Marco/0000-0003-3528-6152</t>
  </si>
  <si>
    <t>Austrian Science Fund [ESP-61, P-35359]; Starting grant per giovani ricercatori of Politecnico di Torino; MIUR grant Dipartimenti di Eccellenza 2018-2022 [2020F3NCPX]; PRIN 2020 project Mathematics for industry 4.0 (Math4I4) [2017BTM7SN]; Italian Ministry of University and Research; project Variational methods for stationary and evolution problems with singularities and interfaces PRIN 2017 [CUP: E65F20001630003]; Italian Ministry of Education, University; University of Naples Federico II and Compagnia di San Paolo [CUP: E55F22000270001]; GNAMPA 2022 Project Approccio multiscala all'analisi di modelli di interazione; [E11G18000350001]</t>
  </si>
  <si>
    <t>Austrian Science Fund(Austrian Science Fund (FWF)); Starting grant per giovani ricercatori of Politecnico di Torino; MIUR grant Dipartimenti di Eccellenza 2018-2022(Ministry of Education, Universities and Research (MIUR)); PRIN 2020 project Mathematics for industry 4.0 (Math4I4); Italian Ministry of University and Research(Ministry of Education, Universities and Research (MIUR)); project Variational methods for stationary and evolution problems with singularities and interfaces PRIN 2017; Italian Ministry of Education, University(Ministry of Education, Universities and Research (MIUR)); University of Naples Federico II and Compagnia di San Paolo; GNAMPA 2022 Project Approccio multiscala all'analisi di modelli di interazione;</t>
  </si>
  <si>
    <t>The work of SA was partially funded by the Austrian Science Fund through the projects ESP-61 and P-35359. The work of MM was partially supported by the Starting grant per giovani ricercatori of Politecnico di Torino, by the MIUR grant Dipartimenti di Eccellenza 2018-2022 (E11G18000350001) , and by the PRIN 2020 project Mathematics for industry 4.0 (Math4I4) (2020F3NCPX) financed by the Italian Ministry of University and Research. The work of FS was partially supported by the project Variational methods for stationary and evolution problems with singularities and interfaces PRIN 2017 (2017BTM7SN) financed by the Italian Ministry of Education, University, and Research and by the project Starplus 2020 Unina Linea 1 New challenges in the variational modeling of continuum mechanics from the University of Naples Federico II and Compagnia di San Paolo (CUP: E65F20001630003) . MM and FS are members of the GNAMPA group of INdAM. This research fits within the scopes of the GNAMPA 2022 Project Approccio multiscala all'analisi di modelli di interazione (CUP: E55F22000270001) . Finally, the authors acknowledge the warm hospitality of ESI, Vienna during the workshop Between</t>
  </si>
  <si>
    <t>0022-0396</t>
  </si>
  <si>
    <t>1090-2732</t>
  </si>
  <si>
    <t>J DIFFER EQUATIONS</t>
  </si>
  <si>
    <t>J. Differ. Equ.</t>
  </si>
  <si>
    <t>10.1016/j.jde.2023.07.010</t>
  </si>
  <si>
    <t>O9JQ9</t>
  </si>
  <si>
    <t>WOS:001046913700001</t>
  </si>
  <si>
    <t>Butt, AM; Rupareliya, V; Hariharan, A; Kumar, H</t>
  </si>
  <si>
    <t>Butt, Ayub Mohammed; Rupareliya, Vimal; Hariharan, A.; Kumar, Hemant</t>
  </si>
  <si>
    <t>Building a pathway to recovery: Targeting ECM remodeling in CNS injuries</t>
  </si>
  <si>
    <t>BRAIN RESEARCH</t>
  </si>
  <si>
    <t>CNS injuries; Fibrotic scar; Glial scar; ECM remodeling; Neuroregeneration</t>
  </si>
  <si>
    <t>TRAUMATIC BRAIN-INJURY; SPINAL-CORD-INJURY; CHONDROITIN SULFATE PROTEOGLYCANS; PROMOTES NEUROLOGICAL RECOVERY; GLIAL SCAR FORMATION; EXTRACELLULAR-MATRIX; AXON REGENERATION; FUNCTIONAL RECOVERY; HYALURONIC-ACID; NEURITE OUTGROWTH</t>
  </si>
  <si>
    <t>Extracellular matrix (ECM) is a complex and dynamic network of proteoglycans, proteins, and other macromolecules that surrounds cells in tissues. The ECM provides structural support to cells and plays a critical role in regulating various cellular functions. ECM remodeling is a dynamic process involving the breakdown and reconstruction of the ECM. This process occurs naturally during tissue growth, wound healing, and tissue repair. However, in the context of central nervous system (CNS) injuries, dysregulated ECM remodeling can lead to the formation of fibrotic and glial scars. CNS injuries encompass various traumatic events, including concussions and fractures. Following CNS trauma, the formation of glial and fibrotic scars becomes prominent. Glial scars primarily consist of reactive astrocytes, while fibrotic scars are characterized by an abundance of ECM proteins. ECM remodeling plays a pivotal and tightly regulated role in the development of these scars after spinal cord and brain injuries. Various factors like ECM components, ECM remodeling enzymes, cell surface receptors of ECM molecules, and downstream pathways of ECM molecules are responsible for the remodeling of the ECM. The aim of this review article is to explore the changes in ECM during normal physiological conditions and following CNS injuries. Additionally, we discuss various approaches that target various factors responsible for ECM remodeling, with a focus on promoting axon regeneration and functional recovery after CNS injuries. By targeting ECM remodeling, it may be possible to enhance axonal regeneration and facilitate functional recovery after CNS injuries.</t>
  </si>
  <si>
    <t>[Butt, Ayub Mohammed; Rupareliya, Vimal; Hariharan, A.; Kumar, Hemant] Natl Inst Pharmaceut Educ &amp; Res NIPER Ahmedabad, Dept Pharmacol &amp; Toxicol, Gandhinagar, Gujarat, India</t>
  </si>
  <si>
    <t>National Institute of Pharmaceutical Education &amp; Research (NIPER)</t>
  </si>
  <si>
    <t>Kumar, H (corresponding author), Natl Inst Pharmaceut Educ &amp; Res NIPER Ahmedabad, Dept Pharmacol &amp; Toxicol, Gandhinagar, Gujarat, India.</t>
  </si>
  <si>
    <t>hemant@niperahm.res.in</t>
  </si>
  <si>
    <t>Kumar, Hemant/G-4576-2018</t>
  </si>
  <si>
    <t>Kumar, Hemant/0000-0002-6434-0245</t>
  </si>
  <si>
    <t>National Institute of Pharmaceutical Education and Research, Ahmedabad; Ministry of Chemicals and Fertilizers, Govt. of India</t>
  </si>
  <si>
    <t>Ayub Mohammed Butt, Vimal Rupareliya, and A. Hariharan received the scholarship from the National Institute of Pharmaceutical Education and Research, Ahmedabad, and the Ministry of Chemicals and Fertilizers, Govt. of India. Color illustrations were prepared using the paid version of Biorender.com.</t>
  </si>
  <si>
    <t>0006-8993</t>
  </si>
  <si>
    <t>1872-6240</t>
  </si>
  <si>
    <t>BRAIN RES</t>
  </si>
  <si>
    <t>Brain Res.</t>
  </si>
  <si>
    <t>10.1016/j.brainres.2023.148533</t>
  </si>
  <si>
    <t>Neurosciences</t>
  </si>
  <si>
    <t>Q9VJ6</t>
  </si>
  <si>
    <t>WOS:001060918700001</t>
  </si>
  <si>
    <t>Cai, PC; Mi, Y; Ma, SY; Li, HZ; Li, DD; Wang, P</t>
  </si>
  <si>
    <t>Cai, Pengcheng; Mi, Yang; Ma, Siyuan; Li, Hongzhong; Li, Dongdong; Wang, Peng</t>
  </si>
  <si>
    <t>Hierarchical game for integrated energy system and electricity-hydrogen hybrid charging station under distributionally robust optimization</t>
  </si>
  <si>
    <t>Integrated energy system; Electricity -hydrogen hybrid charging station; Hierarchical game; Distributionally robust optimization; Distributed algorithm</t>
  </si>
  <si>
    <t>POWER; MANAGEMENT; ALGORITHM; OPERATION; NETWORK; DEMAND; MODEL; PLANT; HEAT</t>
  </si>
  <si>
    <t>To facilitate energy coupling and distributed coordinate the economic improvement needs of multi-stakeholders, a bi-level strategic operation framework is proposed for integrated energy system (IES) with electricity-hydrogen hybrid charging station (HCS) via utilizing the distributionally robust optimization (DRO) approach together with hierarchical game. Firstly, a Stackelberg game dynamic pricing strategy with the IES plays the leader at the upper level while the HCS is regarded as the follower at the lower level is established, in which electricity price and power are the only interactive information. Secondly, a comprehensive norm consisting of 1-norm and &amp; INFIN;-norm is elaborately constructed as the uncertainty probability information ambiguity set to capture the uncertainty of intractable electric vehicles' type characteristics in the HCS. Besides, a solving technique of the bisection-based distributed algorithm combined with the column-and-constraint generation algorithm is presented to overcome the convergence difficulty in the two-stage mathematical programming model with lowerlevel nonconvex problems. Finally, numerical simulation results are conducted confirming the priority of the employed model and method in balancing conflicts of interest, compromising economy and robustness, as well as the computational efficiency of the algorithm.</t>
  </si>
  <si>
    <t>[Cai, Pengcheng; Mi, Yang; Ma, Siyuan; Li, Hongzhong; Li, Dongdong] Shanghai Univ Elect Power, Shanghai 200090, Peoples R China; [Wang, Peng] Nanyang Technol Univ, Singapore 639798, Singapore</t>
  </si>
  <si>
    <t>Shanghai University of Electric Power; Nanyang Technological University &amp; National Institute of Education (NIE) Singapore; Nanyang Technological University</t>
  </si>
  <si>
    <t>Mi, Y (corresponding author), Shanghai Univ Elect Power, Shanghai 200090, Peoples R China.</t>
  </si>
  <si>
    <t>miyangmi@163.com</t>
  </si>
  <si>
    <t>Li, Hongzhong/0009-0000-4796-784X; Cai, Pengcheng/0000-0002-6109-1546</t>
  </si>
  <si>
    <t>Shanghai Municipal Natural Sci- ence Foundation [22ZR1425500]; National Natural Science Foundation of China [61873159]</t>
  </si>
  <si>
    <t>Shanghai Municipal Natural Sci- ence Foundation; National Natural Science Foundation of China(National Natural Science Foundation of China (NSFC))</t>
  </si>
  <si>
    <t>This work is supported in part by Shanghai Municipal Natural Sci- ence Foundation (No.22ZR1425500) and National Natural Science Foundation of China (No.61873159) .</t>
  </si>
  <si>
    <t>10.1016/j.energy.2023.128471</t>
  </si>
  <si>
    <t>P1UF4</t>
  </si>
  <si>
    <t>WOS:001048556000001</t>
  </si>
  <si>
    <t>Chang, XW; Liu, TT; Li, WL; Gao, RX; Lei, H; Ren, ZY</t>
  </si>
  <si>
    <t>Chang, Xinwei; Liu, Tingting; Li, Weilong; Gao, Rongxin; Lei, Hao; Ren, Zhaoyu</t>
  </si>
  <si>
    <t>Porous prussian blue analogs derived nickel-iron bimetallic phosphide nanocubes on conductive hollow mesoporous carbon nanospheres for stable and flexible high-performance supercapacitor electrode</t>
  </si>
  <si>
    <t>Ni-Fe-P@HMCS composite material; Porous core-shell structure; High stability electrode; Flexible hybrid supercapacitor</t>
  </si>
  <si>
    <t>NANOSHEETS; EFFICIENT; FE; PHOSPHORIZATION; GRAPHENE; SURFACE; CO</t>
  </si>
  <si>
    <t>Nickel-iron bimetallic phosphide (Ni-Fe-P) is the ideal battery-type materials for supercapacitor in virtue of high theoretical specific capacitance. Nevertheless, its actual adhibition is astricted on account of inferior rate capability and cyclic stability. Herein, we constructed hierarchical core-shell nanocomposites with hollow mesoporous carbon nanospheres (HMCS) packaged via prussian blue analogs derived Ni-Fe-P nanocubes (Ni-FeP@HMCS), as a positive electrode for hybrid supercapacitor (HSC). Profiting from the cooperative effects of NiFe-P nanocubes with small size and good dispersibility, and HMCS with continuously conductive network, the NiFe-P@HMCS composite electrode with abundantly porous architectures presents an ultrahigh gravimetric specific capacity for 739.8 C g- 1 under 1 A g-1. Specially, the Ni-Fe-P@HMCS electrode presents outstanding rate capability of 78.4% (1 A g-1 to 20 A g-1) and cyclic constancy for 105% after 5000 cycles. Density functional theory implies that the composite electrode possesses higher electrical conductivity than bare Ni-Fe-P electrode by reason of the incremental charge density, and the electrons transferring from NiFe3P4 to HMCS layers. Additionally, the assembled Ni-Fe-P@HMCS//HMCS HSC facility delivers the high energy density for 64.1 Wh kg-1, remarkable flexibility and mechanical stability. Thus, this work proffers a viable and efficacious measure to construct ultra-stability electrode for high-performance portable electronic facilities.</t>
  </si>
  <si>
    <t>[Chang, Xinwei; Li, Weilong; Gao, Rongxin; Lei, Hao; Ren, Zhaoyu] Northwest Univ, Inst Photon &amp; Photon Technol, Xian 710069, Peoples R China; [Chang, Xinwei; Liu, Tingting] Xianyang Normal Univ, Coll Phys &amp; Elect Engn, Xianyang 712000, Peoples R China</t>
  </si>
  <si>
    <t>Northwest University Xi'an; Xianyang Normal University</t>
  </si>
  <si>
    <t>Li, WL (corresponding author), Northwest Univ, Inst Photon &amp; Photon Technol, Xian 710069, Peoples R China.</t>
  </si>
  <si>
    <t>lwl@nwu.edu.cn</t>
  </si>
  <si>
    <t>National Natural Science Foundation of China [11874299]; Key Project of Research amp; Development of Shaanxi Province in China [2018ZDCXL-GY-08- 05]; Natural Science Foundation of Shaanxi Province [2021JM- 302]</t>
  </si>
  <si>
    <t>National Natural Science Foundation of China(National Natural Science Foundation of China (NSFC)); Key Project of Research amp; Development of Shaanxi Province in China; Natural Science Foundation of Shaanxi Province(Natural Science Foundation of Shaanxi Province)</t>
  </si>
  <si>
    <t>The work is financially sponsored by the National Natural Science Foundation of China (Grant No. 11874299) , the Key Project of Research &amp; Development of Shaanxi Province in China (No. 2018ZDCXL-GY-08- 05) , and Natural Science Foundation of Shaanxi Province (2021JM- 302) .</t>
  </si>
  <si>
    <t>10.1016/j.jcis.2023.07.036</t>
  </si>
  <si>
    <t>P2ZC3</t>
  </si>
  <si>
    <t>WOS:001049362700001</t>
  </si>
  <si>
    <t>Cheng, ZY; Sun, Y; Hu, K; Li, J; Lu, TF; Li, RJ</t>
  </si>
  <si>
    <t>Cheng, Zhen-Ying; Sun, Yuan; Hu, Kang; Li, Jie; Lu, Tien-Fu; Li, Rui-Jun</t>
  </si>
  <si>
    <t>Deep learning-based intelligent measurement methods and system for CMM</t>
  </si>
  <si>
    <t>MEASUREMENT</t>
  </si>
  <si>
    <t>CMM; Intelligent measurement; Cooperative sensor configuration</t>
  </si>
  <si>
    <t>Extensive manual intervention and management are typically required when using coordinate measuring ma-chines (CMMs) for inspections in production lines leading to low efficiency. This study presents a deep lear-ning-based intelligent measurement method and system for measuring typical features (including holes, cylinders, balls, steps, and slots) of common components to improve inspection efficiency. This method combines vision sensors and a trigger probe. The You Only Look Once algorithm was employed to learn and achieve intelligent detection of features. An image-matching algorithm based on image inverse perspective trans-formation was designed, and the ant colony algorithm was implemented to optimize the measurement sequence. Then, an automatic approach for feature measurement path planning was designed. The presented system was tested using CMM, and a component with multiple typical features was measured. Results show that this method and system can be efficaciously implemented for intelligent measurement of typical features.</t>
  </si>
  <si>
    <t>[Cheng, Zhen-Ying; Sun, Yuan; Hu, Kang; Li, Jie; Li, Rui-Jun] Hefei Univ Technol, Sch Instrument Sci &amp; Optoelect Engn, Hefei 230009, Peoples R China; [Lu, Tien-Fu] Univ Adelaide, Sch Mech Engn, Adelaide, SA 5005, Australia</t>
  </si>
  <si>
    <t>Hefei University of Technology; University of Adelaide</t>
  </si>
  <si>
    <t>Li, RJ (corresponding author), Hefei Univ Technol, Sch Instrument Sci &amp; Optoelect Engn, Hefei 230009, Peoples R China.</t>
  </si>
  <si>
    <t>tien-fu.lu@adelaide.edu.au; rj-li@hfut.edu.cn</t>
  </si>
  <si>
    <t>National Natural Science Foundation of China [52175506, 52075143]</t>
  </si>
  <si>
    <t>Data availability No data was used for the research described in the article. Acknowledgements This research was partly funded by the National Natural Science Foundation of China (52175506, 52075143) . References</t>
  </si>
  <si>
    <t>0263-2241</t>
  </si>
  <si>
    <t>1873-412X</t>
  </si>
  <si>
    <t>Measurement</t>
  </si>
  <si>
    <t>10.1016/j.measurement.2023.113474</t>
  </si>
  <si>
    <t>Engineering, Multidisciplinary; Instruments &amp; Instrumentation</t>
  </si>
  <si>
    <t>Engineering; Instruments &amp; Instrumentation</t>
  </si>
  <si>
    <t>S2CH1</t>
  </si>
  <si>
    <t>WOS:001069294900001</t>
  </si>
  <si>
    <t>Chi, X; Tang, S; Song, XX; Rahimi, S; Ren, ZC; Han, GP; Shi, SQ; Cheng, WL; Avramidis, S</t>
  </si>
  <si>
    <t>Chi, Xiang; Tang, Sai; Song, Xiaoxue; Rahimi, Sohrab; Ren, Zechun; Han, Guangping; Shi, Sheldon Q.; Cheng, Wanli; Avramidis, Stavros</t>
  </si>
  <si>
    <t>Energy and quality analysis of forced convection air-energy assisted solar timber drying</t>
  </si>
  <si>
    <t>Air energy-assisted solar dryer; Porous material; Moisture diffusion coefficient; Drying efficiency; Energy efficiency</t>
  </si>
  <si>
    <t>HEAT-PUMP; MASS-TRANSFER; DRYER; PERFORMANCE; CONSUMPTION; KINETICS; EFFICIENCY; EMISSIONS; KILN</t>
  </si>
  <si>
    <t>Discontinuities due to weather conditions and daylight affect solar drying, so to address that, a working mechanism of air energy-assisted solar drying was developed in this study. An air-energy assisted solar dryer was used to dry timber, from a green average moisture content of 183%-11.3% in 161.5 h, where the moisture diffusion coefficient ranged from 1.28 x10-10 m2/s to 6.41 x10-9 m2/s. The effective solar radiation intensity during drying ranged from 221.3 to 750.3 W/m2. The overall drying efficiency was 30.7%, and the effective solar heat supply ratio was 58.5%. The specific moisture extraction rate and specific energy consumption were measured within a range of 0.32-3.0 kg/kWh and 924 -11390 kJ/kg, respectively. The average power consumption per m3 of wood volume was 254.2 kW h/m3. The results showed that the energy-assisted solar dryer was suitable for a condition with low radiation and various weather conditions.</t>
  </si>
  <si>
    <t>[Chi, Xiang; Tang, Sai; Song, Xiaoxue; Ren, Zechun; Han, Guangping; Cheng, Wanli] Northeast Forestry Univ, Coll Mat Sci &amp; Engn, Harbin 150040, Peoples R China; [Chi, Xiang; Rahimi, Sohrab; Avramidis, Stavros] Univ British Columbia, Fac Forestry, Dept Wood Sci, Vancouver, BC V6T 1Z4, Canada; [Han, Guangping] Northeast Forestry Univ, Key Lab Biobased Mat Sci &amp; Technol, Minist Educ, Harbin 150040, Peoples R China; [Shi, Sheldon Q.] Univ North Texas, Mech Engn Dept, UNT Discovery Pk,3940 North Elm St,Suite F101P, Denton, TX 76207 USA; [Rahimi, Sohrab] FPInnovations, 2665 E Mall, Vancouver, BC V6T 1Z4, Canada</t>
  </si>
  <si>
    <t>Northeast Forestry University - China; University of British Columbia; Northeast Forestry University - China; University of North Texas System; University of North Texas Denton</t>
  </si>
  <si>
    <t>Cheng, WL (corresponding author), Northeast Forestry Univ, Coll Mat Sci &amp; Engn, Harbin 150040, Peoples R China.;Avramidis, S (corresponding author), Univ British Columbia, Fac Forestry, Dept Wood Sci, Vancouver, BC V6T 1Z4, Canada.</t>
  </si>
  <si>
    <t>Chixiangnefu@163.com; tangsai72@163.com; songxiaoxue2019@hotmail.com; sohrab.rahimi@alumni.ubc.ca; yourong_rzc@163.com; guangping.han@nefu.edu.cn; sheldon.shi@unt.edu; nefucwl@nefu.edu.cn; avramidis@ubc.ca</t>
  </si>
  <si>
    <t>Avramidis, Stavros/0000-0003-1517-716X</t>
  </si>
  <si>
    <t>National Natural Science Foundation of China [572022AW40]; Fundamental Research Funds for the Central Universities [LH2022060]; Natural Science Foundation of Heilongjiang Province [LYGC 202102]; Innovation Foundation for Doctoral Program of Forestry Engineering of Northeast Forestry University; [32071686]</t>
  </si>
  <si>
    <t>National Natural Science Foundation of China(National Natural Science Foundation of China (NSFC)); Fundamental Research Funds for the Central Universities(Fundamental Research Funds for the Central Universities); Natural Science Foundation of Heilongjiang Province(Natural Science Foundation of Heilongjiang Province); Innovation Foundation for Doctoral Program of Forestry Engineering of Northeast Forestry University;</t>
  </si>
  <si>
    <t>The National Natural Science Foundation of China (Grant No.32071686) , the Fundamental Research Funds for the Central Universities (572022AW40) , Natural Science Foundation of Heilongjiang Province (LH2022060) , the Innovation Foundation for Doctoral Program of Forestry Engineering of Northeast Forestry University (LYGC 202102) financially supported this research.</t>
  </si>
  <si>
    <t>10.1016/j.energy.2023.128718</t>
  </si>
  <si>
    <t>Q7JA7</t>
  </si>
  <si>
    <t>WOS:001059237900001</t>
  </si>
  <si>
    <t>Goyal, M; Sinha, MM</t>
  </si>
  <si>
    <t>Goyal, Megha; Sinha, M. M.</t>
  </si>
  <si>
    <t>Phase stability and thermoelectricity in topological Dirac semimetal Na3Bi</t>
  </si>
  <si>
    <t>MATERIALS SCIENCE IN SEMICONDUCTOR PROCESSING</t>
  </si>
  <si>
    <t>DFT; Topological semimetals; Na3Bi; Thermoelectric properties; Mechanical properties</t>
  </si>
  <si>
    <t>PRESSURE; INSULATORS</t>
  </si>
  <si>
    <t>A vibrant research field in condensed matter is the study of topological materials, which range from topological insulators to Dirac semimetals and Weyl semimetals. Na3Bi is predicted to be Dirac semimetal with a Dirac node near the Fermi level. Hence, to validate the presence of Dirac cone and to check the stability of Na3Bi in cubic and hexagonal phases for its practical applications an ab-initio calculation has been performed. A structural phase transition has been observed from hexagonal to cubic phase at 0.89 GPa pressure for Na3Bi. The computed elastic constants satisfy Born-Huang stability criteria for both phases indicating the mechanical stability of the present compound. But it has been found that the P63/mmc phase of Na3Bi is dynamically unstable at ambient conditions therefore, the thermoelectric properties of c-Na3Bi have been investigated by employing Boltzmann transport theory. The low lattice thermal conductivity (1.89 W/mK) and high value of the figure of merit (0.32) at 1200K suggest a good thermoelectric response of the material at high temperatures. Hence, Na3Bi is a potential material that can be used in quantum electronic and thermoelectric devices.</t>
  </si>
  <si>
    <t>[Goyal, Megha; Sinha, M. M.] St Longowal Inst Engn &amp; Technol, Dept Phys, Longowal 148106, Sangrur, India</t>
  </si>
  <si>
    <t>Sant Longowal Institute of Engineering &amp; Technology (SLIET)</t>
  </si>
  <si>
    <t>Goyal, M (corresponding author), St Longowal Inst Engn &amp; Technol, Dept Phys, Longowal 148106, Sangrur, India.</t>
  </si>
  <si>
    <t>megha3294@gmail.com</t>
  </si>
  <si>
    <t>1369-8001</t>
  </si>
  <si>
    <t>1873-4081</t>
  </si>
  <si>
    <t>MAT SCI SEMICON PROC</t>
  </si>
  <si>
    <t>Mater. Sci. Semicond. Process</t>
  </si>
  <si>
    <t>10.1016/j.mssp.2023.107760</t>
  </si>
  <si>
    <t>Engineering, Electrical &amp; Electronic; Materials Science, Multidisciplinary; Physics, Applied; Physics, Condensed Matter</t>
  </si>
  <si>
    <t>Engineering; Materials Science; Physics</t>
  </si>
  <si>
    <t>P9ET8</t>
  </si>
  <si>
    <t>WOS:001053642200001</t>
  </si>
  <si>
    <t>Guo, LL; Yu, ZH; Li, YS; Xie, ZH; Wang, GH; Liu, JJ; Hu, XJ; Wu, JJ; Liu, XB; Jin, J</t>
  </si>
  <si>
    <t>Guo, Lili; Yu, Zhenhua; Li, Yansheng; Xie, Zhihuang; Wang, Guanghua; Liu, Junjie; Hu, Xiaojing; Wu, Junjiang; Liu, Xiaobing; Jin, Jian</t>
  </si>
  <si>
    <t>Stimulation of primed carbon under climate change corresponds with phosphorus mineralization in the rhizosphere of soybean</t>
  </si>
  <si>
    <t>Climate change; 13CO2 labeling; Priming effect; P fraction; C degradation; P functional genes</t>
  </si>
  <si>
    <t>LONG-TERM FERTILIZATION; ELEVATED CO2; MICROBIAL COMMUNITY; EXTRACTION METHOD; P AVAILABILITY; ORGANIC-CARBON; SOIL; BIOMASS; GENES; WHEAT</t>
  </si>
  <si>
    <t>Elevated CO2 and temperature likely alter photosynthetic carbon inputs to soils, which may stimulate soil mi-crobial activity to accelerate the decomposition of soil organic carbon (SOC), liberating more phosphorus (P) into the soil solution. However, this hypothesis on the association of SOC decomposition and P transformation in the plant rhizosphere requires robust soil biochemical evidence, which is critical to nutrient management for the mitigation of soil quality against climate change. This study investigated the microbial functional genes relevant to P mineralization together with priming processes of SOC in the rhizosphere of soybean grown under climate change. Soybean plants were grown under elevated CO2 (eCO2, 700 ppm) combined with warming (+ 2 degrees C above ambient temperature) in open-top chambers. Photosynthetic carbon flow in the plant-soil continuum was traced with 13CO2 labeling. The eCO2 plus warming treatment increased the primed carbon (C) by 43 % but decreased the NaHCO3-extratable organic P by 33 %. Furthermore, NaHCO3-Po was negatively correlated with phosphatase activity and microbial biomass C. Elevated CO2 increased the abundances of C degradation genes, such as abfA and ManB, and P mineralization genes, such as gcd, phoC and phnK. The results suggested that increased photosynthetic carbon inputs to the rhizosphere of plants under eCO2 plus warming stimulated the microbial population and metabolic functions of both SOC and organic P mineralization. There is a positive relationship between the rhizosphere priming effect and P mineralization. The response of microorganisms to plant-C flow is decisive for coupled C and P cycles, which are likely accelerated under climate change.</t>
  </si>
  <si>
    <t>[Guo, Lili; Yu, Zhenhua; Li, Yansheng; Xie, Zhihuang; Wang, Guanghua; Liu, Junjie; Hu, Xiaojing; Liu, Xiaobing; Jin, Jian] Chinese Acad Sci, Northeast Inst Geog &amp; Agroecol, Key Lab Mollisols Agroecol, Harbin 150081, Peoples R China; [Guo, Lili] Henan Acad Sci, Inst Geog, 64 Longhai Rd, Zhengzhou 450052, Peoples R China; [Wu, Junjiang; Jin, Jian] Heilongjiang Acad Agr Sci, Minist Agr, Soybean Res Inst, Key Lab Soybean Cultivat, Harbin, Peoples R China; [Jin, Jian] La Trobe Univ, Ctr AgriBiosci, Dept Anim Plant &amp; Soil Sci, Melbourne Campus, Bundoora, Vic 3086, Australia; [Jin, Jian] Chinese Acad Sci, Northeast Inst Geog &amp; Agroecol, Harbin 150081, Peoples R China</t>
  </si>
  <si>
    <t>Chinese Academy of Sciences; Northeast Institute of Geography &amp; Agroecology, CAS; Henan Academy of Sciences; Ministry of Agriculture &amp; Rural Affairs; Heilongjiang Academy of Agricultural Sciences; La Trobe University; Chinese Academy of Sciences; Northeast Institute of Geography &amp; Agroecology, CAS</t>
  </si>
  <si>
    <t>Jin, J (corresponding author), Chinese Acad Sci, Northeast Inst Geog &amp; Agroecol, Harbin 150081, Peoples R China.</t>
  </si>
  <si>
    <t>jinjian29@hotmail.com</t>
  </si>
  <si>
    <t>Wang, Guanghua/ADE-3570-2022</t>
  </si>
  <si>
    <t>Wang, Guanghua/0000-0003-4737-8126</t>
  </si>
  <si>
    <t>Key Program of Natural Science Foundation of Heilongjiang Province of China [ZD2021D001]; Strategic Priority Research Program of the Chinese Academy of Sciences [XDA28020201]; Youth Innovation Promotion Association of Chinese Academy of Sciences [2019233]; La Trobe University ABC scheme project; Research Project of Henan Academy of Sciences [231801032]</t>
  </si>
  <si>
    <t>Key Program of Natural Science Foundation of Heilongjiang Province of China; Strategic Priority Research Program of the Chinese Academy of Sciences(Chinese Academy of Sciences); Youth Innovation Promotion Association of Chinese Academy of Sciences; La Trobe University ABC scheme project; Research Project of Henan Academy of Sciences</t>
  </si>
  <si>
    <t>The project was funded by Key Program of Natural Science Foundation of Heilongjiang Province of China (ZD2021D001) , the Strategic Priority Research Program of the Chinese Academy of Sciences (XDA28020201) , Youth Innovation Promotion Association of Chinese Academy of Sciences (2019233) , La Trobe University ABC scheme project, and Research Project of Henan Academy of Sciences (231801032) .</t>
  </si>
  <si>
    <t>10.1016/j.scitotenv.2023.165580</t>
  </si>
  <si>
    <t>P3KU4</t>
  </si>
  <si>
    <t>WOS:001049672400001</t>
  </si>
  <si>
    <t>He, BH; Cunha, J; Hou, ZH; Li, GY; Yin, H</t>
  </si>
  <si>
    <t>He, Binhong; Cunha, Joao; Hou, Zhaohui; Li, Gangyong; Yin, Hong</t>
  </si>
  <si>
    <t>3D hierarchical self-supporting Bi2Se3-based anode for high-performance lithium/sodium-ion batteries</t>
  </si>
  <si>
    <t>Self-supporting electrode; Stable framework; Lithium-ion battery; Sodium-ion battery</t>
  </si>
  <si>
    <t>HIGH-RATE CAPABILITY; NETWORK</t>
  </si>
  <si>
    <t>Bi2Se3 is a promising material for anodes in lithium-ion batteries (LIBs) and sodium-ion batteries (SIBs) due to its abundance, easy preparation, and high capacity. However, its practical application is hindered by low conductivity and significant volume variation during cycling, leading to poor rate capability and cycling stability. Herein, a novel composite consisting of Bi2Se3 nanoplates deposited on carbon cloth (CC) and encapsulated by reduced graphene oxide (rGO) has been designed and synthesized. The composite structure combines the advantages of the Bi2Se3 nanoplates, CC substrate, and rGO encapsulation, leading to enhanced electrochemical properties. The physical vapor deposition of Bi2Se3 nanoplates onto CC ensures a high loading of active material, while the rGO encapsulation provides a conductive and stable framework for the composite. This synergistic design allows for improved electron and ion transport, as well as efficient accommodation of the volume changes during cycling. In LIBs, the composite demonstrates a high reversible capacity of 467.5 mAh/g at 0.1 A/g after 120 cycles. Moreover, it displays an outstanding rate capability, delivering a capacity of 398.6 mAh/g at 5.0 A/g. Similarly, in SIBs, the composite maintains a reversible capacity of 375.3 mAh/g at 0.1 A/g over 100 cycles and exhibits a high-rate capacity of 286.3 mAh/g at 5.0 A/g. This work represents a significant step forward in addressing the challenges associated with Bi2Se3 as an anode material, paving the way for the development of high-performance LIBs and SIBs.</t>
  </si>
  <si>
    <t>[He, Binhong; Hou, Zhaohui; Li, Gangyong; Yin, Hong] Hunan Inst Sci &amp; Technol, Sch Chem &amp; Chem Engn, Key Lab Hunan Prov Adv Carbon based Funct Mat, Yueyang 414006, Peoples R China; [Cunha, Joao; Yin, Hong] Int Iberian Nanotechnol Lab INL, Av Mestre Jose Veigay, P-4715330 Braga, Portugal</t>
  </si>
  <si>
    <t>Hunan Institute of Science &amp; Technology; International Iberian Nanotechnology Laboratory</t>
  </si>
  <si>
    <t>Li, GY; Yin, H (corresponding author), Hunan Inst Sci &amp; Technol, Sch Chem &amp; Chem Engn, Key Lab Hunan Prov Adv Carbon based Funct Mat, Yueyang 414006, Peoples R China.;Yin, H (corresponding author), Int Iberian Nanotechnol Lab INL, Av Mestre Jose Veigay, P-4715330 Braga, Portugal.</t>
  </si>
  <si>
    <t>ligangyong117@163.com; Hong.yin@inl.int</t>
  </si>
  <si>
    <t>he, Binhong/0009-0009-2700-0506</t>
  </si>
  <si>
    <t>National Natural Science Foundation of China [52072120, 52171207, 52271211]; European Union; Hunan Provincial Natural Science Foundation of China , China [21B0406]; Scientific Research Fund of Hunan Provincial Education Department , China [22B0683, 2022RC3037]; science and technology innovation Program of Hunan Province , China [101065098]; HORIZON-Marie Sklodowska-Curie Actions-2021-PF; [2022JJ40162]</t>
  </si>
  <si>
    <t>National Natural Science Foundation of China(National Natural Science Foundation of China (NSFC)); European Union(European Union (EU)); Hunan Provincial Natural Science Foundation of China , China; Scientific Research Fund of Hunan Provincial Education Department , China(Hunan Provincial Education Department); science and technology innovation Program of Hunan Province , China; HORIZON-Marie Sklodowska-Curie Actions-2021-PF;</t>
  </si>
  <si>
    <t>This work was financially supported by the National Natural Science Foundation of China (No. 52072120, 52171207, 52271211) , China; HORIZON-Marie Sklodowska-Curie Actions-2021-PF (No.101065098) , European Union; Hunan Provincial Natural Science Foundation of China (No. 2022JJ40162) , China, and the Scientific Research Fund of Hunan Provincial Education Department (No. 21B0406, 22B0683) , China; and the science and technology innovation Program of Hunan Province (2022RC3037) , China.</t>
  </si>
  <si>
    <t>10.1016/j.jcis.2023.07.053</t>
  </si>
  <si>
    <t>P3UR6</t>
  </si>
  <si>
    <t>WOS:001049932900001</t>
  </si>
  <si>
    <t>Hildebrand, GA; Honeker, LK; Freire-Zapata, V; Ayala-Ortiz, C; Rajakaruna, S; Fudyma, J; Daber, LE; AminiTabrizi, R; Chu, RL; Toyoda, J; Flowers, SE; Hoyt, DW; Hamdan, R; Gil-Loaiza, J; Shi, LL; Dippold, MA; Ladd, SN; Werner, C; Meredith, LK; Tfaily, MM</t>
  </si>
  <si>
    <t>Hildebrand, Gina A.; Honeker, Linnea K.; Freire-Zapata, Viviana; Ayala-Ortiz, Christian; Rajakaruna, Sumudu; Fudyma, Jane; Daber, L. Erik; AminiTabrizi, Roya; Chu, Rosalie L.; Toyoda, Jason; Flowers, Sarah E.; Hoyt, David W.; Hamdan, Rasha; Gil-Loaiza, Juliana; Shi, Lingling; Dippold, Michaela A.; Ladd, S. Nemiah; Werner, Christiane; Meredith, Laura K.; Tfaily, Malak M.</t>
  </si>
  <si>
    <t>Uncovering the dominant role of root metabolism in shaping rhizosphere metabolome under drought in tropical rainforest plants</t>
  </si>
  <si>
    <t>Drought; Primary and secondary metabolites; Pyruvate; Rhizosphere; Roots; Tropical rainforest</t>
  </si>
  <si>
    <t>SOIL ORGANIC-MATTER; MASS-SPECTRA; BIOSPHERE 2; STRESS; CARBON; MICROBIOME; TOLERANCE; RESPONSES; ECOSYSTEM; TREES</t>
  </si>
  <si>
    <t>Plant-soil-microbe interactions are crucial for driving rhizosphere processes that contribute to metabolite turnover and nutrient cycling. With the increasing frequency and severity of water scarcity due to climate warming, understanding how plant-mediated processes, such as root exudation, influence soil organic matter turnover in the rhizosphere is essential. In this study, we used 16S rRNA gene amplicon sequencing, rhizosphere metabolomics, and position-specific 13C-pyruvate labeling to examine the effects of three different plant species (Piper auritum, Hibiscus rosa sinensis, and Clitoria fairchildiana) and their associated microbial communities on soil organic carbon turnover in the rhizosphere. Our findings indicate that in these tropical plants, the rhizosphere metabolome is primarily shaped by the response of roots to drought rather than direct shifts in the rhizosphere bacterial community composition. Specifically, the reduced exudation of plant roots had a notable effect on the metabolome of the rhizosphere of P. auritum, with less reliance on neighboring microbes. Contrary to P. auritum, H. rosa sinensis and C. fairchildiana experienced changes in their exudate composition during drought, causing alterations to the bacterial communities in the rhizosphere. This, in turn, had a collective impact on the rhizosphere's metabolome. Furthermore, the exclusion of phylogenetically distant microbes from the rhizosphere led to shifts in its metabolome. Additionally, C. fairchildiana appeared to be associated with only a subset of symbiotic bacteria under drought conditions. These results indicate that plant species-specific microbial interactions systematically change with the root metabolome. As roots respond to drought, their associated microbial communities adapt, potentially reinforcing the drought tolerance strategies of plant roots. These findings have significant implications for maintaining plant health and preference during drought stress and improving plant performance under climate change.</t>
  </si>
  <si>
    <t>[Hildebrand, Gina A.; Freire-Zapata, Viviana; Ayala-Ortiz, Christian; Rajakaruna, Sumudu; Fudyma, Jane; AminiTabrizi, Roya; Tfaily, Malak M.] Univ Arizona, Dept Environm Sci, 1177 E 4th St, Tucson, AZ 85721 USA; [Honeker, Linnea K.; Gil-Loaiza, Juliana; Meredith, Laura K.; Tfaily, Malak M.] Univ Arizona, BIO5 Inst, 1657 E Helen St, Tucson, AZ 85719 USA; [Honeker, Linnea K.; Gil-Loaiza, Juliana; Meredith, Laura K.] Univ Arizona, Sch Nat Resources &amp; Environm, 1064 E Lowell St, Tucson, AZ 85721 USA; [Meredith, Laura K.] Univ Arizona, Biosphere 2, 32540 S Biosphere Rd, Oracle, AZ 85739 USA; [Ladd, S. Nemiah; Werner, Christiane] Univ Calif, Dept Plant Pathol, One Shields Ave, Davis, CA 95816 USA; [Daber, L. Erik; Ladd, S. Nemiah; Werner, Christiane] Univ Freiburg, Georges Kohler Allee 53-54, D-79110 Freiburg, Germany; [Chu, Rosalie L.; Toyoda, Jason; Flowers, Sarah E.; Hoyt, David W.; Tfaily, Malak M.] Pacific Northwest Natl Lab, 902 Battelle Blvd, Richland, WA 99354 USA; [Hamdan, Rasha] Lebanese Univ, Dept Chem &amp; Biochem, Beirut, Lebanon; [Ladd, S. Nemiah] Univ Tubingen, Dept Geosci, Geobiosphere Interact, Schnarrenbergstr 94-96, D-72076 Tubingen, Germany; [Ladd, S. Nemiah] Univ Basel, Dept Environm Sci, Bernoullistr 30-32, CH-4056 Basel, Switzerland</t>
  </si>
  <si>
    <t>University of Arizona; University of Arizona; University of Arizona; University of Arizona; University of California System; University of California Davis; University of Freiburg; United States Department of Energy (DOE); Pacific Northwest National Laboratory; Lebanese University; Eberhard Karls University of Tubingen; University of Basel</t>
  </si>
  <si>
    <t>Tfaily, MM (corresponding author), Univ Arizona, Dept Environm Sci, 1177 E 4th St, Tucson, AZ 85721 USA.</t>
  </si>
  <si>
    <t>Tfaily@arizona.edu</t>
  </si>
  <si>
    <t>Environmental Molecular Sci- ences Laboratory; European Research Council (ERC) [647008]; Department of Energy, Office of Science Biological and Environmental Research Grant [DE-SC0021349]; Philecology Foundation</t>
  </si>
  <si>
    <t>Environmental Molecular Sci- ences Laboratory; European Research Council (ERC)(European Research Council (ERC)Spanish Government); Department of Energy, Office of Science Biological and Environmental Research Grant(United States Department of Energy (DOE)); Philecology Foundation</t>
  </si>
  <si>
    <t>A portion of this research was performed under the Facilities Integrating Collaborations for User Science (FICUS) exploratory effort and used resources at the US Department of Energy (DOE) Joint Genome Institute (proposal ID 1292415) and the Environmental Molecular Sciences Laboratory (proposal ID 50971, EMSL project award link https ://doi.org/10.46936/fics.proj.2019.50971/60000130) , which are DOE Office of Science User Facilities. This research was supported, in part, by the European Research Council (ERC; Grant Number 647008) and the Department of Energy, Office of Science Biological and Environmental Research Grant, DE-SC0021349. The authors gratefully acknowledge financial support from the Philecology Foundation. We also acknowledge the contributions of the full B2WALD Campaign Team. More information about the team members can be found at: Meredith, Laura; Ladd, S. Nemiah; Werner, Christiane (2021) . B2WALD Campaign Team and Contributions. University of Arizona Research Data Repository. Dataset. https://doi.org/10.25422/azu.data.14632662</t>
  </si>
  <si>
    <t>10.1016/j.scitotenv.2023.165689</t>
  </si>
  <si>
    <t>P5TB6</t>
  </si>
  <si>
    <t>WOS:001051288800001</t>
  </si>
  <si>
    <t>Hoffman, S; Mayne, MJ; Stevens, G</t>
  </si>
  <si>
    <t>Hoffman, Sean; Mayne, Matthew Jason; Stevens, Gary</t>
  </si>
  <si>
    <t>Applying phase equilibria modelling to igneous systems by coupling trace element partitioning and accessory phase saturation to compositionally variable thermodynamic modelling in Rcrust</t>
  </si>
  <si>
    <t>LITHOS</t>
  </si>
  <si>
    <t>Phase equilibria modelling; Trace element partitioning; Accessory phase saturation; Apatite; Monazite</t>
  </si>
  <si>
    <t>CAPE GRANITE SUITE; RARE-EARTH-ELEMENTS; S-TYPE; PERALUMINOUS GRANITES; MONAZITE GROWTH; SALDANIA BELT; MASS-TRANSFER; I-TYPE; APATITE; PHOSPHORUS</t>
  </si>
  <si>
    <t>Phase equilibria modelling techniques can constrain the equilibrium conditions of major rock-forming minerals, however current thermodynamic databases and activity-composition models do not accommodate minor and trace elements as chemical components in modelled systems. This paper presents the integration of trace element partitioning routines between melt and solid phases in the thermodynamic modelling tool Rcrust in order to effectively estimate the trace element composition of stable phases when melt is present. Since trace elements occur in large abundances in accessory phases for which we do not currently have activity-composition models this paper further presents the integration of accessory phase saturation routines for apatite and monazite, two commonly occurring accessory phases in granitic rocks.This provides a novel methodology for approximating trace element distribution among thermodynamically constrained phases with thermodynamically unconstrained accessory phases, apatite and monazite. A case study of the Peninsula Pluton granodiorite, South Africa, is used to validate the use of accessory phase saturation and trace element partitioning with phase equilibria modelling. The results highlight the importance of major element components that also contribute to accessory phase formation such as calcium in apatite (which can accommodate a non-trivial quantity of the available calcium) and the resultant effect on phase equilibria of major phases. Saturating apatite can alter phase equilibria, mainly for calcium-bearing phases, that is equivalent to up to 20 degrees C change in temperature. Modelling results for the Peninsula Pluton predicts LREE concentrations of apatite and monazite that match the natural samples at temperatures below 725 degrees C, corroborating previous findings for emplacement P-T constraints. However, phase assemblages predicted through phase equilibria modelling show that the rock equilibrated to P-T below the emplacement estimates of previous studies. By modelling both major and accessory phases we provide constraints on the formation and crystallisation of crustal magmas which has important implications on geothermobarometry and thermochronology in the crust.</t>
  </si>
  <si>
    <t>[Hoffman, Sean; Mayne, Matthew Jason; Stevens, Gary] Univ Stellenbosch, Dept Earth Sci, Private Bag X1, ZA-7602 Matieland, South Africa</t>
  </si>
  <si>
    <t>Stellenbosch University</t>
  </si>
  <si>
    <t>Hoffman, S (corresponding author), Univ Stellenbosch, Dept Earth Sci, Private Bag X1, ZA-7602 Matieland, South Africa.</t>
  </si>
  <si>
    <t>hoffman.corr@outlook.com</t>
  </si>
  <si>
    <t>Stellenbosch University Postgraduate Scholarship Programme</t>
  </si>
  <si>
    <t>Sean Hoffman acknowledges funding from Stellenbosch University Postgraduate Scholarship Programme. Gary Stevens acknowledges general financial support through his position as SARChI Chair of Experimental Petrology at Stellenbosch University.</t>
  </si>
  <si>
    <t>0024-4937</t>
  </si>
  <si>
    <t>1872-6143</t>
  </si>
  <si>
    <t>Lithos</t>
  </si>
  <si>
    <t>10.1016/j.lithos.2023.107335</t>
  </si>
  <si>
    <t>Geochemistry &amp; Geophysics; Mineralogy</t>
  </si>
  <si>
    <t>S8JV8</t>
  </si>
  <si>
    <t>WOS:001073585100001</t>
  </si>
  <si>
    <t>Hu, J; Li, WB; Li, JC; Chen, X; Yao, S; Huang, XD</t>
  </si>
  <si>
    <t>Hu, Jie; Li, Weibai; Li, Jiachun; Chen, Xing; Yao, Song; Huang, Xiaodong</t>
  </si>
  <si>
    <t>Topology optimization of porous structures by considering acoustic and mechanical characteristics</t>
  </si>
  <si>
    <t>ENGINEERING STRUCTURES</t>
  </si>
  <si>
    <t>Topology optimization; Porous structures; Local volume constraints; Acoustic-mechanical interaction</t>
  </si>
  <si>
    <t>DESIGN; MICROSTRUCTURES; COMPOSITES</t>
  </si>
  <si>
    <t>Porous structures are widely found in nature and have been extensively studied due to their high stiffness-toweight ratio, excellent sound absorption, and robustness regarding loading variation. This paper proposes a new topology optimization approach for the design of porous acoustic-mechanical structures based on the threefield floating projection topology optimization (FPTO) method. In order to capture the change of ambiguous structural boundary during topology optimization, the mixed displacement/pressure (u/p) finite element formulation with the linear material interpolation scheme is adopted. The artificial porous features of the structures are generated by imposing the local volume constraint defined by a constant or adaptive filter radius. The 0/1 constraints of the design variables are simulated by the floating projection constraint so that the final design has a clear topology. To verify the effectiveness of the proposed method, some interesting 2D and 3D numerical examples considering their mechanical and acoustic characteristics simultaneously are presented to achieve porous structures by minimizing dynamic compliance, possibly with an additional acoustic constraint. The results also show that the resulting porous features are useful in improving the acoustic performance of the optimized designs.</t>
  </si>
  <si>
    <t>[Hu, Jie] Guizhou Univ, Minist Educ, Key Lab Adv Mfg Technol, Guiyang 550025, Guizhou, Peoples R China; [Hu, Jie; Li, Jiachun] Guizhou Univ, Sch Mech Engn, Guiyang 550025, Guizhou, Peoples R China; [Chen, Xing; Yao, Song] Cent South Univ, Sch Traff &amp; Transportat Engn, Changsha 410075, Hunan, Peoples R China; [Li, Weibai; Huang, Xiaodong] Swinburne Univ Technol, Sch Engn, Hawthorn, Vic 3122, Australia</t>
  </si>
  <si>
    <t>Guizhou University; Guizhou University; Central South University; Swinburne University of Technology</t>
  </si>
  <si>
    <t>Huang, XD (corresponding author), Swinburne Univ Technol, Sch Engn, Hawthorn, Vic 3122, Australia.</t>
  </si>
  <si>
    <t>xhuang@swin.edu.au</t>
  </si>
  <si>
    <t>0141-0296</t>
  </si>
  <si>
    <t>1873-7323</t>
  </si>
  <si>
    <t>ENG STRUCT</t>
  </si>
  <si>
    <t>Eng. Struct.</t>
  </si>
  <si>
    <t>10.1016/j.engstruct.2023.116843</t>
  </si>
  <si>
    <t>Engineering, Civil</t>
  </si>
  <si>
    <t>S7FA9</t>
  </si>
  <si>
    <t>WOS:001072778600001</t>
  </si>
  <si>
    <t>Jeong, H; Son, H; Byun, S; Hyeon, S; Lee, KS; Kim, DR</t>
  </si>
  <si>
    <t>Jeong, Haijun; Son, Hobin; Byun, Sungjoon; Hyeon, Seounghwan; Lee, Kwan-Soo; Kim, Dong Rip</t>
  </si>
  <si>
    <t>Experimental investigation on thermal conductivity of cryogenic frost under forced convection</t>
  </si>
  <si>
    <t>Cryogenic; Frost; Frost density; Frost thermal conductivity</t>
  </si>
  <si>
    <t>SURFACE; GROWTH; MODEL; DENSIFICATION</t>
  </si>
  <si>
    <t>An experimental study on the phase change occurring on a cryogenic cooling surface was conducted under forced convection conditions. The mass and surface temperature of frost and the heat flux at the cooling surface were measured in the experiment. The heat and mass transfer analogy was investigated under cryogenic conditions. The mass estimated under various experimental conditions using the modified analogy differed by up to 8% from the experimentally measured mass. The density and thermal conductivity of frost at cryogenic temperatures were lower than those of general-low temperature frost; the dimensionless correlations of density and thermal con-ductivity of frost were derived via regression analysis. The calculated frost density and thermal conductivities were differed from the measured value by up to 9% and 11%, respectively. Therefore, a model was built to predict the heat and mass transfer and improve the thermal performance on the cooling surfaces of various cryogenic devices using the presented frost density and thermal conductivity correlations.</t>
  </si>
  <si>
    <t>[Jeong, Haijun; Son, Hobin; Byun, Sungjoon; Hyeon, Seounghwan; Lee, Kwan-Soo; Kim, Dong Rip] Hanyang Univ, Sch Mech Engn, Seoul 04763, South Korea</t>
  </si>
  <si>
    <t>Hanyang University</t>
  </si>
  <si>
    <t>Kim, DR (corresponding author), Hanyang Univ, Sch Mech Engn, Seoul 04763, South Korea.</t>
  </si>
  <si>
    <t>dongrip@hanyang.ac.kr</t>
  </si>
  <si>
    <t>son, hobin/JCO-9438-2023</t>
  </si>
  <si>
    <t>Kim, Dong Rip/0000-0001-6398-9483</t>
  </si>
  <si>
    <t>Korea Institute of Energy Technology Evaluation and Planning (KETEP); Ministry of Trade, Industry amp; Energy (MOTIE) of the Republic of Korea [20212020800090, 20222020800050]</t>
  </si>
  <si>
    <t>This study was financially supported by the Korea Institute of Energy Technology Evaluation and Planning (KETEP) and the Ministry of Trade, Industry &amp; Energy (MOTIE) of the Republic of Korea (No. 20212020800090, No. 20222020800050) .</t>
  </si>
  <si>
    <t>10.1016/j.ijheatmasstransfer.2023.124504</t>
  </si>
  <si>
    <t>P2FW6</t>
  </si>
  <si>
    <t>WOS:001048859900001</t>
  </si>
  <si>
    <t>Jiang, H; Hou, XJ; Yu, QF; Ali, MKA</t>
  </si>
  <si>
    <t>Jiang, Hua; Hou, Xianjun; Yu, Qifan; Ali, Mohamed Kamal Ahmed</t>
  </si>
  <si>
    <t>Elucidation of the synergistic mechanism of nano silicon carbide and titanium nitride as highly efficient additives of polyalphaolefin on strengthening the lubrication performance of movable contact interface</t>
  </si>
  <si>
    <t>WEAR</t>
  </si>
  <si>
    <t>Hybrid nanolubricants; Tribological characteristics; Physicochemical performace; Synergistic effect</t>
  </si>
  <si>
    <t>TRIBOLOGICAL PROPERTIES; NANOFLUIDS; NANOSHEETS; BEHAVIOR; OILS; TIN</t>
  </si>
  <si>
    <t>This study comprehensively investigated physicochemical and tribological performance of polyalphaolefin (PAO4) oil introducing oleic acid (OA)-functionalized SiC/TiN hybrid nanomaterials. The dispersion stability, wettability, thermal stability, and friction properties of the nanolubricants (NL) system were greatly improved following the application of hybrid NL. Additionally, the anti-wear and reducing-friction behavior were assessed via a four-ball tribometer. The results showed that the COF and WSD values of wear scar lubricated by hybrid NL were greatly reduced by approximately 32.7% and 35.1%, respectively, compared with the base oil. Finally, it is strongly confirmed that the significant improvement of friction performance is mainly due to improved interfacial effect of NL, the stable chemical tribo-film generated onto the friction surface, and the synergistic effect among SiC, TiN nanoparticles, and OA surfactant.</t>
  </si>
  <si>
    <t>[Jiang, Hua; Hou, Xianjun; Yu, Qifan] Wuhan Univ Technol, Hubei Key Lab Adv Technol Automot Components, Wuhan 430070, Peoples R China; [Ali, Mohamed Kamal Ahmed] Minia Univ, Fac Engn, Automot &amp; Tractors Engn Dept, El Minia 61519, Egypt</t>
  </si>
  <si>
    <t>Wuhan University of Technology; Egyptian Knowledge Bank (EKB); Minia University</t>
  </si>
  <si>
    <t>Hou, XJ (corresponding author), Wuhan Univ Technol, Hubei Key Lab Adv Technol Automot Components, Wuhan 430070, Peoples R China.</t>
  </si>
  <si>
    <t>JHwhut123456@163.com; houxj@whut.edu.cn</t>
  </si>
  <si>
    <t>National Natural Science Foundation of China [51875423]</t>
  </si>
  <si>
    <t>The authors would like to show a deep appreciation to the National Natural Science Foundation of China (Grant No. 51875423). The authors also thank the editors and reviewers for their invaluable suggestions.</t>
  </si>
  <si>
    <t>0043-1648</t>
  </si>
  <si>
    <t>1873-2577</t>
  </si>
  <si>
    <t>Wear</t>
  </si>
  <si>
    <t>10.1016/j.wear.2023.205076</t>
  </si>
  <si>
    <t>Engineering, Mechanical; Materials Science, Multidisciplinary</t>
  </si>
  <si>
    <t>R2WD7</t>
  </si>
  <si>
    <t>WOS:001062995800001</t>
  </si>
  <si>
    <t>Khosravi, J; Azarhoushang, B; Zahedi, A; Barmouz, M</t>
  </si>
  <si>
    <t>Khosravi, Jahangir; Azarhoushang, Bahman; Zahedi, Ali; Barmouz, Mohsen</t>
  </si>
  <si>
    <t>Influence of wire electrical discharge conditioning on the grinding performance of metal-bonded diamond grinding tools</t>
  </si>
  <si>
    <t>Wire electric discharge conditioning; Metal-bonded grinding tool; Diamond grain; Grinding process; Dressing Grain size; Concentration</t>
  </si>
  <si>
    <t>WHEELS</t>
  </si>
  <si>
    <t>Wire Electrical Discharge Conditioning (WEDC) is an efficient non-conventional method for conditioning metal, resin, and hybrid bonded super-abrasive grinding tools. Since the diamond and CBN grains are not affected directly by the WEDC and only the electrically conductive bond material is eroded by the process, high grain protrusions are achievable. Therefore, unlike the common mechanical conditioning methods using WEDC, the microtopography of the grinding tool can be influenced by the process parameters, directly affecting the grinding efficiency. However, the selection of WEDC process parameters is influenced by the specifications of the grinding tool, particularly the grain size and concentration. This study aims to investigate the effects of WEDC parameters and strategies on the microtopography and material removal rate of metal-bonded grinding tools, considering different grain sizes and concentrations. Additionally, the correlation between the microtopography of grinding tools conditioned by the WEDC process and their grinding efficiency was investigated by analyzing tool wear, grinding forces, and surface roughness of tungsten carbide workpieces. The results indicate that the material removal rate of the WEDC process decreases as the grain size and concentration of metal-bonded diamond grinding tools increase. Furthermore, it was observed that employing high spark energy parameters reduces the grain protrusion of grinding wheels with small grain sizes. However, the utilization of high-energy sparks is necessary to create larger spark gaps and achieve a higher material removal rate.</t>
  </si>
  <si>
    <t>[Khosravi, Jahangir; Azarhoushang, Bahman; Zahedi, Ali; Barmouz, Mohsen] Furtwangen Univ Appl Sci, Inst Precis Machining KSF, Furtwangen, Germany; [Khosravi, Jahangir] Univ Freiburg, Dept Microsyst Engn IMTEK, Freiburg, Germany</t>
  </si>
  <si>
    <t>University of Freiburg</t>
  </si>
  <si>
    <t>Khosravi, J (corresponding author), Furtwangen Univ Appl Sci, Inst Precis Machining KSF, Furtwangen, Germany.</t>
  </si>
  <si>
    <t>jkh@hs-furtwangen.de</t>
  </si>
  <si>
    <t>10.1016/j.wear.2023.205080</t>
  </si>
  <si>
    <t>R3IF7</t>
  </si>
  <si>
    <t>WOS:001063315400001</t>
  </si>
  <si>
    <t>Kocaeren, AA; Bahceci, DS; Demir, N; Dalgic, B; Karatag, E</t>
  </si>
  <si>
    <t>Kocaeren, Aysel Aydin; Bahceci, Dilek Senol; Demir, Neslihan; Dalgic, Busra; Karatag, Elifnur</t>
  </si>
  <si>
    <t>Synthesis, characterization of polymeric ligand-metal complexes and their biological activity properties</t>
  </si>
  <si>
    <t>Schiff base; Metal complex; Antioxidant; Antimicrobial; DNA cleavage; DNA binding; SEM</t>
  </si>
  <si>
    <t>SCHIFF-BASES; ELECTRICAL-CONDUCTIVITY; THERMAL-DEGRADATION; MOLECULAR-STRUCTURE; CRYSTAL-STRUCTURE; COPPER(II); THIOUREA; ZINC(II); ANTIBACTERIAL; ANTIFUNGAL</t>
  </si>
  <si>
    <t>New members are joining to the Schiff bases family every day. In our study, firstly a new Schiff base was abbreviated as ligand (L) that was synthesized via condensation reaction between 3-aminonaphtalen-2-ol and 2,3-dihydroxybenzaldaheyde. Then, poly-ligand (PL) was obtained in basic medium in the presence of ammonium persulfate (NH4)2S2O8 via poly-condensation reaction by using L. Metal complexes were synthesized from the interaction of PL with various metal species such as Zn2+, Hg2+, Ni2+, Pb2+and Cu2+. The structures of compounds were confirmed by FT-IR, UV-Vis, 1HNMR and elemental analysis. Their SEM images were recorded at different sizes. Looking at the SEM images, it can be seen that the [Hg(PL)2] metal complex is similar to the red blood cells. Thermal analyses of PL and its metal complexes [M(PL)2] were performed. The biological properties such as DNA binding-cleavage, antioxidant and antibacterial activities of all synthesized compounds were investigated. According to the results, it was determined that such properties of its metal complexes were better than PL. For example, when the oxidative cleavage activity was examined, it was determined that [Cu(PL)2] complex completely cleaved the DNA and also it denatured all DNA at higher concentrations (&amp; GE;100 ppm). DNA binding for the poly-ligand and its metal complexes bounded to CT-DNA in electrostatic mode. The antioxidant activity results showed that [Hg(PL)2] complex had a high inhibition value of 78.70 &amp; PLUSMN;0.55% at 100 ppm. The [Hg (PL)2] complex was much more effective against all bacterial strains. The antibacterial activity of [Cu(PL)2] and [Zn(PL)2] complexes showed the highest activity against B. subtilis strain at the concentration of 62.5 &amp; mu;g/mL. DNA binding was determined from the UV-Vis spectra of the interaction of the PL and its metal complexes with CT-DNA. According to these UV-Vis results, it can be said that the poly-ligand and its metal complexes bounds to CT-DNA in electrostatic mode.</t>
  </si>
  <si>
    <t>[Kocaeren, Aysel Aydin] Canakkale Onsekiz Mart Univ, Fac Educ, Dept Math &amp; Sci Educ, Canakkale, Turkiye; [Bahceci, Dilek Senol] Canakkale Onsekiz Mart Univ, Canakkale Vocat Sch Tech Sci, Clothing Mfg Technol, Canakkale, Turkiye; [Demir, Neslihan] Canakkale Onsekiz Mart Univ, Canakkale Fac Sci, Dept Biol, Canakkale, Turkiye; [Dalgic, Busra] Canakkale Onsekiz Mart Univ, Sch Grad Studies, Dept Biol, Canakkale, Turkiye; [Karatag, Elifnur] Canakkale Onsekiz Mart Univ, Sch Grad Studies, Dept Math &amp; Sci Educ, Canakkale, Turkiye</t>
  </si>
  <si>
    <t>Canakkale Onsekiz Mart University; Canakkale Onsekiz Mart University; Canakkale Onsekiz Mart University; Canakkale Onsekiz Mart University; Canakkale Onsekiz Mart University</t>
  </si>
  <si>
    <t>Kocaeren, AA (corresponding author), Canakkale Onsekiz Mart Univ, Fac Educ, Dept Math &amp; Sci Educ, Canakkale, Turkiye.</t>
  </si>
  <si>
    <t>aysel.kocaeren@comu.edu.tr</t>
  </si>
  <si>
    <t>10.1016/j.molstruc.2023.136144</t>
  </si>
  <si>
    <t>O5KC8</t>
  </si>
  <si>
    <t>WOS:001044187700001</t>
  </si>
  <si>
    <t>Li, W; Wang, GH; Sui, WJ; Xu, T; Dai, L; Si, CL</t>
  </si>
  <si>
    <t>Li, Wei; Wang, Guanhua; Sui, Wenjie; Xu, Ting; Dai, Lin; Si, Chuanling</t>
  </si>
  <si>
    <t>Lignin-derived heteroatom-doped hierarchically porous carbon for high-performance supercapacitors: Structure-function relationships between lignin heterogeneity and carbon materials</t>
  </si>
  <si>
    <t>INDUSTRIAL CROPS AND PRODUCTS</t>
  </si>
  <si>
    <t>Lignin; Lignin fractionation; Hierarchical porous carbon; Heteroatom-doped; Supercapacitor</t>
  </si>
  <si>
    <t>ENERGY-STORAGE; NITROGEN; FRACTIONATION; REDUCTION; ADSORPTION; EFFICIENT</t>
  </si>
  <si>
    <t>Sustainably sourced lignin is a desired precursor for carbon materials due to its cross-clinked aromatic structure and high carbon content. However, the heterogeneity of lignin feedstock presents non-negligible effects on its physicochemical properties and thereby substantially influences its applications in carbon materials fabrication. In this work, fractionation of corn stalk enzymatic hydrolysis lignin via a simple two-step ordinal dissolution was adapted to reduce lignin heterogeneity and further improve the microstructure and electrochemical performances of lignin-derived heteroatom-doped carbon materials. The results revealed that the fractionation process successfully obtained three lignin fractions with sequentially increasing molecular weight and specific surface area. When the three lignin fractions were subjected to carbonization/activation to fabricate N/P/S co-doped carbon, the F3-derived carbon material (LC-F3) showed the highest specific surface area (2022.4 m2/g) and the best heteroatom doping effect due to the improved activation process resulted from the largest specific surface area of F3. Moreover, the good thermal stability of F3 also contributed to the maintenance of disordered structure during carbonization. Therefore, LC-F3 exhibited excellent specific capacitance (337.2 F/g, 0.5 A/g) and cycling stability (96.5% after 10,000 cycles) as a consequence of its high disordered level, heteroatom doping density and specific surface area. Consequently, this work systematically evaluates the effects of lignin fractionation on the physicochemical structural and electrochemical performances of the carbon materials and further proposes a simple strategy to enhance electrochemical properties of the heteroatom-doped carbon materials through lignin fractionation.</t>
  </si>
  <si>
    <t>[Li, Wei; Wang, Guanhua; Xu, Ting; Dai, Lin; Si, Chuanling] Tianjin Univ Sci &amp; Technol, State Key Lab Biobased Fiber Mfg Technol, Tianjin Key Lab Pulp &amp; Paper, Tianjin 300457, Peoples R China; [Wang, Guanhua; Si, Chuanling] Shandong Shengquan New Mat Co LTD, Jinan 250204, Peoples R China; [Sui, Wenjie] Tianjin Univ Sci &amp; Technol, Coll Food Sci &amp; Engn, State Key Lab Food Nutr &amp; Safety, Tianjin 300457, Peoples R China; [Si, Chuanling] Nanjing Forestry Univ, Natl Engn Res Ctr Low Carbon Proc &amp; Utilizat Fores, Nanjing 210037, Peoples R China</t>
  </si>
  <si>
    <t>Tianjin University Science &amp; Technology; Tianjin University Science &amp; Technology; Nanjing Forestry University</t>
  </si>
  <si>
    <t>Wang, GH; Si, CL (corresponding author), Tianjin Univ Sci &amp; Technol, State Key Lab Biobased Fiber Mfg Technol, Tianjin Key Lab Pulp &amp; Paper, Tianjin 300457, Peoples R China.</t>
  </si>
  <si>
    <t>ghwang@tust.edu.cn; sichli@tust.edu.cn</t>
  </si>
  <si>
    <t>National Natural Science Foundation of China [32071721, 32071720, 32271814]; Young Elite Scientists Sponsorship Program by Tianjin [TJSQNTJ-2020-05]; Major Science and Technology Innovation Project of Shandong Province [2018CXGC0220]</t>
  </si>
  <si>
    <t>National Natural Science Foundation of China(National Natural Science Foundation of China (NSFC)); Young Elite Scientists Sponsorship Program by Tianjin; Major Science and Technology Innovation Project of Shandong Province</t>
  </si>
  <si>
    <t>This work was supported by the National Natural Science Foundation of China (32071721, 32071720, 32271814) , Young Elite Scientists Sponsorship Program by Tianjin (TJSQNTJ-2020-05) and Major Science and Technology Innovation Project of Shandong Province (2018CXGC0220) .</t>
  </si>
  <si>
    <t>0926-6690</t>
  </si>
  <si>
    <t>1872-633X</t>
  </si>
  <si>
    <t>IND CROP PROD</t>
  </si>
  <si>
    <t>Ind. Crop. Prod.</t>
  </si>
  <si>
    <t>10.1016/j.indcrop.2023.117276</t>
  </si>
  <si>
    <t>Agricultural Engineering; Agronomy</t>
  </si>
  <si>
    <t>S2UR1</t>
  </si>
  <si>
    <t>WOS:001069777900001</t>
  </si>
  <si>
    <t>Liu, ZY; Li, H; Hou, K; Xu, XD; Jia, HJ; Zhu, LW; Mu, YF</t>
  </si>
  <si>
    <t>Liu, Zeyu; Li, Hang; Hou, Kai; Xu, Xiandong; Jia, Hongjie; Zhu, Lewei; Mu, Yunfei</t>
  </si>
  <si>
    <t>Risk assessment and alleviation of regional integrated energy system considering cross-system failures</t>
  </si>
  <si>
    <t>RIES state analysis; RIES operational risk assessment; Event tree analysis; Root cause identification; Weak point location; Prevention measure</t>
  </si>
  <si>
    <t>NATURAL-GAS; RELIABILITY ASSESSMENT; FAULT-DETECTION; PROCESS SAFETY; POWER-SYSTEM; ELECTRICITY; HEAT; MANAGEMENT; NETWORKS; STRATEGY</t>
  </si>
  <si>
    <t>Regional integrated system (RIES) bridges the gaps among different energy systems by various energy conversion equipment. While this integration brings forth numerous benefits, it introduces cross-system failures, where a contingency in one system may affect others. This poses significant challenges when evaluating the consequences of such contingencies. To address this, a risk assessment approach is developed for RIES, considering cross system failures, as well as fluctuations in renewable generation and multi-energy loads. Event tree analysis (ETA) is adopted to simulate the propagation of failures and identify the affected components. Nine risk indices are proposed to quantify the operational risk of RIES at various levels. Additionally, root cause identification and weak point location are developed to formulate risk alleviation strategies. To validate the proposed method, a RIES with 101 nodes is utilized for risk assessment, and multiple risk alleviation strategies are determined. The results demonstrate the effectiveness of the proposed method, providing valuable insights for operators in ensuring the safety of RIES.</t>
  </si>
  <si>
    <t>[Liu, Zeyu; Li, Hang; Hou, Kai; Xu, Xiandong; Jia, Hongjie; Mu, Yunfei] Tianjin Univ, Key Lab Smart Grid Minist Educ, Tianjin 300072, Peoples R China; [Li, Hang] State Grid Jiangsu Extra High Voltage Co, Nanjing 211100, Peoples R China; [Jia, Hongjie] Tianjin Municipal, Key Lab Smart Energy &amp; Informat Technol, Tianjin 300072, Peoples R China; [Zhu, Lewei] Tianjin Univ Technol, Maritime Coll, Tianjin 300384, Peoples R China</t>
  </si>
  <si>
    <t>Tianjin University; Tianjin University of Technology</t>
  </si>
  <si>
    <t>Hou, K (corresponding author), Tianjin Univ, Key Lab Smart Grid Minist Educ, Tianjin 300072, Peoples R China.</t>
  </si>
  <si>
    <t>tjulzy@tju.edu.cn; hang_li@tju.edu.cn; hdbhyj@tju.edu.cn; xuxiandong@tju.edu.cn; hjjia@tju.edu.cn; zhulewei@tju.edu.cn; yunfeimu@tju.edu.cn</t>
  </si>
  <si>
    <t>National Key Research and Development Program of China [2019YFE0118000]; National Natural Science Foundation of China [52077150]</t>
  </si>
  <si>
    <t>National Key Research and Development Program of China; National Natural Science Foundation of China(National Natural Science Foundation of China (NSFC))</t>
  </si>
  <si>
    <t>This work was supported by National Key Research and Development Program of China (NO. 2019YFE0118000), National Natural Science Foundation of China (52077150). This study was conducted in cooperation of APPLIED ENERGY UNiLAB-DEM: Distributed Energy &amp; Microgrid. UNiLAB is an international virtual lab of collective intelligence in Applied Energy.</t>
  </si>
  <si>
    <t>10.1016/j.apenergy.2023.121714</t>
  </si>
  <si>
    <t>R7JT1</t>
  </si>
  <si>
    <t>WOS:001066086900001</t>
  </si>
  <si>
    <t>Luna, TLM; Carvalho, AN</t>
  </si>
  <si>
    <t>Luna, T. L. M.; Carvalho, A. N.</t>
  </si>
  <si>
    <t>A bifurcation problem for a one-dimensional p-Laplace elliptic problem with non-odd absorption</t>
  </si>
  <si>
    <t>p-Laplace operator; Elliptic problem; Nonlinear eigenvalue</t>
  </si>
  <si>
    <t>In this paper we study the existence of solutions of a one-dimensional eigenvalue problem -(|&amp; phi;x|p-2 &amp; phi;x)x = &amp; lambda; |&amp; phi;|q-2 &amp; phi; - f (&amp; phi;) such that &amp; phi;(0) = &amp; phi;(1) = 0, where p, q &gt; 1, &amp; lambda; is a positive real parameter and f is a continuous (not necessarily odd) function. Our goal is to give a complete description of solutions of this problem. We completely characterize the set of solutions of this problem, which may be uncountable. For 1 &lt; p = 2, the existing results treat only the case when f is either odd and a power (see [11]) or when p = q ([8]). Our method of proof relies on a careful analysis of the phase diagram associated with this equation, refining the regularity results of M. Otani in 1984 (see [10]) and characterizing the exact points where we may have C2 regularity of solutions including some points &amp; chi; &amp; ISIN; (0, 1) for which &amp; phi;x (&amp; chi; ) = 0. &amp; COPY; 2023 Elsevier Inc. All rights reserved.</t>
  </si>
  <si>
    <t>[Luna, T. L. M.; Carvalho, A. N.] Univ Sao Paulo Campus Sao Carlos, Inst Ciencias Matemat &amp; Computacao, Caixa Postal 668, Sao Carlos, SP, Brazil</t>
  </si>
  <si>
    <t>Luna, TLM (corresponding author), Univ Sao Paulo Campus Sao Carlos, Inst Ciencias Matemat &amp; Computacao, Caixa Postal 668, Sao Carlos, SP, Brazil.</t>
  </si>
  <si>
    <t>tmamanil@unap.edu.pe; andcarva@icmc.usp.br</t>
  </si>
  <si>
    <t>Mamani Luna, Tito Luciano/0000-0002-6305-8520</t>
  </si>
  <si>
    <t>FAPESP [2019/20341-3, 2020/14075-6]; CNPq [306213/2019-2]</t>
  </si>
  <si>
    <t>FAPESP(Fundacao de Amparo a Pesquisa do Estado de Sao Paulo (FAPESP)); CNPq(Conselho Nacional de Desenvolvimento Cientifico e Tecnologico (CNPQ))</t>
  </si>
  <si>
    <t>1 With the support of by FAPESP Grant 2019/20341-3. 2 With the support of FAPESP 2020/14075-6 and CNPq 306213/2019-2.</t>
  </si>
  <si>
    <t>10.1016/j.jde.2023.07.026</t>
  </si>
  <si>
    <t>P0NE8</t>
  </si>
  <si>
    <t>WOS:001047686300001</t>
  </si>
  <si>
    <t>Luo, H; Shan, TS; Zhou, JW; Huang, LL; Chen, LH; Sa, R; Yamauchi, Y; You, JM; Asakura, Y; Yuan, ZH; Xiao, H</t>
  </si>
  <si>
    <t>Luo, Hao; Shan, Tianshang; Zhou, Jianwen; Huang, Liulian; Chen, Lihui; Sa, Rongjian; Yamauchi, Yusuke; You, Jungmok; Asakura, Yusuke; Yuan, Zhanhui; Xiao, He</t>
  </si>
  <si>
    <t>Controlled synthesis of hollow carbon ring incorporated g-C3N4 tubes for boosting photocatalytic H2O2 production</t>
  </si>
  <si>
    <t>Carbon nitride; Photocatalytic; Hydrogen peroxide; Carbon rings</t>
  </si>
  <si>
    <t>HYDROGEN-PEROXIDE; OXYGEN REDUCTION; NITRIDE; NANOSHEETS; WATER; EVOLUTION; NANOSTRUCTURES; SEPARATION; NANOTUBES; DEFECTS</t>
  </si>
  <si>
    <t>H2O2 production through solar-driven photocatalytic route has received increasing attention. Herein, a carbon ring incorporated hollow g-C3N4 tubes (CHCN) was successfully fabricated via a novel supramolecular selfassembly strategy, co-inducing by hydrogen bond and covalent bond. The optimum H2O2 yield over the CHCN-0.02 reached up to 1.58 mmol L-1 h-1 (AQE= 28.10%, 420 nm), which was 5.4 times significantly higher than that of bulk g-C3N4 (0.29 mmol L-1 h-1) under visible light irradiation. Experimental and density functional theory (DFT) calculations revealed that the CHCNs not only expedited the charge carrier transfer/separation but also favored molecular oxygen adsorption and regulated bandgap structure under the in-plane electronic field induced by continuous &amp; pi;-conjugated Cring, which boosted the ORR efficiency for photocatalytic H2O2 synthesis. The optimized CHCN catalyst demonstrated adequate hybrid ORR routes, consisting of a dominated selective one-step two-electron ORR pathway and highly efficient two-step single-electron ORR for H2O2 production. Therefore, this work not only provides a new strategy for an efficient H2O2 formation using a g-C3N4-based photocatalyst but also explores the functionary mechanism of the ORR process and enlightens the way to highly efficient H2O2 generation.</t>
  </si>
  <si>
    <t>[Luo, Hao; Shan, Tianshang; Zhou, Jianwen; Huang, Liulian; Chen, Lihui; Yuan, Zhanhui; Xiao, He] Fujian Agr &amp; Forestry Univ, Coll Mat Engn, Fuzhou 350108, Fujian, Peoples R China; [Sa, Rongjian] Minjiang Univ, Coll Mat &amp; Chem Engn, Fuzhou 350108, Peoples R China; [Yamauchi, Yusuke; Asakura, Yusuke] Nagoya Univ, Grad Sch Engn, Dept Mat Proc Engn, Furo Cho,Chikusa Ku, Nagoya, 4648603, Japan; [Yamauchi, Yusuke] Univ Queensland, Sch Chem Engn, Brisbane, Qld 4072, Australia; [Yamauchi, Yusuke] Univ Queensland, Australian Inst Bioengn &amp; Nanotechnol AIBN, Brisbane, Qld 4072, Australia; [Yamauchi, Yusuke] Kyung Hee Univ, Coll Life Sci, Dept Plant &amp; Environm New Resources, 1732 Deogyeong Daero, Yongin 17104, Gyeonggi Do, South Korea</t>
  </si>
  <si>
    <t>Fujian Agriculture &amp; Forestry University; Minjiang University; Nagoya University; University of Queensland; University of Queensland; Kyung Hee University</t>
  </si>
  <si>
    <t>Yuan, ZH; Xiao, H (corresponding author), Fujian Agr &amp; Forestry Univ, Coll Mat Engn, Fuzhou 350108, Fujian, Peoples R China.;Sa, R (corresponding author), Minjiang Univ, Coll Mat &amp; Chem Engn, Fuzhou 350108, Peoples R China.;Yamauchi, Y (corresponding author), Nagoya Univ, Grad Sch Engn, Dept Mat Proc Engn, Furo Cho,Chikusa Ku, Nagoya, 4648603, Japan.</t>
  </si>
  <si>
    <t>rjsa@fjirsm.ac.cn; y.yamauchi@uq.edu.au; zhanhuiyuan@fafu.edu.cn; xiaohe_river@163.com</t>
  </si>
  <si>
    <t>Sa, Rongjian/V-6083-2019</t>
  </si>
  <si>
    <t>Sa, Rongjian/0000-0002-8515-2438</t>
  </si>
  <si>
    <t>Natural Science Foundation of Fujian [202210389018]; Innovation and Entrepreneurship Training Program for College Students [2020T130215, 2021M691105]; JST-ERATO Yamauchi Materials Space Tectonics Project; ES Project of Kyung Hee University via Nagoya University; China Postdoctoral Science Foundation; [2022J01144]; [202210389293]; [JPMJER2003]</t>
  </si>
  <si>
    <t>Natural Science Foundation of Fujian(Natural Science Foundation of Fujian Province); Innovation and Entrepreneurship Training Program for College Students; JST-ERATO Yamauchi Materials Space Tectonics Project; ES Project of Kyung Hee University via Nagoya University; China Postdoctoral Science Foundation(China Postdoctoral Science Foundation); ; ;</t>
  </si>
  <si>
    <t>This work was supported by the Natural Science Foundation of Fujian (2022J01144), Project Funded by China Postdoctoral Science Foundation (2020T130215, 2021M691105), Innovation and Entrepreneurship Training Program for College Students (202210389018, 202210389293), the JST-ERATO Yamauchi Materials Space Tectonics Project (JPMJER2003), and the ES Project of Kyung Hee University via Nagoya University. This work was performed in part at the Queensland node of the Australian National Fabrication Facility, a company established under the National Collaborative Research Infrastructure Strategy to provide nano and microfabrication facilities for Australia's researchers.</t>
  </si>
  <si>
    <t>10.1016/j.apcatb.2023.122933</t>
  </si>
  <si>
    <t>Q3KX5</t>
  </si>
  <si>
    <t>WOS:001056548700001</t>
  </si>
  <si>
    <t>Manjunath, V; Reddy, YK; Bimli, S; Shaikh, PA; Devan, RS</t>
  </si>
  <si>
    <t>Manjunath, Vishesh; Reddy, Yashwanth K.; Bimli, Santosh; Shaikh, Parvez A.; Devan, Rupesh S.</t>
  </si>
  <si>
    <t>Ultraviolet and visible light active photothermal copper bismuth oxide nanostructures for solar steam generation</t>
  </si>
  <si>
    <t>DESALINATION</t>
  </si>
  <si>
    <t>CuBi2O4; Solar steam; Desalination; Temperature-dependent contact angle; Evaporation rate; CR/ER</t>
  </si>
  <si>
    <t>SPHERICAL CUBI2O4; VAPOR GENERATION; FILMS; DESALINATION; NANOSHEETS</t>
  </si>
  <si>
    <t>The CuBi2O4 (CBO) microspheres comprising 1D nanostructures crystallized in a tetragonal crystal system with P4/ncc space group. The Cu and Bi ions in the CBO photothermal harvesters remained in stoichiometric 2+ and 3+ oxidation states, respectively. The CBO showed excellent absorption in the entire ultra-violet (UV) and visible spectrum, covering the prominent solar spectrum. The CBO microsphere formed by assembling 1D CBO nanorods possessed a specific surface area of 1.45 m(2)/g, and the temperature-dependent contact angle of water over CBO surface decreases upon increasing temperature, making it an excellent choice in solar steam generation (SSG) process. Thus, the presence of CBO-loaded cellulose paper at the air-water interface has demonstrated three times accelerated evaporation rate of 1.7 kg/m(2)h. Notably, the CBO-loaded cellulose paper delivered high stability with no change in evaporation rate even after consecutive cycles. The CBO exposed to the natural sunlight in the customized desalination setup provided &gt;50 % CR/ER ratio for the salinity of 3.5, 10, and 20 wt % salty waters. Our findings establish that CBO is a highly desirable photo-material for SSG and has the potential to act as a solar light harvester for photovoltaic systems.</t>
  </si>
  <si>
    <t>[Manjunath, Vishesh; Reddy, Yashwanth K.; Bimli, Santosh; Shaikh, Parvez A.; Devan, Rupesh S.] Indian Inst Technol Indore, Dept Met Engn &amp; Mat Sci, Khandwa Rd, Simrol 453552, India; [Shaikh, Parvez A.] AKIs Poona Coll Arts Sci &amp; Commerce, Dept Phys, Pune 411001, India; [Devan, Rupesh S.] Indian Inst Technol Indore, Ctr Elect Vehicle &amp; Intelligent Transport Syst, Khandwa Rd, Simrol 453552, India</t>
  </si>
  <si>
    <t>Indian Institute of Technology System (IIT System); Indian Institute of Technology (IIT) - Indore; Poona College of Arts, Science &amp; Commerce; Indian Institute of Technology System (IIT System); Indian Institute of Technology (IIT) - Indore</t>
  </si>
  <si>
    <t>Devan, RS (corresponding author), Indian Inst Technol Indore, Dept Met Engn &amp; Mat Sci, Khandwa Rd, Simrol 453552, India.</t>
  </si>
  <si>
    <t>parvezshaikh0@gmail.com; rupesh@iiti.ac.in</t>
  </si>
  <si>
    <t>TARE-DST India [TAR/2019/000106]</t>
  </si>
  <si>
    <t>TARE-DST India</t>
  </si>
  <si>
    <t>The authors would like to thank TARE-DST India for their financial support for this research under grant No. TAR/2019/000106. Authors would like to acknowledge the help of Dr. Ravindra Jangir, RRCAT Indore, for the EDS mapping of CBO samples.</t>
  </si>
  <si>
    <t>0011-9164</t>
  </si>
  <si>
    <t>1873-4464</t>
  </si>
  <si>
    <t>Desalination</t>
  </si>
  <si>
    <t>10.1016/j.desal.2023.116907</t>
  </si>
  <si>
    <t>Engineering, Chemical; Water Resources</t>
  </si>
  <si>
    <t>Engineering; Water Resources</t>
  </si>
  <si>
    <t>R2AL3</t>
  </si>
  <si>
    <t>WOS:001062416900001</t>
  </si>
  <si>
    <t>Meng, ZR; Mo, XQ; Meng, WQ; Hu, BB; Li, HY; Liu, J; Lu, XQ; Sparks, JP; Wang, YD; Wang, ZY; He, MX</t>
  </si>
  <si>
    <t>Meng, Zirui; Mo, Xunqiang; Meng, Weiqing; Hu, Beibei; Li, Hongyuan; Liu, Jie; Lu, Xueqiang; Sparks, Jed P.; Wang, Yidong; Wang, Ziyi; He, Mengxuan</t>
  </si>
  <si>
    <t>Biochar may alter plant communities when remediating the cadmium-contaminated soil in the saline-alkaline wetland</t>
  </si>
  <si>
    <t>Biochar; Plant community; Saline-alkaline wetland; Cadmium speciation</t>
  </si>
  <si>
    <t>SLUDGE BIOCHAR; BIOAVAILABILITY; PRODUCTIVITY; SPECIATION; MOBILITY; CD; PB</t>
  </si>
  <si>
    <t>It is thought remediating cadmium pollution with biochar can affect plant traits. However, the potential impact of this practice on plant communities is poorly understood. Here, we established natural-germinated plant communities using soil seed bank from a saline-alkaline wetland and applied a biochar treatment in Cd-polluted wetland soil. The outcomes illustrated that Juglans regia biochar (JBC), Spartina alterniflora biochar (SBC), and Flaveria bidentis biochar (FBC) promoted exchangeable Cd transform into Fe-Mn oxide bound Cd. Additionally, most biochar addition reduced species abundance, root-shoot ratio, biomass, diversity, and community stability, yet enhanced community height. Among all treatments, the 5 % SBC demonstrated the most significant reduction in species abundance, biomass, species richness and functional richness. Specifically, it resulted in a reduction of 92.80 % in species abundance, 73.80 % in biomass, 66.67 % in species richness, and 95.14 % in functional richness compared to the CK. We also observed changes in root morphological traits and community structure after biochar addition. Soil pH, salinity, and nutrients played a dominant role in shaping plant community. These findings have implications for biodiversity conservation, and the use of biochar for the remediation of heavy metals like cadmium should be approached with caution due to its potential negative impacts on plant communities.</t>
  </si>
  <si>
    <t>[Meng, Zirui; Mo, Xunqiang; Meng, Weiqing; Hu, Beibei; Wang, Ziyi; He, Mengxuan] Tianjin Normal Univ, Sch Geog &amp; Environm Sci, Tianjin 300382, Peoples R China; [Meng, Zirui; Wang, Yidong; He, Mengxuan] Tianjin Normal Univ, Tianjin Key Lab Water Resources &amp; Environm, Tianjin 300382, Peoples R China; [Li, Hongyuan; Lu, Xueqiang] Nankai Univ, Coll Environm Sci &amp; Engn, Tianjin 300071, Peoples R China; [Liu, Jie] Lanzhou Univ, Coll Pastoral Agr Sci &amp; Technol, Ctr Grassland Microbiome, State Key Lab Herbage Improvement &amp; Grassland Agro, Lanzhou 730020, Peoples R China; [Sparks, Jed P.] Cornell Univ, Dept Ecol &amp; Evolutionary Biol, Ithaca, NY 14853 USA</t>
  </si>
  <si>
    <t>Tianjin Normal University; Tianjin Normal University; Nankai University; Lanzhou University; Cornell University</t>
  </si>
  <si>
    <t>He, MX (corresponding author), Tianjin Normal Univ, Sch Geog &amp; Environm Sci, Tianjin 300382, Peoples R China.;He, MX (corresponding author), Tianjin Normal Univ, Tianjin Key Lab Water Resources &amp; Environm, Tianjin 300382, Peoples R China.</t>
  </si>
  <si>
    <t>hemengxuannku@126.com</t>
  </si>
  <si>
    <t>Meng, Zirui/IAP-3368-2023</t>
  </si>
  <si>
    <t>Meng, Zirui/0000-0002-2648-8417</t>
  </si>
  <si>
    <t>Key Project of National Social Science Foundation of China [19AZD005]; National Natural Science Foundation of China [32171853]; Science and Technology Popularization Project of Tianjin [22KPHDRC00140]; Youth Foundation of Tianjin Natural Science Foundation [22JCQNJC01430]; Science and Technology Plan of Gansu Province [21JR7RA522]; Fundamental Research Funds for the Central Universities of China [lzujbky-2021-ey03]</t>
  </si>
  <si>
    <t>Key Project of National Social Science Foundation of China(National Office of Philosophy and Social Sciences); National Natural Science Foundation of China(National Natural Science Foundation of China (NSFC)); Science and Technology Popularization Project of Tianjin; Youth Foundation of Tianjin Natural Science Foundation; Science and Technology Plan of Gansu Province; Fundamental Research Funds for the Central Universities of China(Fundamental Research Funds for the Central Universities)</t>
  </si>
  <si>
    <t>This work was supported by Key Project of National Social Science Foundation of China (19AZD005), National Natural Science Foundation of China (32171853), Science and Technology Popularization Project of Tianjin (22KPHDRC00140), Youth Foundation of Tianjin Natural Science Foundation (22JCQNJC01430), Science and Technology Plan of Gansu Province (21JR7RA522), and Fundamental Research Funds for the Central Universities of China (lzujbky-2021-ey03).</t>
  </si>
  <si>
    <t>10.1016/j.scitotenv.2023.165677</t>
  </si>
  <si>
    <t>P4TU3</t>
  </si>
  <si>
    <t>WOS:001050605600001</t>
  </si>
  <si>
    <t>Mondol, MMH; Ahmed, I; Lee, HJ; Morsali, A; Jhung, SH</t>
  </si>
  <si>
    <t>Mondol, Md. Mahmudul Hassan; Ahmed, Imteaz; Lee, Hye Jin; Morsali, Ali; Jhung, Sung Hwa</t>
  </si>
  <si>
    <t>Metal-organic frameworks and metal-organic framework-derived materials for denitrogenation of liquid fuel via adsorption and catalysis</t>
  </si>
  <si>
    <t>COORDINATION CHEMISTRY REVIEWS</t>
  </si>
  <si>
    <t>Adsorption; Catalysis; Denitrogenation; Metal-organic frameworks; Oxidation</t>
  </si>
  <si>
    <t>NITROGEN-CONTAINING COMPOUNDS; GRAPHITIC CARBON NITRIDE; HETEROCYCLIC AROMATIC CONTAMINANTS; DOPED POROUS CARBONS; MODEL FOSSIL-FUELS; OXIDATIVE DESULFURIZATION; FUNCTIONAL-GROUPS; IONIC LIQUIDS; CARBONIZATION TEMPERATURE; REMARKABLE ADSORBENT</t>
  </si>
  <si>
    <t>The elimination of contaminants such as nitrogen-containing compounds (NCCs) from fuels is crucial because these impurities can cause several problems, including inactivating catalysts during fuel processing and decreasing fuel stability. The shortcomings of conventional hydrotreating procedures for NCC removal require new and advanced materials and methods. Adsorptive denitrogenation (ADN) and oxidative denitrogenation (ODN) are the two promising alternatives in terms of moderate operating conditions and the efficiency of creating clean fuels. In this review, the development of both the ADN and ODN processes are summarized in the view of the preparation methods and performances of the developed materials (particularly metal-organic frameworks (MOFs) and MOF-derived materials) and mechanisms (both adsorption and oxidation) in the removal of NCCs from fuels. The adsorption of NCCs over the MOFs could be interpreted via several mechanisms such as van der Waals force, 7C-7C interaction, H-bonding, and acid-base interaction. In addition, the oxidation of NCCs can be mainly attributed to the nucleophilic attack of an active oxygen species (which is produced by the interaction of the oxidant and the active site of a catalyst) onto the N of the NCCs. This review will encourage the scientific community to understand the importance and current state of the ADN/ODN processes, particularly by utilizing MOF/MOF-derived materials, and the strategies for developing more cost-effective and energy-efficient approaches for the denitrogenation of fuels.</t>
  </si>
  <si>
    <t>[Mondol, Md. Mahmudul Hassan; Ahmed, Imteaz; Lee, Hye Jin; Jhung, Sung Hwa] Kyungpook Natl Univ, Green Nano Mat Res Ctr, Dept Chem, Daegu 41566, South Korea; [Mondol, Md. Mahmudul Hassan] Khulna Univ Engn &amp; Technol KUET, Dept Chem Engn, Khulna 9203, Bangladesh; [Morsali, Ali] Tarbiat Modares Univ, Fac Basic Sci, Dept Chem, Tehran, Iran</t>
  </si>
  <si>
    <t>Kyungpook National University; Khulna University of Engineering &amp; Technology (KUET); Tarbiat Modares University</t>
  </si>
  <si>
    <t>Jhung, SH (corresponding author), Kyungpook Natl Univ, Green Nano Mat Res Ctr, Dept Chem, Daegu 41566, South Korea.</t>
  </si>
  <si>
    <t>sung@knu.ac.kr</t>
  </si>
  <si>
    <t>National Research Foundation of Korea (NRF) grant - Korean government (MSIT) [2023R1A2C2004805, RS-2023-00207831]</t>
  </si>
  <si>
    <t>National Research Foundation of Korea (NRF) grant - Korean government (MSIT)(National Research Foundation of KoreaMinistry of Science &amp; ICT (MSIT), Republic of Korea)</t>
  </si>
  <si>
    <t>This study was supported by the National Research Foundation of Korea (NRF) grant funded by the Korean government (MSIT) (Grant number: 2023R1A2C2004805). This research was also supported by the National Research Foundation of Korea (NRF) grant funded by the Korean government (MSIT) (Grant number: RS-2023-00207831).</t>
  </si>
  <si>
    <t>0010-8545</t>
  </si>
  <si>
    <t>1873-3840</t>
  </si>
  <si>
    <t>COORDIN CHEM REV</t>
  </si>
  <si>
    <t>Coord. Chem. Rev.</t>
  </si>
  <si>
    <t>10.1016/j.ccr.2023.215382</t>
  </si>
  <si>
    <t>Chemistry, Inorganic &amp; Nuclear</t>
  </si>
  <si>
    <t>R1RZ6</t>
  </si>
  <si>
    <t>WOS:001062196500001</t>
  </si>
  <si>
    <t>Murphy, K</t>
  </si>
  <si>
    <t>Murphy, Kyle</t>
  </si>
  <si>
    <t>Strict optimal rubbling of graphs</t>
  </si>
  <si>
    <t>Graph theory; Pebbling; Rubbling</t>
  </si>
  <si>
    <t>GRAHAMS PEBBLING CONJECTURE</t>
  </si>
  <si>
    <t>In 2009, Belford and Sieben introduced the concept of graph rubbling, which added the rubbling move to the well-known graph pebbling game. While a pebbling move removes two pebbles from one vertex and places a new pebble on a neighboring vertex, a rubbling move takes one pebble from each of two distinct neighbors of some vertex v and places one new pebble on v. The optimal rubbling number of a graph is the minimum number of pebbles needed to reach each vertex using some combination of pebbling and rubbling moves. We introduce the strict optimal rubbling number &amp; rho;str(G), which we define to be the minimum number of pebbles needed to reach each vertex using only rubbling moves. We then determine the value of &amp; rho;str for and handful of families of graphs, highlighting its similarities and differences to the optimal rubbling number.&amp; COPY; 2023 Published by Elsevier B.V.</t>
  </si>
  <si>
    <t>[Murphy, Kyle] Dakota State Univ, Madison, SD 57042 USA</t>
  </si>
  <si>
    <t>Dakota State University</t>
  </si>
  <si>
    <t>Murphy, K (corresponding author), Dakota State Univ, Madison, SD 57042 USA.</t>
  </si>
  <si>
    <t>murphyke22@gmail.com</t>
  </si>
  <si>
    <t>10.1016/j.dam.2023.04.018</t>
  </si>
  <si>
    <t>O6IN5</t>
  </si>
  <si>
    <t>WOS:001044823300001</t>
  </si>
  <si>
    <t>Pajdak-Stos, A; Fialkowska, EF; Hajdyla, F; Fialkowski, W</t>
  </si>
  <si>
    <t>Pajdak-Stos, Agnieszka; FiaLkowska, Edyta Fia; Hajdyla, Filip; Fialkowski, Wojciech</t>
  </si>
  <si>
    <t>The potential of Lecane rotifers in microplastics removal</t>
  </si>
  <si>
    <t>Microplastics; Lecane rotifers; Biofilms; Microplastics toxicity; Biofilm grazing</t>
  </si>
  <si>
    <t>WATER TREATMENT PLANTS; ACTIVATED-SLUDGE; INGESTION; ZOOPLANKTON; IDENTIFICATION; ENVIRONMENT; ORGANISMS; IMPACTS; FATE</t>
  </si>
  <si>
    <t>Dealing with hard-to-degrade plastics pollution of terrestrial and aquatic environments is one of the most urgent problems of the modern world. The smallest fraction (&lt;5 mm) called micro-plastics (MP) has been found everywhere from ice in Greenland, streams, rivers, soil and even in the human placenta. The goal of our research was to assess the ability of rotifers Lecane inermis to remove micro-plastics suspended in the water column. In the experiments we investigated specific interactions between MP, biofilm and rotifers specialized in feeding on biofilm. We hypothesized that MP adhere to the biofilm and after ingestion by rotifers could be extracted from the water in the form of compact conglomerates excreted with fecal pellets. In these experiments, we demonstrated that: (i) the rotifers preferentially ingest microplastics embedded in biofilm, (ii) the presence of micro plastics does not affect growth and fecundity of rotifers, and (iii) that MP aggregation is significantly improved by the presence of biofilm, additionally enhanced in the presence of rotifers. Our findings will help to understand the role of micro-grazers, such as L. inermis feeding on biofilm, in the fate of MP in nature. In the longer term, our results could help to develop biotechnological tools for MP removal from the aquatic environment.</t>
  </si>
  <si>
    <t>[Pajdak-Stos, Agnieszka; FiaLkowska, Edyta Fia; Fialkowski, Wojciech] Jagiellonian Univ, Inst Environm Sci, Fac Biol, Krakow, Poland; [Hajdyla, Filip] Jagiellonian Univ, Fac Biochem Biophys &amp; Biotechnol, Dept Analyt Biochem, Krakow, Poland; [FiaLkowska, Edyta Fia] Jagiellonian Univ, Inst Environm Sci, Gronostajowa 7st, PL-30387 Krakow, Poland</t>
  </si>
  <si>
    <t>Jagiellonian University; Jagiellonian University; Jagiellonian University</t>
  </si>
  <si>
    <t>Fialkowska, EF (corresponding author), Jagiellonian Univ, Inst Environm Sci, Gronostajowa 7st, PL-30387 Krakow, Poland.</t>
  </si>
  <si>
    <t>edyta.fialkowska@uj.edu.pl</t>
  </si>
  <si>
    <t>Faculty of Biology under the Strategic Programme Excellence Initiative at Jagiel-lonian University [N18/DBS/000022]</t>
  </si>
  <si>
    <t>Faculty of Biology under the Strategic Programme Excellence Initiative at Jagiel-lonian University</t>
  </si>
  <si>
    <t>The publication has been supported by a grant from the Faculty of Biology under the Strategic Programme Excellence Initiative at Jagiel-lonian University and N18/DBS/000022 Jagiellonian University. We thank three anonymous reviewers for valuable comments on earlier version of the manuscript, Zofia Anna Stos-Gale and Geoffrey William Grime for English proofreading.</t>
  </si>
  <si>
    <t>10.1016/j.scitotenv.2023.165662</t>
  </si>
  <si>
    <t>O9FS3</t>
  </si>
  <si>
    <t>WOS:001046810600001</t>
  </si>
  <si>
    <t>Palakkal, AS; Pillai, RS</t>
  </si>
  <si>
    <t>Palakkal, Athulya S.; Pillai, Renjith S.</t>
  </si>
  <si>
    <t>Unraveling the role of fullerene encapsulation driven CO2 capture in square pillared Bio-HOF under humid condition by advanced molecular simulation</t>
  </si>
  <si>
    <t>DFT; HOF; GCMC; Fullerene; CO2</t>
  </si>
  <si>
    <t>BONDED ORGANIC FRAMEWORKS; POROUS GLASSES; FORCE-FIELD; ADSORPTION; APPROXIMATION; CRYSTAL; CURVE; SIZE</t>
  </si>
  <si>
    <t>Despite several interesting adsorbent materials, it is difficult to capture CO2 from point sources in industrial settings without removing humidity. Herein, we investigated the detailed adsorption of CO2 in the presence of humidity for a specifically designed material, which is known as Bio-Hydrogen bonded Organic Framework (Bio-HOFs). Specifically, the designed Bio-HOFs are made up of purine bases as organic ligands, supported with SiF6 pillar and connected via intermolecular hydrogen bonds. The strength of H-bonds in Bio-HOFs is screened with the aid of electron density measurement (Atom in Molecule) of optimized structure from advanced Density Functional Theory (DFT). Subsequently, Grand canonical Monte Carlo (GCMC) simulation was employed to estimate the CO2 uptake of Bio-HOFs and performed co-adsorptions in the presence of humidity at 298 K. Further, novel HOFs are envisaged by incorporating C60 fullerene to enhance zig-zag channels in Bio-HOFs. The resulting Bio-HOF@C60 further exhibits anomalous selectivity with higher values of screening parameters. In addition, the impact of the insertion of C60 fullerene in Bio-HOFs on the uptake of CO2 and the exceptional retention span of CO2 over N2 in SIFSIX-Cu-Adenine@C60 in the presence of humidity are highlighted.</t>
  </si>
  <si>
    <t>[Palakkal, Athulya S.; Pillai, Renjith S.] SRM Inst Sci &amp; Technol, Sch Basic Sci, Dept Chem, Chennai 603203, India; [Pillai, Renjith S.] Indian Space Res Org, Analyt &amp; Spect Div, Vikram Sarabhai Space Ctr, ASCG PCM, Thiruvananthapuram 695022, Kerala, India</t>
  </si>
  <si>
    <t>SRM Institute of Science &amp; Technology Chennai; Department of Space (DoS), Government of India; Indian Space Research Organisation (ISRO); Vikram Sarabhai Space Center (VSSC)</t>
  </si>
  <si>
    <t>Pillai, RS (corresponding author), SRM Inst Sci &amp; Technol, Sch Basic Sci, Dept Chem, Chennai 603203, India.</t>
  </si>
  <si>
    <t>renjiths_sp@vssc.gov.in</t>
  </si>
  <si>
    <t>Palakkal, Athulya Surendran/IUO-7647-2023</t>
  </si>
  <si>
    <t>Palakkal, Athulya Surendran/0000-0001-9812-9088</t>
  </si>
  <si>
    <t>Science and Engineering Research Board (SERB); Department of Science and Technology (DST), Govt. of India; SRM Institute of Science and Technology; [SRG/2019/000912]</t>
  </si>
  <si>
    <t>Science and Engineering Research Board (SERB); Department of Science and Technology (DST), Govt. of India(Department of Science &amp; Technology (India)); SRM Institute of Science and Technology;</t>
  </si>
  <si>
    <t>R.S.P. gratefully acknowledges the Science and Engineering Research Board (SERB), the Department of Science and Technology (DST), Govt. of India, for the award of the Start-up Research Grant (SERB-SRG) with reference SRG/2019/000912 and thanks the SRM Supercomputer Center, SRM IST for providing the computational facility. A.S.P. thanks SRM Institute of Science and Technology for providing PhD fellowship support.</t>
  </si>
  <si>
    <t>10.1016/j.seppur.2023.124650</t>
  </si>
  <si>
    <t>Q7ZE3</t>
  </si>
  <si>
    <t>WOS:001059661100001</t>
  </si>
  <si>
    <t>Rao, SVY; Han, Y; Ho, WSW</t>
  </si>
  <si>
    <t>Rao, Shraavya; Han, Yang; Ho, W. S. Winston</t>
  </si>
  <si>
    <t>H2S/CO2 separation using sterically hindered amine membranes</t>
  </si>
  <si>
    <t>JOURNAL OF MEMBRANE SCIENCE</t>
  </si>
  <si>
    <t>Hydrogen sulfide; Carbon dioxide; Sterically hindered amine; Polymeric membrane</t>
  </si>
  <si>
    <t>FACILITATED TRANSPORT MEMBRANES; SWING ADSORPTION SEPARATION; HYDROGEN-SULFIDE CAPTURE; CARBON-DIOXIDE CAPTURE; MOLECULAR-SIEVES 4A; AQUEOUS-SOLUTIONS; CO2 CAPTURE; SELECTIVE ABSORPTION; GAS-MIXTURES; H2S</t>
  </si>
  <si>
    <t>With the growing interest in carbon capture from syngas and natural gas, H2S/CO2 separation is gradually becoming important in the gas processing and carbon capture industries. This work describes the development of amine-based facilitated transport membranes (FTMs) suitable for syngas desulfurization. Six amino acid salt carriers with varying steric hindrance were synthesized and used to fabricate FTMs. Their H2S/CO2 separation performances were evaluated at 107 degrees C and 7 bar feed pressure, using a dry feed composition of 1.5% H2S and 98.5% CO2. H2S/CO2 selectivity improved significantly as amine steric hindrance was increased. While mildly hindered amines showed low H2S/CO2 selectivities of around 5, sterically hindered and tertiary amines showed substantially improved separation performance, with selectivities in the range of 10-20. A highly hindered carrier containing the di-tert-butyl amine moiety showed the highest selectivity of 19.6, along with an H2S permeance of 560 GPU. The di-tert-butyl amine-based FTM was used to study the effect of temperature and feed H2S content on H2S/CO2 separation performance. The performances of the newly devised FTMs exceed the H2S/ CO2 upper bound, and the learnings shed light on the design of amine carriers for acid gas separations.</t>
  </si>
  <si>
    <t>[Rao, Shraavya; Han, Yang; Ho, W. S. Winston] Ohio State Univ, William G Lowrie Dept Chem &amp; Biomol Engn, 151 West Woodruff Ave, Columbus, OH 43210 USA; [Ho, W. S. Winston] Ohio State Univ, Dept Mat Sci &amp; Engn, 2041 Coll Rd, Columbus, OH 43210 USA; [Ho, W. S. Winston] Ohio State Univ, William G Lowrie Dept Chem &amp; Biomol Engn, 151 West Woodruff Ave, Columbus, OH 43210 USA</t>
  </si>
  <si>
    <t>University System of Ohio; Ohio State University; University System of Ohio; Ohio State University; University System of Ohio; Ohio State University</t>
  </si>
  <si>
    <t>Ho, WSW (corresponding author), Ohio State Univ, William G Lowrie Dept Chem &amp; Biomol Engn, 151 West Woodruff Ave, Columbus, OH 43210 USA.</t>
  </si>
  <si>
    <t>ho.192@osu.edu</t>
  </si>
  <si>
    <t>DOE-NETL [OER-CDO-D-19-13]; Ohio Department of Development [FE0031635]; Department of Energy; National Energy Technology Laboratory, Pittsburgh, PA, USA; [DE-FE0031635]</t>
  </si>
  <si>
    <t>DOE-NETL(United States Department of Energy (DOE)); Ohio Department of Development; Department of Energy(United States Department of Energy (DOE)); National Energy Technology Laboratory, Pittsburgh, PA, USA;</t>
  </si>
  <si>
    <t>We would like to thank Katharina Daniels, Jose ' D. Figueroa, and David Lang of the U.S. Department of Energy-National Energy Technology Laboratory (DOE-NETL) for their invaluable inputs and helpful discussions for this work. We gratefully acknowledge the funding from DOE-NETL under grant DE-FE0031635 and the Ohio Department of Development under grant OER-CDO-D-19-13. This work was partly supported by the Department of Energy under Award Number DE- FE0031635 with substantial involvement of the National Energy Technology Laboratory, Pittsburgh, PA, USA.</t>
  </si>
  <si>
    <t>0376-7388</t>
  </si>
  <si>
    <t>1873-3123</t>
  </si>
  <si>
    <t>J MEMBRANE SCI</t>
  </si>
  <si>
    <t>J. Membr. Sci.</t>
  </si>
  <si>
    <t>10.1016/j.memsci.2023.121989</t>
  </si>
  <si>
    <t>Engineering, Chemical; Polymer Science</t>
  </si>
  <si>
    <t>Engineering; Polymer Science</t>
  </si>
  <si>
    <t>Q7DO7</t>
  </si>
  <si>
    <t>WOS:001059093700001</t>
  </si>
  <si>
    <t>Singh, DP; Yadav, M</t>
  </si>
  <si>
    <t>Singh, Dheerendra Pratap; Yadav, Manohar</t>
  </si>
  <si>
    <t>3D-MFDNN: Three-dimensional multi-feature descriptors combined deep neural network for vegetation segmentation from airborne laser scanning data</t>
  </si>
  <si>
    <t>Airborne laser scanning (ALS); Point cloud; Feature descriptor; Deep neural network (DNN); Vegetation segmentation</t>
  </si>
  <si>
    <t>LIDAR POINT CLOUDS; CLASSIFICATION; URBAN; COVER</t>
  </si>
  <si>
    <t>Airborne laser scanning (ALS) is a state-of-the-art technique for fast and accurate three-dimensional information acquisition of land cover including vegetation. This paper presents a three-dimensional multi-feature descriptors combined deep neural network-based methodology (3D-MFDNN) for ALS data-based vegetation segmentation with three well-designed steps namely generation of feature descriptors, 3D-MFDNN method's training, testing, and performance comparison using ALS datasets. The proposed 3D-MFDNN method is straightforward to implement, where accurate segmentation of tree points are effectively dealt in several complex cases, such as tree branches connected with other objects, tree with understory low vegetation, low-lying plants on the sloping surface, large tree with volumetric shape and branches hanging near sloping ground surface, etc. The method performance was evaluated using six datasets having different levels of scene complexity, and vegetation segmentation was performed at F1-score and accuracy of 83.94 % and 92.13 %, respectively. The method achieves significant improvement in comparison with several state-of-the-art methods.</t>
  </si>
  <si>
    <t>[Singh, Dheerendra Pratap; Yadav, Manohar] Motilal Nehru Natl Inst Technol Allahabad, Geog Informat Syst GIS Cell, Prayagraj 211004, India</t>
  </si>
  <si>
    <t>National Institute of Technology (NIT System); Motilal Nehru National Institute of Technology</t>
  </si>
  <si>
    <t>Yadav, M (corresponding author), Motilal Nehru Natl Inst Technol Allahabad, Geog Informat Syst GIS Cell, Prayagraj 211004, India.</t>
  </si>
  <si>
    <t>dheeru.dp@gmail.com; ssmyadav@mnnit.ac.in</t>
  </si>
  <si>
    <t>10.1016/j.measurement.2023.113465</t>
  </si>
  <si>
    <t>R6RR8</t>
  </si>
  <si>
    <t>WOS:001065613800001</t>
  </si>
  <si>
    <t>Sirvent, P; Garrido-Maneiro, MA; Poza, P</t>
  </si>
  <si>
    <t>Sirvent, Paloma; Garrido-Maneiro, Miguel Angel; Poza, Pedro</t>
  </si>
  <si>
    <t>Improving cold sprayed Ti-6Al-4V coatings controlling processing parameters: Effect on microstructure and scratch behaviour</t>
  </si>
  <si>
    <t>Thermally sprayed coating; Transmission electron microscopy; Nanoindentation; Scratch</t>
  </si>
  <si>
    <t>ADHESION; RESISTANCE; WEAR</t>
  </si>
  <si>
    <t>In this work, the local wear properties of cold-sprayed (CS) Ti-6Al-4V coatings were studied to evaluate their application for aeronautical components repair. Two different CS conditions were used, and one condition was also heat-treated. A thorough microstructural study was first done to correlate the microstructure with the wear properties. Then, microscratch tests were performed. The wear rates were calculated analytically, and this method was validated with confocal microscopy. Similar wear rates to that of the material to be repaired (substrate) were obtained for the CS coating sprayed at higher temperatures and for the heat-treated one. The wear resistance was related to the ability of the coating to plastically deform and thus, with the arrangements of different dislocations observed in the coatings.</t>
  </si>
  <si>
    <t>[Sirvent, Paloma; Garrido-Maneiro, Miguel Angel; Poza, Pedro] Univ Rey Juan Carlos, Escuela Super Ciencias Expt &amp; Tecnol, DIMME Durabil &amp; Mech Integr Struct Mat, C Tulipan S-N, Mostoles 28933, Madrid, Spain</t>
  </si>
  <si>
    <t>Universidad Rey Juan Carlos</t>
  </si>
  <si>
    <t>Sirvent, P (corresponding author), Univ Rey Juan Carlos, Escuela Super Ciencias Expt &amp; Tecnol, DIMME Durabil &amp; Mech Integr Struct Mat, C Tulipan S-N, Mostoles 28933, Madrid, Spain.</t>
  </si>
  <si>
    <t>paloma.sirvent@urjc.es; miguelangel.garrido@urjc.es; pedro.poza@urjc.es</t>
  </si>
  <si>
    <t>Poza, Pedro/F-2428-2016</t>
  </si>
  <si>
    <t>Poza, Pedro/0000-0002-0496-4902</t>
  </si>
  <si>
    <t>European Union; Spanish government CICYT; European Union [ACS3-GA-2013-605207]; Spanish government CICYT [PID2020-115508RB-C22]; Rey Juan Carlos University</t>
  </si>
  <si>
    <t>European Union(European Union (EU)); Spanish government CICYT(Consejo Interinstitucional de Ciencia y Tecnologia (CICYT)); European Union(European Union (EU)); Spanish government CICYT(Consejo Interinstitucional de Ciencia y Tecnologia (CICYT)); Rey Juan Carlos University</t>
  </si>
  <si>
    <t>This work has received funding from the European Union's Seventh Framework Programme for research, technological development, and demonstration, under grant agreement No. ACS3-GA-2013-605207 (the CORSAIR project). The authors would like to thank the Spanish government CICYT for financial support, under grant PID2020-115508RB-C22 (A3M), and to Rey Juan Carlos University for its support throughout the Cold-SAM project.</t>
  </si>
  <si>
    <t>10.1016/j.wear.2023.205075</t>
  </si>
  <si>
    <t>Q5QW3</t>
  </si>
  <si>
    <t>WOS:001058077500001</t>
  </si>
  <si>
    <t>Sun, SC; Zhang, JQ; Hong, M; Wen, JL; Ma, JL; Sun, RC</t>
  </si>
  <si>
    <t>Sun, Shaochao; Zhang, Junqiang; Hong, Min; Wen, Jialong; Ma, Jiliang; Sun, Runcang</t>
  </si>
  <si>
    <t>Photocatalytic selective C-C bond cleavage of biomass-based monosaccharides and xylan to co-produce lactic acid and CO over an Fe-doped GaN catalyst</t>
  </si>
  <si>
    <t>Biomass reforming; Photocatalysis; Self -splitting; Lactic acid; Carbon monoxide</t>
  </si>
  <si>
    <t>The utilization of photocatalysis for the simultaneous production of valuable fine chemicals and fuels from biomass-derived feedstocks holds significant promise; however, its practical implementation remains constrained. In this study, we present the development of an Fe-doped gallium nitride (GaN) catalyst treated by calcination (Fe@GaN-X) for the selectively conversion of biomass-based monosaccharides and xylan into lactic acid and carbon monoxide (CO). Fe@GaN-400 exhibited broader visible light absorption, lower resistance, and reduced photoluminescence intensity in comparison to pristine GaN, thereby affording exceptional photo -catalytic activity (lactic acid yield: 71.38%; CO evolution rate: 385.74 &amp; mu;mol g-1 h-1). When monosaccharides and xylan were used as substrates, the Fe@GaN-400 system demonstrated outstanding photocatalytic activity, particularly in the case of xylan system (CO evolution rate = 923.21 &amp; mu;mol g-1 h-1). Additionally, the experi-mental results revealed the generation of distinctive reactive species, encompassing holes (h+), superoxide anion (.O2- ), hydroxyl radical (.OH) and singlet oxygen (1O2) within this catalytic system. Remarkably, the .O2- and h+ exhibit heightened selectivity towards CO and lactic acid, respectively. This work establishes a novel pathway for the co-production of fine chemicals and fuels through the photocatalytic conversion of biomass.</t>
  </si>
  <si>
    <t>[Sun, Shaochao; Zhang, Junqiang; Ma, Jiliang; Sun, Runcang] Dalian Polytech Univ, Liaoning Key Lab Lignocellulose Chem &amp; Biomat, Dalian 116034, Peoples R China; [Sun, Shaochao; Wen, Jialong] Beijing Forestry Univ, Beijing Key Lab Lignocellulos Chem, Beijing 100083, Peoples R China; [Hong, Min] Univ Southern Queensland, Ctr Future Mat, Springfield Cent, Qld 4300, Australia</t>
  </si>
  <si>
    <t>Dalian Polytechnic University; Beijing Forestry University; University of Southern Queensland</t>
  </si>
  <si>
    <t>Ma, JL; Sun, RC (corresponding author), Dalian Polytech Univ, Liaoning Key Lab Lignocellulose Chem &amp; Biomat, Dalian 116034, Peoples R China.;Wen, JL (corresponding author), Beijing Forestry Univ, Beijing Key Lab Lignocellulos Chem, Beijing 100083, Peoples R China.;Hong, M (corresponding author), Univ Southern Queensland, Ctr Future Mat, Springfield Cent, Qld 4300, Australia.</t>
  </si>
  <si>
    <t>min.hong@usq.edu.au; wenjialong@bjfu.edu.cn; jlma@dlpu.edu.cn; rcsun3@dlpu.edu.cn</t>
  </si>
  <si>
    <t>Sun, Shaochao/IXD-5770-2023; Zhang, Junqiang/IAR-9859-2023</t>
  </si>
  <si>
    <t>Sun, Shaochao/0000-0002-2463-5794;</t>
  </si>
  <si>
    <t>Foundation of NSFC-CONICFT Joint Project [22008018]; National Natural Science Founda- tion of China; [51961125207]</t>
  </si>
  <si>
    <t>Foundation of NSFC-CONICFT Joint Project; National Natural Science Founda- tion of China(National Natural Science Foundation of China (NSFC));</t>
  </si>
  <si>
    <t>This work was supported by the Foundation of NSFC-CONICFT Joint Project (No. 51961125207) and the National Natural Science Founda- tion of China (22008018) . We also thank to the Shiyanjia lab (http:// www.shiyanjia.com ) for the XPS analysis.</t>
  </si>
  <si>
    <t>10.1016/j.indcrop.2023.117361</t>
  </si>
  <si>
    <t>Q7TH7</t>
  </si>
  <si>
    <t>WOS:001059507000001</t>
  </si>
  <si>
    <t>Valter, A; Luhari, L; Pisarev, H; Truumees, B; Smolander, OP; Oselin, K</t>
  </si>
  <si>
    <t>Valter, A.; Luhari, L.; Pisarev, H.; Truumees, B.; Smolander, O. P.; Oselin, K.</t>
  </si>
  <si>
    <t>Genomic alterations as independent prognostic factors to predict the type of lung cancer recurrence</t>
  </si>
  <si>
    <t>GENE</t>
  </si>
  <si>
    <t>Lung cancer; Recurrence type; Whole exome sequencing; Prognostic genetic markers; Microtubule disturbance; Calcium regulation</t>
  </si>
  <si>
    <t>STAGE; SURVIVAL; PATTERNS; EGFR</t>
  </si>
  <si>
    <t>Introduction: 33-70% of lung cancer (LC) patients develop recurrence after radical treatment. Previous studies have shown the importance of clinical-pathological characteristics for the risk of recurrence. The role of molecular mechanisms remains unclear. The aim was analyzing genomic features in LC patients with local (LR) versus distant recurrence (DR) to predict the risk and type of recurrence.Materials and methods: Patients previously curatively treated with LC recurrences from 2015 to 2017 were retrospectively enrolled. Histological specimens collected at the time of LC diagnosis were sent for whole exome sequencing (WES). Genomic data was analyzed for single nucleotide polymorphisms (SNPs) and insertion deletion mutations (INDELs).Results: 191 patients were included. 33% of patients had LR and 67% DR, with median recurrence-free survival (RFS) 15.4 versus 11.2 months (p = 0.20) and overall survival (OS) after recurrence 12.9 versus 8.5 months (p = 0.007), respectively. Of various laboratory parameters studied, lymphocytes were significantly decreased at recurrence (p &lt; 0.0001) in the DR group.In genetic analysis, significantly enriched INDEL mutations were found in 38 and 98 genes and SNP mutations in 63 and 179 genes in DR and LR groups, respectively. DMXL2 and ABCC9 gene mutations caused by INDELs appeared exclusively in the DR group. Enrichment analysis detected genes, like KNTC1, CLASP1, CLASP2 and CENPE, responsible of microtubule disturbance in the DR group. Furthermore, genes related to cytosolic Ca2+ such as STIM1, ITPR3 and RYR3, were significantly enriched in DR group whereas in LR group enrichment of pathways related to endoplasmic/sarcoplasmic reticulum Ca2+ was observed.Conclusion: Our findings indicate distinct genomic signatures in the LR and DR cohorts, with microtubule disturbance and calcium regulation playing a crucial role in invasiveness in DR of LC. Understanding molecular mechanisms of LC recurrence may lead to the discovery of novel drug targets that could potentially stop spread of cancer cells.</t>
  </si>
  <si>
    <t>[Valter, A.; Oselin, K.] North Estonia Med Ctr, Dept Chemotherapy, Clin Oncol &amp; Haematol, EE-13419 Tallinn, Estonia; [Luhari, L.; Smolander, O. P.] Tallinn Univ Technol, Dept Chem &amp; Biotechnol, Tallinn, Estonia; [Pisarev, H.] Univ Tartu, Inst Family Med &amp; Publ Hlth, Tartu, Estonia; [Truumees, B.] North Estonia Med Ctr, Dept Pathol, Clin Diagnost, Tallinn, Estonia; [Valter, A.] North Estonia Med Ctr, Dept Chemotherapy, Clin Oncol &amp; Hematol, J Sutiste St 19, EE-13419 Tallinn, Estonia</t>
  </si>
  <si>
    <t>Tallinn University of Technology; University of Tartu</t>
  </si>
  <si>
    <t>Valter, A (corresponding author), North Estonia Med Ctr, Dept Chemotherapy, Clin Oncol &amp; Hematol, J Sutiste St 19, EE-13419 Tallinn, Estonia.</t>
  </si>
  <si>
    <t>ann.valter@regionaalhaigla.ee</t>
  </si>
  <si>
    <t>Oselin, Kersti/0000-0002-3862-3882</t>
  </si>
  <si>
    <t>NEMC [TAKUP192]</t>
  </si>
  <si>
    <t>NEMC</t>
  </si>
  <si>
    <t>This work was supported by NEMC [grant TAKUP192] .&amp; nbsp;</t>
  </si>
  <si>
    <t>0378-1119</t>
  </si>
  <si>
    <t>1879-0038</t>
  </si>
  <si>
    <t>Gene</t>
  </si>
  <si>
    <t>10.1016/j.gene.2023.147690</t>
  </si>
  <si>
    <t>R2XW1</t>
  </si>
  <si>
    <t>WOS:001063040300001</t>
  </si>
  <si>
    <t>Verma, C; Alfantazi, A; Quraishi, MA; Rhee, KY</t>
  </si>
  <si>
    <t>Verma, Chandrabhan; Alfantazi, Akram; Quraishi, M. A.; Rhee, Kyong Yop</t>
  </si>
  <si>
    <t>Significance of Hammett and Taft substituent constants on bonding potential of organic corrosion inhibitors: Tailoring of reactivity and performance</t>
  </si>
  <si>
    <t>Hammett constant; Taft constant; Coordination bonding; Chelation; Inductive/Resonance effect; Corrosion inhibition</t>
  </si>
  <si>
    <t>1 M HCL; SCHIFF-BASE COMPOUNDS; N-HETEROCYCLIC COMPOUNDS; CARBON-STEEL CORROSION; MILD-STEEL; ADSORPTION BEHAVIOR; C-STEEL; TERTIARY-AMINES; N80 STEEL; AZO DYES</t>
  </si>
  <si>
    <t>By changing the electron density at donor sites (also called adsorption or coordination sites), the substituents significantly impact the coordination proficiency of organic inhibitors. The effects of the substituents can be inductive or resonance depending on where they are located in the aromatic ring. The substituents at the pposition can produce either inductive (I-) or resonance (R-) or a combined effect of both, and the substituents at the m-position can manifest the inductive effect only. The substituents effect on the inhibition potential of aromatic and aliphatic compounds can be described with the help of Hammett (&amp; sigma;) and Taft (&amp; sigma;*) constants, respectively. The polar substituents such as -OH, -OCH3, -NH2, -NMe2, -CN, -NO2, -COOH etc. at p-position develop resonance effect. Because of the potential chelation and substituent effects of polar substituents at the oposition, the corrosion inhibition efficiency (%IE) may occasionally be improved by e-withdrawing polar substituents at the o-position. In general, e-withdrawing substituents like -NO2, -CN, -COOH, etc. have a negative effect on the %IE because of their -R-effect, but in macromolecules (polymers), they may improve %IE by making the inhibitor more soluble. The present article describes the substituents effect on organic inhibitors' coordination ability and binding potential based on the information available in the literature. In addition to the inductive and resonance effects, other factors have been explored, including steric hindrance, the molecular size effect, solubility, and chelation. This paper discusses the significance of the Hammett (&amp; sigma;) and Taft (&amp; sigma;*) constants on the %IE of organic compounds, but it is also possible to link them to their various other applications, including tribological, pollutant decontamination, medicinal, and catalytic.</t>
  </si>
  <si>
    <t>[Verma, Chandrabhan; Alfantazi, Akram] Khalifa Univ Sci &amp; Technol, Dept Chem Engn, POB 127788, Abu Dhabi, U Arab Emirates; [Quraishi, M. A.] King Fahd Univ Petr &amp; Minerals, Interdisciplinary Res Ctr Adv Mat, Dhahran 31261, Saudi Arabia; [Rhee, Kyong Yop] Kyung Hee Univ, Coll Engn, Dept Mech Engn, Yongin 446701, South Korea</t>
  </si>
  <si>
    <t>Khalifa University of Science &amp; Technology; King Fahd University of Petroleum &amp; Minerals; Kyung Hee University</t>
  </si>
  <si>
    <t>Verma, C (corresponding author), Khalifa Univ Sci &amp; Technol, Dept Chem Engn, POB 127788, Abu Dhabi, U Arab Emirates.;Rhee, KY (corresponding author), Kyung Hee Univ, Coll Engn, Dept Mech Engn, Yongin 446701, South Korea.</t>
  </si>
  <si>
    <t>chandraverma.rs.apc@itbhu.ac.in; rheeky@khu.ac.kr</t>
  </si>
  <si>
    <t>Khalifa University; Basic Science Research Program through the National Research Foundation of Korea (NRF) - Ministry of Education, Science and Technology [2022R1A2C1004437]</t>
  </si>
  <si>
    <t>Khalifa University; Basic Science Research Program through the National Research Foundation of Korea (NRF) - Ministry of Education, Science and Technology(National Research Foundation of Korea)</t>
  </si>
  <si>
    <t>CV thankfully acknowledges Khalifa University for providing financial support under the postdoctoral fellowship scheme. The Basic Science Research Program supported this work through the National Research Foundation of Korea (NRF) funded by the Ministry of Education, Science and Technology (2022R1A2C1004437).</t>
  </si>
  <si>
    <t>10.1016/j.ccr.2023.215385</t>
  </si>
  <si>
    <t>R8JZ0</t>
  </si>
  <si>
    <t>WOS:001066777000001</t>
  </si>
  <si>
    <t>Wang, WF; Zhang, LL; Cai, CZ; Li, SH; Liang, H; Wu, YF; Zheng, H; Qiao, ZW</t>
  </si>
  <si>
    <t>Wang, Wenfei; Zhang, Lulu; Cai, Chengzhi; Li, Shuhua; Liang, Hong; Wu, Yufang; Zheng, He; Qiao, Zhiwei</t>
  </si>
  <si>
    <t>Machine learning assisted high-throughput computational screening of MOFs for the capture of chemical warfare agents from the air</t>
  </si>
  <si>
    <t>Hydrogen bond; Chemical warfare agents; Metal-organic frameworks; Open metal sites</t>
  </si>
  <si>
    <t>METAL-ORGANIC FRAMEWORKS; TOXIC INDUSTRIAL-CHEMICALS; TRANSFERABLE POTENTIALS; PHASE-EQUILIBRIA; FORCE-FIELD; ADSORPTION; REMOVAL; GAS; DESTRUCTION; SIMULANT</t>
  </si>
  <si>
    <t>To effectively capture the low-concentration chemical warfare agents (CWAs) and their simulants which are extremely harmful to human health and environment, the properties of thousands of Computation-Ready, Experimental Metal-Organic Frameworks (CoRE-MOFs) for the adsorption and separation of four CWAs and simulants (dimethyl methyl phosphonate, soman, mustard gas, and 2-chloroethyl ethyl sulfide) from the air were calculated by high-throughput computational screening. To reasonably identify the top-performing MOFs, the trade-off between selectivity and adsorption capacity (TSN) was introduced to measure the properties of MOFs. Five machine learning algorithms were employed to quantitatively evaluate the structure-performance re-lationships of MOFs for the adsorption of CWAs and validate that Extreme Gradient Boosting algorithms had the best prediction accuracy. Furthermore, four MOF descriptors (henry coefficient, number of hydrogen bonds, porosity, and volumetric surface area) were found to have significant influence on the properties of MOFs. Finally, it was determined that the number of hydrogen bond acceptors was a key factor governing the co-adsorption of CWAs and their simulants, and the similarities of adsorbents with good adsorption performance included Zn for metal center, trimesic acid for organic linker, and srs for topology. The microscopic insights obtained from our bottom-up approach are very helpful for the development of MOFs and other nanoporous materials for the capture of CWAs from the air.</t>
  </si>
  <si>
    <t>[Wang, Wenfei; Zhang, Lulu; Cai, Chengzhi; Li, Shuhua; Liang, Hong; Wu, Yufang; Qiao, Zhiwei] Guangzhou Univ, Sch Chem &amp; Chem Engn, Guangzhou Key Lab New Energy &amp; Green Catalysis, Guangzhou 5100006, Peoples R China; [Zheng, He] State Key Lab NBC Protect Civilian, Beijing 102205, Peoples R China</t>
  </si>
  <si>
    <t>Guangzhou University</t>
  </si>
  <si>
    <t>Wu, YF; Qiao, ZW (corresponding author), Guangzhou Univ, Sch Chem &amp; Chem Engn, Guangzhou Key Lab New Energy &amp; Green Catalysis, Guangzhou 5100006, Peoples R China.;Zheng, H (corresponding author), State Key Lab NBC Protect Civilian, Beijing 102205, Peoples R China.</t>
  </si>
  <si>
    <t>yufang.wu@gzhu.edu.cn; fhyjyzh@126.com; zqiao@gzhu.edu.cn</t>
  </si>
  <si>
    <t>Wu, Yufang/0000-0001-6354-883X</t>
  </si>
  <si>
    <t>National Natural Science Foundation of China [21978058]; Pearl River Talent Recruitment Program [2019QN01L255]; Natural Science Foundation of Guangdong Province [2022A1515011446, 2020A1515010800]; Guangzhou Municipal Science and Technology Project [202102020875, 202201020169]; China Postdoctoral Science Foundation [2022M720868]; R amp; D Program of the Joint Institute of GZHU and ICoST [GI202102]; Guangzhou University Postgraduate Innovation Ability Training Subsidy Plan [2022GDJC-M08]</t>
  </si>
  <si>
    <t>National Natural Science Foundation of China(National Natural Science Foundation of China (NSFC)); Pearl River Talent Recruitment Program; Natural Science Foundation of Guangdong Province(National Natural Science Foundation of Guangdong Province); Guangzhou Municipal Science and Technology Project; China Postdoctoral Science Foundation(China Postdoctoral Science Foundation); R amp; D Program of the Joint Institute of GZHU and ICoST; Guangzhou University Postgraduate Innovation Ability Training Subsidy Plan</t>
  </si>
  <si>
    <t>This research was funded by the National Natural Science Foundation of China (21978058), the Pearl River Talent Recruitment Program (2019QN01L255), the Natural Science Foundation of Guangdong Province (2022A1515011446 and 2020A1515010800), the Guangzhou Municipal Science and Technology Project (202102020875 and 202201020169), the China Postdoctoral Science Foundation (2022M720868), the R &amp; amp; D Program of the Joint Institute of GZHU and ICoST (GI202102), and the Guangzhou University Postgraduate Innovation Ability Training Subsidy Plan (2022GDJC-M08).</t>
  </si>
  <si>
    <t>10.1016/j.seppur.2023.124546</t>
  </si>
  <si>
    <t>P4LZ0</t>
  </si>
  <si>
    <t>WOS:001050390500001</t>
  </si>
  <si>
    <t>Wang, ZZ; Shao, YN; Zhu, ZJ; Wang, J; Gao, X; Xie, JH; Wang, YT; Wu, QP; Shen, YZ; Ding, Y</t>
  </si>
  <si>
    <t>Wang, Zhengzheng; Shao, Yanna; Zhu, Zhenjun; Wang, Juan; Gao, Xiang; Xie, Jihang; Wang, Yantao; Wu, Qingping; Shen, Yizhong; Ding, Yu</t>
  </si>
  <si>
    <t>Novel gold nanozyme regulation strategies facilitate analytes detection</t>
  </si>
  <si>
    <t>Nanozymes; Catalysis; Enzymatic activity; Signal amplification</t>
  </si>
  <si>
    <t>PEROXIDASE-LIKE ACTIVITY; COLORIMETRIC DETECTION; ELECTROCHEMICAL DETECTION; SUPEROXIDE-DISMUTASE; GRAPHENE OXIDE; CATALYTIC-ACTIVITY; AU NANOPARTICLES; GLUCOSE-OXIDASE; ENZYME; NANOMATERIALS</t>
  </si>
  <si>
    <t>Gold nanozymes (GNZs), have emerged as a promising tool due to their high stability, good catalytic performance, ease of preparation, and controllable enzyme-like activity. They play an important role in the detection of various analytes (such as pathogenic bacteria, heavy metals, pesticides, antibiotics, etc.). Therefore, it is of paramount importance to analyze the impact of regulation methods on enzyme-like activity based on the catalytic mechanism, allowing for efficient GNZs to be prepared and high-performance biosensors to be constructed. In this review, we first introduce the enzyme-like activity and catalytic mechanism of the GNZs. Then, we summarize the recent strategies and mechanisms for regulating the enzyme-like activity of the GNZs. The classification and principles of signal amplification achieved by coupling GNZs with natural enzymes, artificial enzymes, or non-enzyme materials are also highlighted. Additionally, we classify the biosensors constructed based on GNZs, given the rapid advancements in this field, and their applications in detecting various analytes. Finally, we discuss the challenges and development directions of strategies for regulating the enzyme-like activity of the GNZs. Although this review is not thoroughly, it would serve as a valuable reference for understanding the research progress of the GNZs and aid in developing new types of the GNZs and biosensors.</t>
  </si>
  <si>
    <t>[Wang, Zhengzheng; Shao, Yanna; Xie, Jihang; Wang, Yantao; Wu, Qingping] Guangdong Acad Sci, Key Lab Agr Microbiom &amp; Precis Applicat MARA, Guangdong Prov Key Lab Microbial Safety &amp; Hlth, Inst Microbiol,State Key Lab Appl Microbiol Southe, Guangzhou 510070, Peoples R China; [Wang, Zhengzheng; Shao, Yanna; Zhu, Zhenjun; Xie, Jihang; Wang, Yantao; Ding, Yu] Jinan Univ, Dept Food Sci &amp; Engn, Guangzhou 510632, Peoples R China; [Wang, Juan] South China Agr Univ, Coll Food Sci, Guangzhou 510432, Peoples R China; [Gao, Xiang; Shen, Yizhong] Hefei Univ Technol, Engn Res Ctr Bioproc, Sch Food &amp; Biol Engn, Minist Educ, Hefei 230009, Peoples R China</t>
  </si>
  <si>
    <t>Guangdong Academy of Sciences; Jinan University; South China Agricultural University; Hefei University of Technology</t>
  </si>
  <si>
    <t>Ding, Y (corresponding author), Jinan Univ, Dept Food Sci &amp; Engn, Guangzhou 510632, Peoples R China.</t>
  </si>
  <si>
    <t>dingyu@jnu.edu.cn</t>
  </si>
  <si>
    <t>DING, YU/0000-0002-3688-7294</t>
  </si>
  <si>
    <t>Guangdong Major Project of Basic and Applied Basic Research [2020B0301030005]; National Natural Science Foundation of China [32272424]; Guangdong Provincial Key Laboratory [2020B121201009]; GDAS' Special Project of Science and Technology Development [2020GDASYL-20200103024]</t>
  </si>
  <si>
    <t>Guangdong Major Project of Basic and Applied Basic Research; National Natural Science Foundation of China(National Natural Science Foundation of China (NSFC)); Guangdong Provincial Key Laboratory; GDAS' Special Project of Science and Technology Development</t>
  </si>
  <si>
    <t>The authors thank the funding of Guangdong Major Project of Basic and Applied Basic Research (2020B0301030005), National Natural Science Foundation of China (32272424), Guangdong Provincial Key Laboratory (2020B121201009), and GDAS' Special Project of Science and Technology Development (2020GDASYL-20200103024).</t>
  </si>
  <si>
    <t>10.1016/j.ccr.2023.215369</t>
  </si>
  <si>
    <t>R1VI5</t>
  </si>
  <si>
    <t>WOS:001062283800001</t>
  </si>
  <si>
    <t>Wang, ZY; Zhao, H; Xu, H; Li, J; Ma, T; Zhang, LL; Feng, YC; Shi, GL</t>
  </si>
  <si>
    <t>Wang, Zhenyu; Zhao, Huan; Xu, Han; Li, Jie; Ma, Tong; Zhang, Linlin; Feng, Yinchang; Shi, Guoliang</t>
  </si>
  <si>
    <t>Strategies for the coordinated control of particulate matter and carbon dioxide under multiple combined pollution conditions</t>
  </si>
  <si>
    <t>Particulate matter; Carbon dioxide; Coordinated control; Source apportionment; Ozone</t>
  </si>
  <si>
    <t>POSITIVE MATRIX FACTORIZATION; SOURCE APPORTIONMENT; AIR-POLLUTION; METEOROLOGICAL CONDITIONS; PM2.5 CONCENTRATIONS; NORTH CHINA; SEVERE HAZE; OZONE; EMISSIONS; FINE</t>
  </si>
  <si>
    <t>Air pollutants represented by fine particulate matter (PM2.5) and the greenhouse effect caused by carbon dioxide (CO2), are both urgent threats to public health. Tackling the synergistic reduction of PM2.5 and CO2 is critical to achieving improvements in clean air worldwide. A persistent issue is the identification of their common sources and integrated impacts under different environmental conditions. In this study, we investigated the characteristics of the pollution types captured by combined analysis through a comprehensive observational dataset for 2017-2020, and applied machine learning algorithms to quantify the effects of drivers on air pollutants and CO2 formation. More importantly, detailed conclusions were drawn for the joint control of PM2.5-CO2 in multiple pollution types by using ensemble traceability technique. We demonstrated that reducing coal combustion emissions was an effective measure to maximize the benefits of PM2.5-CO2 in weather with low CO2 levels and no PM2.5 pollution. Correspondingly, on days with severe PM2.5 episodes, prioritizing control of vehicle emissions can simultaneously mitigate PM2.5 and CO2. Similar conclusions were found at high CO2 levels, accompanied by a more extensive role of vehicle emissions. Furthermore, a comparison of the differences in source impacts between PM2.5-CO2 and individual species suggests that focusing only on the sources that contribute significantly to one species may result in an underestimation or overestimation of PM2.5-CO2 source impacts. One such implication, as evidenced by our findings, is that synergistic controlling common sources of pollutants should be efficient. Thereby, common source management targeting PM2.5-CO2 under multiple pollution types is a more workable solution to alleviate environmental pollution.</t>
  </si>
  <si>
    <t>[Wang, Zhenyu; Zhao, Huan; Xu, Han; Li, Jie; Feng, Yinchang; Shi, Guoliang] Nankai Univ, Coll Environm Sci &amp; Engn, State Environm Protect Key Lab Urban Ambient Air P, Tianjin Key Lab Urban Transport Emiss Res, Tianjin 300350, Peoples R China; [Wang, Zhenyu; Zhao, Huan; Xu, Han; Li, Jie; Feng, Yinchang; Shi, Guoliang] Nankai Univ, Coll Environm Sci &amp; Engn, CMA NKU Cooperat Lab Atmospher Environm Hlth Res C, Tianjin 300350, Peoples R China; [Ma, Tong] Chinese Res Inst Environm Sci, Beijing 100012, Peoples R China; [Zhang, Linlin] China Natl Environm Monitoring Ctr, Beijing 100012, Peoples R China</t>
  </si>
  <si>
    <t>Nankai University; Nankai University; Chinese Research Academy of Environmental Sciences</t>
  </si>
  <si>
    <t>Shi, GL (corresponding author), Nankai Univ, Coll Environm Sci &amp; Engn, State Environm Protect Key Lab Urban Ambient Air P, Tianjin Key Lab Urban Transport Emiss Res, Tianjin 300350, Peoples R China.;Zhang, LL (corresponding author), China Natl Environm Monitoring Ctr, Beijing 100012, Peoples R China.</t>
  </si>
  <si>
    <t>zhangll@cnemc.cn; nksgl@nankai.edu.cn</t>
  </si>
  <si>
    <t>Wang, Yi/JFA-8618-2023</t>
  </si>
  <si>
    <t>Wang, Yi/0000-0003-2882-8777</t>
  </si>
  <si>
    <t>Environmental Protection Key Laboratory of Urban Ambient Air Par-ticulate Matter Pollution Prevention and Control</t>
  </si>
  <si>
    <t>This study was supported by the National Natural Science Foundation of China (42077191) , National Key Research and Development Program of China (2022YFC3703400) , Fundamental Research Funds for the Central Universities (63233054, 63213072, 63213074) , Tianjin Research Innovation Project for Postgraduate Students (2022SKY002) , and Blue Sky Foundation. This work is a contribution from State Environmental Protection Key Laboratory of Urban Ambient Air Particulate Matter Pollution Prevention and Control.r Environmental Protection Key Laboratory of Urban Ambient Air Par-ticulate Matter Pollution Prevention and Control.</t>
  </si>
  <si>
    <t>10.1016/j.scitotenv.2023.165679</t>
  </si>
  <si>
    <t>Q1DZ0</t>
  </si>
  <si>
    <t>WOS:001055003900001</t>
  </si>
  <si>
    <t>Xie, CQ; Wang, CY; Zhao, MY; Zhao, LM</t>
  </si>
  <si>
    <t>Xie, Chuanqi; Wang, Changyan; Zhao, Mengyao; Zhao, Liming</t>
  </si>
  <si>
    <t>Prediction of acrylamide content in potato chips using near-infrared spectroscopy</t>
  </si>
  <si>
    <t>NIR spectroscopy; Potato chips; Acrylamide; Prediction; Effective wavenumbers</t>
  </si>
  <si>
    <t>SAFETY; WAVELENGTHS; SELECTION; QUALITY; COLOR</t>
  </si>
  <si>
    <t>Acrylamide (ACR), a neurotoxin with carcinogenic properties that can affect fertility, is commonly found in fried and baked foods such as potato chips. This study was carried out to predict the ACR content in fried and baked potato chips using near-infrared (NIR) spectroscopy. Effective wavenumbers were identified using competitive adaptive reweighted sampling (CARS) and the successive projections algorithm (SPA). Six wavenumbers (12799 cm- 1, 12007 cm- 1, 10944 cm- 1, 10943 cm- 1, 5801 cm- 1, and 4332 cm- 1) were selected using the ratio (Ai/Aj) and difference (Ai -Aj) of any two wavenumbers from the CARS and SPA results. First, partial least squares (PLS) models were established based on full spectral wavebands (12799-4000 cm- 1), and the prediction models were subsequently redeveloped based on effective wavenumbers to predict ACR content. Results showed that the full and selected wavenumbers-based PLS models obtained the coefficient of determination (R2) of 0.7707 and 0.6670, respectively, and the root mean square errors of prediction (RMSEP) of 53.0442 &amp; mu;g/kg and 64.3810 &amp; mu;g/ kg, respectively, in the prediction sets. The results of this work demonstrate the suitability of NIR spectroscopy as a non-destructive method for predicting ACR content in potato chips.</t>
  </si>
  <si>
    <t>[Xie, Chuanqi; Wang, Changyan; Zhao, Mengyao; Zhao, Liming] East China Univ Sci &amp; Technol, Sch Biotechnol, State Key Lab Bioreactor Engn, Shanghai 200237, Peoples R China; [Xie, Chuanqi] Zhejiang Acad Agr Sci, Inst Anim Husb &amp; Vet Sci, State Key Lab Managing Biot &amp; Chem Threats Qual &amp;, Hangzhou 310021, Peoples R China; [Zhao, Liming] Shanghai Collaborat Innovat Ctr Biomfg Technol SCI, Shanghai 200237, Peoples R China</t>
  </si>
  <si>
    <t>East China University of Science &amp; Technology; Zhejiang Academy of Agricultural Sciences</t>
  </si>
  <si>
    <t>Zhao, MY; Zhao, LM (corresponding author), East China Univ Sci &amp; Technol, Sch Biotechnol, State Key Lab Bioreactor Engn, Shanghai 200237, Peoples R China.</t>
  </si>
  <si>
    <t>myzhao@ecust.edu.cn; zhaoliming@ecust.edu.cn</t>
  </si>
  <si>
    <t>Zhao, Mengyao/0000-0002-5038-8504; Changyan, Wang/0000-0001-7918-4962</t>
  </si>
  <si>
    <t>National Key Research and Devel- opment Project [2022C02050]; Key R amp; D Program of Zhejiang [18J1401900]; Shanghai Pujiang Program [31801668]; National Natural Science Foundation for Young Scientists of China; [2019YFD0901800]</t>
  </si>
  <si>
    <t>National Key Research and Devel- opment Project; Key R amp; D Program of Zhejiang; Shanghai Pujiang Program(Shanghai Pujiang Program); National Natural Science Foundation for Young Scientists of China(National Natural Science Foundation of China (NSFC));</t>
  </si>
  <si>
    <t>This work was supported by the National Key Research and Devel- opment Project (2019YFD0901800) , the Key R &amp; D Program of Zhejiang (2022C02050) , the Shanghai Pujiang Program (18J1401900) , and the National Natural Science Foundation for Young Scientists of China (31801668) .</t>
  </si>
  <si>
    <t>10.1016/j.saa.2023.122982</t>
  </si>
  <si>
    <t>Q5YL7</t>
  </si>
  <si>
    <t>WOS:001058276500001</t>
  </si>
  <si>
    <t>Xin, YD; Liu, CC; Li, N; Lyu, S; Song, WL; Chen, HS; Jiao, SQ</t>
  </si>
  <si>
    <t>Xin, Yaoda; Liu, Chenchen; Li, Na; Lyu, Siqi; Song, Wei-Li; Chen, Hao-Sen; Jiao, Shuqiang</t>
  </si>
  <si>
    <t>In-situ monitoring of multiple signals evolution behaviour for commercial lithium-ion batteries during internal short circuit</t>
  </si>
  <si>
    <t>Internal short circuit; Lithium-ion battery; In-situ monitoring; Multiple internal signals; Sensitive signal</t>
  </si>
  <si>
    <t>THERMAL-RUNAWAY; GAS GENERATION; DECOMPOSITION; ANODE</t>
  </si>
  <si>
    <t>Internal short circuit in lithium-ion batteries is a crucial hazard threatening. It is accurately difficult to monitor the internal signals in time of the lithium-ion batteries during the process of internal short circuit. Herein, a novel method is developed to monitor multiple signal evolution behaviour using a sealed tank and sensors. The internal signals of LFP batteries and NMC batteries exhibit different evolution behaviours, especially in the response sequence of pressure and gas. Battery capacity has an impact on ISC signal response sequence and time for LFP batteries, showing identical sequence and shorter time with the increase of capacity. The voltage and temperature are considered as sensitive signals for both LFP and NMC811 batteries that sensitive signals are defined based on their response speed. This operando technique provides a suitable platform for understanding the side reaction mechanism during thermal runaway in commercial LIBs.</t>
  </si>
  <si>
    <t>[Xin, Yaoda; Liu, Chenchen; Lyu, Siqi; Song, Wei-Li; Chen, Hao-Sen] Beijing Inst Technol, Inst Adv Struct Technol, Beijing 100081, Peoples R China; [Li, Na; Jiao, Shuqiang] Univ Sci &amp; Technol Beijing, State Key Lab Adv Met, Beijing 100083, Peoples R China</t>
  </si>
  <si>
    <t>Beijing Institute of Technology; University of Science &amp; Technology Beijing</t>
  </si>
  <si>
    <t>Song, WL; Chen, HS (corresponding author), Beijing Inst Technol, Inst Adv Struct Technol, Beijing 100081, Peoples R China.;Jiao, SQ (corresponding author), Univ Sci &amp; Technol Beijing, State Key Lab Adv Met, Beijing 100083, Peoples R China.</t>
  </si>
  <si>
    <t>weilis@bit.edu.cn; chenhs@bit.edu.cn; sjiao@ustb.edu.cn</t>
  </si>
  <si>
    <t>National Key R &amp; D Program of China [2021YFB2401900]</t>
  </si>
  <si>
    <t>National Key R &amp; D Program of China</t>
  </si>
  <si>
    <t>This work was supported by the National Key R &amp; D Program of China (Grant No. 2021YFB2401900) .</t>
  </si>
  <si>
    <t>10.1016/j.apenergy.2023.121754</t>
  </si>
  <si>
    <t>R7JW4</t>
  </si>
  <si>
    <t>WOS:001066090300001</t>
  </si>
  <si>
    <t>Yildirim, C</t>
  </si>
  <si>
    <t>Yildirim, Cagatay</t>
  </si>
  <si>
    <t>Measuring network efficiency of the aquaculture value chain in Turkey</t>
  </si>
  <si>
    <t>Sea bream; Sea bass; Trout; Network efficiency; Value chain</t>
  </si>
  <si>
    <t>DATA ENVELOPMENT ANALYSIS; DEA MODELS; BLACK-SEA; SCALE; PROFITABILITY; DECOMPOSITION; SECTOR; TROUT; COST</t>
  </si>
  <si>
    <t>The objectives of this study were: (i) to analyze trout and sea bream/sea bass value chains in Turkey; (ii) to estimate the overall efficiency of trout and sea bream/sea bass value chains in Turkey by market type; (iii)to compare the profit margins and individual efficiency levels of producers, wholesalers, and retailers within each value chain. Research data sources were fish farms producing trout and sea bream/sea bass, as well as processors, wholesalers, exporters, and retailers along the value chain. Producer-level data were collected from 30 cultured fish farms in the Mugla province, using a simple random sampling method. Other actor-level data were identified using the snowball technique based on the response of the previous actor. Value chain analysis was conducted using the Porter model. A multi-stage network Data Envelopment Analysis model was used to estimate overall efficiency. Research results showed that in the domestic market, producers added the most value to both trout and sea bream/sea bass value chains while gaining the lowest total net profit. In the overseas market, sea bream/ sea bass producers added the most value to the value chain, but gained a smaller total net profit than retailers. Trout producers added the second most value to the value chain but obtained a lower total net profit than retailers and processors. Research results also showed that retailers had the highest net profit margin in both value chains in the overseas market. In the domestic value chain, producers and wholesalers had the highest net profit margins in the sea bream/sea bass market, while producers had the highest net profit margin in the trout market. Based on the network efficiency analysis results for the domestic fresh fish market, the individual efficiency score of intermediaries increased as fish moved from producers toward the other links in the network. Producers had the lowest efficiency score in the overseas processed fish market. This study suggests carrying out holistic training and education, focused on creating fair value chains for fresh and processed fish with the cooperation of all parties. This would increase both the overall efficiency of value chain networks and the individual efficiency of intermediaries. Building a more collaborative culture among fish farmers, processors, exporters, and retailers along the fresh and processed fish value chains, and promoting communication between them, can also lead to increased efficiency of intermediaries.</t>
  </si>
  <si>
    <t>[Yildirim, Cagatay] Ondokuz Mayis Univ, Fac Agr, Dept Agr Econ, Samsun, Turkiye</t>
  </si>
  <si>
    <t>Ondokuz Mayis University</t>
  </si>
  <si>
    <t>Yildirim, C (corresponding author), Ondokuz Mayis Univ, Fac Agr, Dept Agr Econ, Samsun, Turkiye.</t>
  </si>
  <si>
    <t>cagatay.yildirim@omu.edu.tr</t>
  </si>
  <si>
    <t>10.1016/j.aquaculture.2023.739896</t>
  </si>
  <si>
    <t>O7WS4</t>
  </si>
  <si>
    <t>WOS:001045877900001</t>
  </si>
  <si>
    <t>Yu, Z; Ahmad, MS; Shen, BX; Li, YN; Ibrahim, M; Bokhari, A; Klemes, JJ</t>
  </si>
  <si>
    <t>Yu, Zhang; Ahmad, Muhammad Sajjad; Shen, Boxiong; Li, Yingna; Ibrahim, Muhammad; Bokhari, Awais; Klemes, Jiri Jaromir</t>
  </si>
  <si>
    <t>Activated waste cotton cellulose as renewable fuel and value-added chemicals: Thermokinetic analysis, coupled pyrolysis with gas chromatography and mass spectrometry</t>
  </si>
  <si>
    <t>Waste textile cotton cellulose; Pyrolysis; Kinetic parameters; Thermodynamic analysis; Py-GC; MS</t>
  </si>
  <si>
    <t>The bioenergy potential of waste textile cotton cellulose (BOC) and the activated waste textile cotton cellulose by H3PO4 (BOP) were assessed in this study. BOC and BOP were pyrolyzed in TG at four heating rates. The thermal weight-loss process of BOC and BOP can be separated into drying stage, rapid pyrolysis stage and carbonization stage. The kinetic and thermodynamic parameters of the pyrolysis reaction were evaluated using an iso-conversion model. The Ea, Delta H and Delta G values of BOC are 84.79-206.79 kJ mol(-1), 159.85-318.88 kJ mol(-1) and 357.72-359.16 kJ mol-1, respectively. The Ea, &amp; UDelta;H and &amp; UDelta;G values of BOP are 101.81-453.85 kJ mol -1, 169.11-389.47 kJ mol-1 and 257 similar to 335.78 kJ mol-1, respectively. Py-GC/MS analysis illustrated that the peak area percentages of the products of BOC/BOP, including Glucopyranose, Ketones, Cycloalkane, Aromatic, Furan, Aliphatic, CO2, and others, were 47.7%/5%, 4.66%/30.41%, 0%/27.12%, 16.64%/3.22%, 8.55%/12.44%, 12.75%/13.29%, 4.19%/3.91% and 5.51%/4.61%, respectively. Compared with BOC, the low-quality products of BOP, Glucopyranose and Aromatic, decreased from 47.7% to 16.64%-5% and 3.22%, respectively, and the high-quality products, Ketone and Cycloalkane, increased from 4.66% to 0%-30.41% and 27.12%, respectively. The complexity of bio-oil of BOP is reduced, which gives a positive prospect for the purification of backward position.</t>
  </si>
  <si>
    <t>[Yu, Zhang; Ahmad, Muhammad Sajjad; Shen, Boxiong] Hebei Univ Technol, Sch Energy &amp; Environm Engn, Tianjin Key Lab Clean Energy &amp; Pollut Control, Tianjin 300401, Peoples R China; [Ahmad, Muhammad Sajjad; Shen, Boxiong; Li, Yingna] Hebei Univ Technol, Sch Chem Engn, Tianjin 300401, Peoples R China; [Ibrahim, Muhammad] Govt Coll Univ Faisalabad, Dept Environm Sci &amp; Engn, Faisalabad 38000, Pakistan; [Bokhari, Awais] COMSATS Univ Islamabad CUI, Dept Chem Engn, Lahore Campus, Lahore 54000, Pakistan; [Bokhari, Awais] Lebanese Amer Univ, Sch Engn, Byblos, Lebanon; [Klemes, Jiri Jaromir] Brno Univ Technol, Fac Mech Engn, NETME Ctr, Sustainable Proc Integrat Lab, Tech 2896-2, Brno 61600, Czech Republic</t>
  </si>
  <si>
    <t>Hebei University of Technology; Hebei University of Technology; Government College University Faisalabad; COMSATS University Islamabad (CUI); Lebanese American University; Brno University of Technology</t>
  </si>
  <si>
    <t>Shen, BX (corresponding author), Hebei Univ Technol, Sch Energy &amp; Environm Engn, Tianjin Key Lab Clean Energy &amp; Pollut Control, Tianjin 300401, Peoples R China.</t>
  </si>
  <si>
    <t>shenbx@hebut.edu.cn</t>
  </si>
  <si>
    <t>National Natural Science Foundation of China [U20A20302]; Project of great transformation of scientific and technical research in Hebei Province [21283701Z]; project of Science and Technology in the Universities of Hebei Province [JZX2023006]; Innovative group projects in Hebei Province [E2021202006]; project of Science and Technology in the Shijiazhuang City of Hebei Province [216240117 A]; School of Engineering, Lebanese Amer-ican University, Byblos, Lebanon</t>
  </si>
  <si>
    <t>National Natural Science Foundation of China(National Natural Science Foundation of China (NSFC)); Project of great transformation of scientific and technical research in Hebei Province; project of Science and Technology in the Universities of Hebei Province; Innovative group projects in Hebei Province; project of Science and Technology in the Shijiazhuang City of Hebei Province; School of Engineering, Lebanese Amer-ican University, Byblos, Lebanon</t>
  </si>
  <si>
    <t>We would like to acknowledge the funding received from various sources that made this investigation possible. We are grateful for the support provided by the Joint Funds of the National Natural Science Foundation of China (U20A20302) , the Project of great transformation of scientific and technical research in Hebei Province (21283701Z) , the project of Science and Technology in the Universities of Hebei Province (JZX2023006) , Innovative group projects in Hebei Province (E2021202006) , and the project of Science and Technology in the Shijiazhuang City of Hebei Province (216240117 A) . Additionally, we extend our appreciation to the School of Engineering, Lebanese Amer-ican University, Byblos, Lebanon for Research support.</t>
  </si>
  <si>
    <t>10.1016/j.energy.2023.128341</t>
  </si>
  <si>
    <t>P7EY8</t>
  </si>
  <si>
    <t>WOS:001052281200001</t>
  </si>
  <si>
    <t>Zhang, RH; Yin, NS; Wang, G</t>
  </si>
  <si>
    <t>Zhang, RuHua; Yin, NianSheng; Wang, Gang</t>
  </si>
  <si>
    <t>Effect of heat treatment on the properties of amorphous ribbons in acoustic magnetic tags</t>
  </si>
  <si>
    <t>Amorphous ribbons; Heat treatment process; Soft magnetic properties; Response distance</t>
  </si>
  <si>
    <t>CRYSTALLIZATION; ANISOTROPY; DOMAIN</t>
  </si>
  <si>
    <t>Taking Fe-Ni-Co amorphous ribbons in acoustic magnetic tags as research object, the microstructure, composition and crystallization temperature of amorphous ribbons were analyzed by X-ray diffractometer (XRD), scanning electron microscopy (SEM) and differential scanning calorimetry (DSC). The manufacturing process and parameters (annealing temperature, tension and speed) of amorphous ribbons were systematically regulated and analyzed, including the influence on soft magnetic properties of amorphous ribbons by molding process. It indicates that non-magnetic annealing temperature (Ta) remains unchanged, the first magnetic annealing temperature (Tma1) is relatively higher, while second annealing temperature (Tma2), tension and speed are comparatively lower, amorphous ribbons emerge strong sensitivity and high reliability of soft magnetic properties. Meanwhile, combined with the actual experiment and orthogonal test analogy results, the best molding process parameters of amorphous ribbons are obtained: Ta, Tma1 and Tma2 are 375 degrees C, 315 degrees C and 255 degrees C respectively, tension is 8 N and speed is 4 m/min. In addition, the response demonstration of process is carried out under the condition that bias field value is 318.31 A/m and 366.06 A/m. The resonance frequencies of amorphous ribbons are 59.15 kHz and 58.55 kHz respectively, alongside a maximum vibration amplitude is 81, with the weakest and strongest response distance between transmitter and receiver are measured to be 150 cm and 160 cm, which are in line with the actual production process, indicating that the manufacturing process can be optimized to improve the production efficiency and service characteristics of acoustic magnetic tags.</t>
  </si>
  <si>
    <t>[Zhang, RuHua; Yin, NianSheng; Wang, Gang] Nanjing Inst Technol, Sch Mech Engn, 1 Hongjing Rd, Nanjing 211167, Peoples R China</t>
  </si>
  <si>
    <t>Nanjing Institute of Technology</t>
  </si>
  <si>
    <t>Yin, NS (corresponding author), Nanjing Inst Technol, Sch Mech Engn, 1 Hongjing Rd, Nanjing 211167, Peoples R China.</t>
  </si>
  <si>
    <t>yinns@njit.edu.cn</t>
  </si>
  <si>
    <t>10.1016/j.mssp.2023.107757</t>
  </si>
  <si>
    <t>P7EH1</t>
  </si>
  <si>
    <t>WOS:001052263300001</t>
  </si>
  <si>
    <t>Zhao, H; Zhao, D; Becker, S; Rong, H; Zhao, XH</t>
  </si>
  <si>
    <t>Zhao, He; Zhao, Dan; Becker, Sid; Rong, Hui; Zhao, Xiaohuan</t>
  </si>
  <si>
    <t>Entropy generation and improved thermal performance investigation on a hydrogen-fuelled double-channel microcombustor with Y-shaped internal fins</t>
  </si>
  <si>
    <t>Thermodynamics; Entropy generation; Hydrogen; Micro-combustor; Y-shaped internal fins</t>
  </si>
  <si>
    <t>MICRO-CYLINDRICAL COMBUSTOR; NUMERICAL INVESTIGATIONS; HEAT RECIRCULATION; FLAME STABILITY; SWIRLING FLAME; AIR; COUNTERFLOW; ENHANCEMENT; EFFICIENCY; CAVITY</t>
  </si>
  <si>
    <t>To enhance the hydrogen-fueled micro-combustor's thermal performance for Thermo-photovoltaic applications, we propose and test a double-channel design featuring Y-shaped internal fins. This study investigates three key parameters in the thermal performance of a micro-combustor: the inlet velocity, the inlet equivalence ratio, and the combustor wall material. Further, we develop a new method to calculate the efficiency and exergy of the micro-combustor by considering the entropy generation and exhaust gas. It is observed that increasing the inlet velocity leads to higher mean wall temperature (MWT), standard deviation of wall temperature (SDWT), and radiation heat release rate. Increasing inlet velocity also enhances the thermodynamic second-law efficiency and exergy. The peaks of MWT and SDWT are achieved when the inlet equivalence ratio approaches unity. The inlet equivalence ratio value of unity also corresponds to the maximum radiation heat rate and improved second-law efficiency and exergy. Finally, changing the combustor wall material reveals that the silicon carbide demonstrates better thermal performance by rising MWT and the uniformity of the combustor wall temperature. Moreover, alterations to the combustor wall materials do not appear to have a significant impact on the heat loss resulting from entropy generation.</t>
  </si>
  <si>
    <t>[Zhao, He; Zhao, Dan; Becker, Sid; Rong, Hui] Univ Canterbury, Fac Engn, Dept Mech Engn, Private Bag 4800, Christchurch 8140, New Zealand; [Zhao, Xiaohuan] Jinan Univ, Int Energy Coll, Energy &amp; Elect Res Ctr, Zhuhai Campus, Zhuhai 519070, Peoples R China</t>
  </si>
  <si>
    <t>University of Canterbury; Jinan University</t>
  </si>
  <si>
    <t>Zhao, H (corresponding author), Univ Canterbury, Fac Engn, Dept Mech Engn, Private Bag 4800, Christchurch 8140, New Zealand.</t>
  </si>
  <si>
    <t>hzh164@uclive.ac.nz</t>
  </si>
  <si>
    <t>zhao, he/JEO-8161-2023</t>
  </si>
  <si>
    <t>Rong, Hui/0009-0004-4923-0592</t>
  </si>
  <si>
    <t>University of Canterbury, New Zealand [452DISDZ]</t>
  </si>
  <si>
    <t>University of Canterbury, New Zealand</t>
  </si>
  <si>
    <t>Acknowledgments This work was financially supported by the University of Canterbury, New Zealand (No. 452DISDZ) .</t>
  </si>
  <si>
    <t>10.1016/j.energy.2023.128476</t>
  </si>
  <si>
    <t>P2FT4</t>
  </si>
  <si>
    <t>WOS:001048856700001</t>
  </si>
  <si>
    <t>Zhu, JY; Chen, L</t>
  </si>
  <si>
    <t>Zhu, Jianyun; Chen, Li</t>
  </si>
  <si>
    <t>A probabilistic multi-objective design method of sail-photovoltaic-hybrid power system for an unmanned ocean surveillance trimaran</t>
  </si>
  <si>
    <t>Probabilistic optimization; Sail-photovoltaic-hybrid power system; Environmental uncertainty; GHG emission; Lifecycle cost</t>
  </si>
  <si>
    <t>WIND-SPEED; SENSITIVITY-ANALYSIS; UNCERTAINTY; DISTRIBUTIONS; TEMPERATURE; GENERATION; OPTIMIZATION; PERFORMANCE</t>
  </si>
  <si>
    <t>Considering the abundant wind and solar energy resources on waters, this paper integrates wind assistant propulsion and photovoltaic technology with ship electric power system as sail-photovoltaic-hybrid power system (sail-PV-HPS). When properly designed, sail-PV-HPS can present environmental and economic benefits compared with conventional sail-diesel power system. However, the optimal design of sail-PV-HPS is a complex task due to environmental uncertainties. In order to fill such gap, this paper proposes a probabilistic optimization method to determine the size parameters of sail-PV-HPS, pursing minimum GHG emission and lifecycle cost. Two pairs of joint distributions of wind speed and wind direction as well as solar irradiance and ambient temperature are established based on coupla function considering the interconnection and seasonal characteristics of the meteorology variables. The performance of the proposed approach is assessed by the retrofit of the power system of an unmanned ocean surveillance trimaran sailing in the Yellow Sea area. A deterministic optimization and a quasiprobabilistic optimization are performed to highlight the effect and importance of taking the uncertainties and their correlation into consideration. Results show that the sail-PV-HPS designed by the proposed probabilistic method outperforms the sail-PV-HPS given by the deterministic optimization and a quasi-probabilistic optimization, as well as, the original power system of the trimaran in terms of GHG emission and lifecycle cost.</t>
  </si>
  <si>
    <t>[Zhu, Jianyun; Chen, Li] Shanghai Jiao Tong Univ, Collaborat Innovat Ctr Adv Ship &amp; Deep Sea Explora, State Key Lab Ocean Engn, Shanghai 200240, Peoples R China</t>
  </si>
  <si>
    <t>Chen, L (corresponding author), Shanghai Jiao Tong Univ, Collaborat Innovat Ctr Adv Ship &amp; Deep Sea Explora, State Key Lab Ocean Engn, Shanghai 200240, Peoples R China.</t>
  </si>
  <si>
    <t>jerrychu1989@sjtu.edu.cn; li.h.chen@sjtu.edu.cn</t>
  </si>
  <si>
    <t>National Key R&amp;D Program of China [2022YFB4300803]; Oceanic Interdisciplinary Program of Shanghai Jiao Tong University [WH410260401/006]</t>
  </si>
  <si>
    <t>National Key R&amp;D Program of China; Oceanic Interdisciplinary Program of Shanghai Jiao Tong University</t>
  </si>
  <si>
    <t>The paper is financially supported by the National Key R &amp; D Program of China (No. 2022YFB4300803) , and the Oceanic Interdisciplinary Program of Shanghai Jiao Tong University WH410260401/006 (No. WH410260401/006) .</t>
  </si>
  <si>
    <t>10.1016/j.apenergy.2023.121604</t>
  </si>
  <si>
    <t>Q9BE1</t>
  </si>
  <si>
    <t>WOS:001060390000001</t>
  </si>
  <si>
    <t>Bahia, PVB; Nascimento, MM; da Rocha, GO; de Andrade, JB; Machado, ME</t>
  </si>
  <si>
    <t>Bahia, Pedro Victor Bomfim; Nascimento, Madson Moreira; da Rocha, Gisele Olimpio; de Andrade, Jailson Bittencourt; Machado, Maria Elisabete</t>
  </si>
  <si>
    <t>Quantification of polycyclic aromatic sulfur heterocycles in fine airborne urban particles (PM2.5) after multivariate optimization of a green procedure</t>
  </si>
  <si>
    <t>PASH; Particulate matter; Green extraction; Optimization method; Urban emission</t>
  </si>
  <si>
    <t>PARTICULATE MATTER; GAS-CHROMATOGRAPHY; EXTRACTION PROCEDURE; ATOMIC-EMISSION; SAMPLES; HYDROCARBONS; PROFILES</t>
  </si>
  <si>
    <t>Polycyclic aromatic sulfur heterocycles (PASHs), such as benzothiophenes (BT), dibenzothiophenes (DBT) and benzonapthothiophenes (BNT), can be emitted from vehicular traffic and deposited in fine particles matter (PM2.5). The presence of these compounds in PM2.5 is an environmental concern due to air pollution and its toxic properties. In this study, a green microscale solid-liquid extraction method was developed to determine twentythree PASHs in PM2.5. A simplex-centroid mixture design was applied to optimize the extraction solvent. A full factorial design was used for preliminary evaluation of the factors that influence the extraction process (extraction time, sample size, and solvent volume) and then a Doehlert design for the significant parameters. The optimal extraction conditions based on the experimental design were: sample size, 4.15 cm2; 450 &amp; mu;L of toluene: dichloromethane (80:20,v/v); and extraction duration, 24 min. High sensitivity (LOD &lt; 0.66 pg m � 3 and LOQ &lt; 2.21 pg m-3) and acceptable recovery (82.8-120 %), and precision (RSD 3.6-14.0 %) were obtained. The greenness of the method was demonstrated using the Analytical GREEnness (AGREE) tool. The method was applied for analyzing PASHs in PM2.5 samples collected in three time intervals per day from years with different sulfur contents in the diesel: S-500 (&amp; LE;500 ppm sulfur) and S-50 (&amp; LE;50 ppm sulfur). Fourteen PASHs were quantified with the highest concentrations observed for 2,8-DMDBT and 4,6-DMDBT, which are recalcitrant compounds. The ANOVA test indicated significant differences between sampling periods during the day. The reduction of diesel S-500 to S-50 corresponded to a 28 % decrease in the total sum of PASHs ( n-ary sumation PASHs) evaluated. Spearman's rank correlations allowed for verifying that BTs and DBTs were highly correlated, suggesting that they were derived from similar sources. A weak correlation of 2,1-BNT and 2,3-BNT with BTs and DBTs indicates that these compounds are a chemical proxy for the emission of diesel engines during the combustion process.</t>
  </si>
  <si>
    <t>[Bahia, Pedro Victor Bomfim; Nascimento, Madson Moreira; da Rocha, Gisele Olimpio; de Andrade, Jailson Bittencourt; Machado, Maria Elisabete] Univ Fed Bahia, Ctr Interdisciplinar Energia &amp; Ambiente CIEnAm, BR-40170115 Salvador, BA, Brazil; [Bahia, Pedro Victor Bomfim; da Rocha, Gisele Olimpio; Machado, Maria Elisabete] Univ Fed Bahia, Inst Quim, Programa Posgrad Quim, BR-40170115 Salvador, BA, Brazil; [Nascimento, Madson Moreira; da Rocha, Gisele Olimpio; de Andrade, Jailson Bittencourt; Machado, Maria Elisabete] Univ Fed Bahia, Inst Nacl Ciencia &amp; Tecnol Energia &amp; Ambiente INCT, BR-40170115 Salvador, BA, Brazil; [de Andrade, Jailson Bittencourt] Ctr Univ SENAI CIMATEC, Av Orlando Gomes 1845 Piata, BR-41650010 Salvador, BA, Brazil</t>
  </si>
  <si>
    <t>Universidade Federal da Bahia; Universidade Federal da Bahia; Universidade Federal da Bahia</t>
  </si>
  <si>
    <t>Machado, ME (corresponding author), Univ Fed Bahia, Ctr Interdisciplinar Energia &amp; Ambiente CIEnAm, BR-40170115 Salvador, BA, Brazil.</t>
  </si>
  <si>
    <t>maria.elisabete@ufba.br</t>
  </si>
  <si>
    <t>Machado, Maria Elisabete/E-7742-2013</t>
  </si>
  <si>
    <t>Machado, Maria Elisabete/0000-0001-8289-4842; Nascimento, Madson Moreira/0000-0003-4405-6519; B. de Andrade, Jailson/0000-0001-5269-4866</t>
  </si>
  <si>
    <t>Conselho Nacional de Desenvolvimento Cientifico e Tecnologico) [CNPq 465497/2014-4, CNPq 442187/2018-1]; Fundacao de Amparo a~Pesquisa do Estado da Bahia (FAPESB); Financiadora de Projetos e Estudos (FINEP) [01.14.0215.00]; CNPq [140518/2022-3, 383416/2022-1]</t>
  </si>
  <si>
    <t>Conselho Nacional de Desenvolvimento Cientifico e Tecnologico)(Conselho Nacional de Desenvolvimento Cientifico e Tecnologico (CNPQ)); Fundacao de Amparo a~Pesquisa do Estado da Bahia (FAPESB)(Fundacao de Amparo a Pesquisa do Estado da Bahia (FAPESB)); Financiadora de Projetos e Estudos (FINEP); CNPq(Conselho Nacional de Desenvolvimento Cientifico e Tecnologico (CNPQ))</t>
  </si>
  <si>
    <t>The authors acknowledge financial support from the Brazilian agencies Conselho Nacional de Desenvolvimento Cientifico e Tecnologico (CNPq 465497/2014-4, CNPq 442187/2018-1) , Fundacao de Amparo a &amp; nbsp;Pesquisa do Estado da Bahia (FAPESB) and Financiadora de Projetos e Estudos (FINEP, 01.14.0215.00). P.V.B. Bahia and M.M. Nascimento are researchs fellow of CNPq (process 140518/2022-3 and 383416/2022-1) .</t>
  </si>
  <si>
    <t>NOV 10</t>
  </si>
  <si>
    <t>10.1016/j.scitotenv.2023.165465</t>
  </si>
  <si>
    <t>P0BI7</t>
  </si>
  <si>
    <t>WOS:001047374900001</t>
  </si>
  <si>
    <t>Burhanuddin; Khalid, M; Ashiq, MGB; Najam, H; Alqahtani, MS; Alshahrani, T; Anwar, A; Sabah, A; Nadir, MA</t>
  </si>
  <si>
    <t>Burhanuddin, Muhammad; Khalid, Muhammad; Ashiq, M. G. B.; Najam, Hafsa; Alqahtani, Mohammed S.; Alshahrani, Thamraa; Anwar, Arshi; Sabah, Aneeqah; Nadir, M. Asadullah</t>
  </si>
  <si>
    <t>Lanthanum doped hybrid LaxBi2, xSn2O7/SnO2(8-Bi2O3) nanostructures for energy storage applications</t>
  </si>
  <si>
    <t>Pyrochlore; XRD; Dielectric; TEM; Nanohybrids</t>
  </si>
  <si>
    <t>DIELECTRIC-RELAXATION; ELECTRICAL-PROPERTIES; COMPLEX IMPEDANCE; THIN-FILM; BI2O3; PERFORMANCE; SEMICONDUCTORS; NANOPARTICLES; CONDUCTIVITY; DEGRADATION</t>
  </si>
  <si>
    <t>Hybrid-phase metal oxides are known for immense and insistent daily life applications which makes them capable and competent for tremendous number of applications such as electrode material design, energy storage devices and fuel cells. In this context, a series of LaxBi2_xSn2O7/SnO2(8-Bi2O3) nanostructures is reported, synthesized preferably by using sol-gel technique. Lanthanum was replaced with bismuth with a doping concentration of (x = 0.0-1.0) with 0.2 step size and it was finely tuned within the lattice. Presence of hybrid phase metal oxides was confirmed after XRD analysis which was consistent with TEM results. These hybrid-phase metal oxides form heterojunction, working with multifunctional pyrochlore, which increases the dielectric constant and quantum efficiency of material. Electrical parameters like AC conductivity, impedance, dielectric constant, electric modulus and tangent loss were also studied via impedance analyzer meter at high frequencies (1 MHz-3 GHz). A detailed study of relaxation mechanisms was discussed showing the different polarization stages in applied frequency range. The appearance of relaxation peaks at different frequency exhibit high dielectric constant can make a prepared hybrid nanocomposites is suitable for energy storage devices for a wide range of frequency.</t>
  </si>
  <si>
    <t>[Burhanuddin, Muhammad; Khalid, Muhammad; Najam, Hafsa; Anwar, Arshi; Nadir, M. Asadullah] Univ Karachi, Dept Phys, Karachi 75270, Pakistan; [Ashiq, M. G. B.] Imam Abdulrahman Bin Faisal Univ, Coll Sci, Dept Phys, POB 1982, Dammam 31441, Saudi Arabia; [Ashiq, M. G. B.] Imam Abdulrahman Bin Faisal Univ, Basic &amp; Appl Sci Res Ctr, POB 1982, Dammam 31441, Saudi Arabia; [Alqahtani, Mohammed S.] King Khalid Univ, Coll Appl Med Sci, Dept Radiol Sci, Abha 61421, Saudi Arabia; [Alshahrani, Thamraa] Princess Nourah Bint Abdulrahman Univ PNU, Coll Sci, Dept Phys, POB 84428, Riyadh 11671, Saudi Arabia; [Sabah, Aneeqah] Lahore Coll Women Univ LCWU, Phys Dept, Lahore, Pakistan; [Khalid, Muhammad] Univ Karachi, Dept Phys, Karachi, Pakistan</t>
  </si>
  <si>
    <t>University of Karachi; Imam Abdulrahman Bin Faisal University; Imam Abdulrahman Bin Faisal University; King Khalid University; Princess Nourah bint Abdulrahman University; University of Karachi</t>
  </si>
  <si>
    <t>Khalid, M (corresponding author), Univ Karachi, Dept Phys, Karachi 75270, Pakistan.;Ashiq, MGB (corresponding author), Imam Abdulrahman Bin Faisal Univ, Coll Sci, Dept Phys, POB 1982, Dammam 31441, Saudi Arabia.;Khalid, M (corresponding author), Univ Karachi, Dept Phys, Karachi, Pakistan.</t>
  </si>
  <si>
    <t>mkhalid@uok.edu.pk; mgulbahar@iau.edu.sa</t>
  </si>
  <si>
    <t>Princess Nourah bint Abdulrahman University, Riyadh, Saudi Arabia [PNURSP2023R1]; Deanship of Scientific Research at King Khalid University Saudi Arabia [L.R.G.P2/516/44]</t>
  </si>
  <si>
    <t>Princess Nourah bint Abdulrahman University, Riyadh, Saudi Arabia(Princess Nourah bint Abdulrahman University); Deanship of Scientific Research at King Khalid University Saudi Arabia</t>
  </si>
  <si>
    <t>This research was funded by the Princess Nourah bint Abdulrahman University Researchers Supporting Project number (PNURSP2023R1) , Princess Nourah bint Abdulrahman University, Riyadh, Saudi Arabia. The authors extend their appreciation to the Deanship of Scientific Research at King Khalid University Saudi Arabia for funding this work through large Group projects under grant number L.R.G.P2/516/44.</t>
  </si>
  <si>
    <t>10.1016/j.jallcom.2023.171245</t>
  </si>
  <si>
    <t>N9RS6</t>
  </si>
  <si>
    <t>WOS:001040305200001</t>
  </si>
  <si>
    <t>Huang, SR; Guo, JX; Xie, Y; Bian, R; Wang, N; Qi, WX; Liu, HJ</t>
  </si>
  <si>
    <t>Huang, Shier; Guo, Jiaxun; Xie, Yu; Bian, Rui; Wang, Nan; Qi, Weixiao; Liu, Huijuan</t>
  </si>
  <si>
    <t>Distribution, sources, and potential health risks of fluoride, total iodine, and nitrate in rural drinking water sources of North and East China</t>
  </si>
  <si>
    <t>Rural drinking water; Contaminant; Source apportionment; Risk assessment</t>
  </si>
  <si>
    <t>MAJOR ION CHEMISTRY; QUALITY ASSESSMENT; LAND-USE; GROUNDWATER; BASIN; ISOTOPES; IDENTIFICATION; GEOCHEMISTRY; NITROGEN; RECHARGE</t>
  </si>
  <si>
    <t>Small-scale water sources serving villages and towns are the main source of drinking water in rural areas. Compared to centralized water sources, rural water sources are less frequently monitored for water quality and have poor post-treatment facilities, making them vulnerable to drinking health risks. To reveal the hydro-chemical characteristics, contaminant sources, and health risks in rural water sources, 189 water samples were collected from lakes and reservoirs, rivers, and groundwater in North and East China for major ions, nutrient salts, microelements, and stable isotope analysis. Statistical analysis and isotopic tracing were performed, as well as human health risk assessment. The exceeding threshold rates for fluoride (F-) and nitrate (NO3-) in surface water were 1.8 % and 9.1 %, respectively. For groundwater, the exceeding threshold rates were 20.9 % for F-, 15.7 % for total iodine (TI), and 4.5 % for NO3-. F- and TI were mainly derived from the leaching of fluoride-and iodine-containing minerals by cationic exchange, and NO3- is mainly derived from nitrogen in the soil (31.7-43.9 %), the use of ammonia fertilizers (24.3-36.1 %), and the discharge of manure and sewage (19.4-31.9 %). Nitrogen in the soil can be an important source of nitrate in the aquatic environment, and soils with higher clay content have a greater retention effect on the migration of nitrogen pollutants from the surface to the ground-water. F- in water sources contributes most to human health risks for drinking, followed by NO3- and TI, and a higher proportion of groundwater (37 %) present health risks for drinking than surface water (14 %) for children. Authorities should give high priority to optimizing the choice of water sources and technology for water treatment, and rational measures should be taken to protect water sources from the threats of anthropogenic pollution.</t>
  </si>
  <si>
    <t>[Huang, Shier; Guo, Jiaxun; Xie, Yu; Bian, Rui; Wang, Nan; Qi, Weixiao; Liu, Huijuan] Tsinghua Univ, Ctr Water &amp; Ecol, Sch Environm, State Key Joint Lab Environm Simulat &amp; Pollut Cont, Beijing 100084, Peoples R China</t>
  </si>
  <si>
    <t>Qi, WX (corresponding author), Tsinghua Univ, Ctr Water &amp; Ecol, Sch Environm, State Key Joint Lab Environm Simulat &amp; Pollut Cont, Beijing 100084, Peoples R China.</t>
  </si>
  <si>
    <t>wxqi@mail.tsinghua.edu.cn</t>
  </si>
  <si>
    <t>National Key Research and Development Program of China [2019YFD1100101-02]</t>
  </si>
  <si>
    <t>This work was supported by the National Key Research and Development Program of China (No. 2019YFD1100101-02) .</t>
  </si>
  <si>
    <t>10.1016/j.scitotenv.2023.165561</t>
  </si>
  <si>
    <t>O9XR2</t>
  </si>
  <si>
    <t>WOS:001047278900001</t>
  </si>
  <si>
    <t>Humbert, SC; Orchini, A</t>
  </si>
  <si>
    <t>Humbert, Sylvain C.; Orchini, Alessandro</t>
  </si>
  <si>
    <t>Acoustics of can-annular combustors: Experimental characterisation and modelling of a lab-scale multi-can setup with adjustable geometry</t>
  </si>
  <si>
    <t>Can-annular acoustic setup; Measurements of acoustic coupling; Acoustic modelling; Helmholtz calculations</t>
  </si>
  <si>
    <t>CROSS-TALK</t>
  </si>
  <si>
    <t>In can-annular combustors, a narrow can-turbine junction leads to an acoustic coupling between the cans, yielding unique features that greatly impact the (thermo)acoustic response of these geometries. To investigate these features, we designed and assembled a modular lab-scale can-annular system equipped with 12 cans connected downstream by a short annulus, creating an annular gap that models the can-turbine junction. The acoustic response of the setup is measured experimentally for various gap heights on a broad range of frequencies. We observe that eigenfrequencies form clusters, confirming recent theory. To aid the analysis of the experimental results, a low-order model is proposed, which has analogies with methods recently developed for studying azimuthal modes in annular combustors using azimuthal averaging. Our model accounts for the fact that the azimuthal structure of the modeshapes is not purely sinusoidal, and for the influence of the can's first transverse mode. We observe that the eigenfrequencies obtained experimentally are well predicted by the low-order model. The experimental and low-order model results are then compared to 3D Helmholtz calculations, which allow us to visualise the 3D acoustic modeshapes, assess the validity of the assumptions used in the low-order model, and test the low-order model beyond the parameter range achievable in our experiments. Last, we discuss how the behaviour of the low-frequency clusters can be predicted qualitatively without calculations. Our experiments are the first to characterise the presence of clusters of eigenvalues in the acoustic response of a can-annular setup as a function of the can-turbine junction size.</t>
  </si>
  <si>
    <t>[Humbert, Sylvain C.; Orchini, Alessandro] Tech Univ Berlin, ISTA, D-10623 Berlin, Germany</t>
  </si>
  <si>
    <t>Technical University of Berlin</t>
  </si>
  <si>
    <t>Orchini, A (corresponding author), Tech Univ Berlin, ISTA, D-10623 Berlin, Germany.</t>
  </si>
  <si>
    <t>a.orchini@tu-berlin.de</t>
  </si>
  <si>
    <t>German Research Foundation (DFG); [42203780]</t>
  </si>
  <si>
    <t>German Research Foundation (DFG)(German Research Foundation (DFG));</t>
  </si>
  <si>
    <t>Acknowledgement This project was funded by the German Research Foundation (DFG) (Grant No. 42203780) . The authors would like to thank Mohanad Rashwan for the help in the design of parts of the experimental setup and for his support with the experiments.</t>
  </si>
  <si>
    <t>10.1016/j.jsv.2023.117864</t>
  </si>
  <si>
    <t>Q4PZ1</t>
  </si>
  <si>
    <t>WOS:001057369600001</t>
  </si>
  <si>
    <t>Khan, R; Yan, WJ; Ahmad, W; Wan, ZW; Hussain, S; Zeb, A; Saleem, MF; Ling, M; Liang, CD</t>
  </si>
  <si>
    <t>Khan, Rashid; Yan, Wenjun; Ahmad, Waqar; Wan, Zhengwei; Hussain, Shabab; Zeb, Akif; Saleem, Muhammad Farooq; Ling, Min; Liang, Chengdu</t>
  </si>
  <si>
    <t>Role of moderate strain engineering in Nickel Sulfide anode for advanced sodium-ion batteries</t>
  </si>
  <si>
    <t>Sodium-ion batteries; Lattice strain engineering; Nickel sulfide; Ball milling; Anode; Nanocomposite</t>
  </si>
  <si>
    <t>CATHODE</t>
  </si>
  <si>
    <t>The lattice strain engineering of sodium storage materials is of great significance for developing reliable sodiumion batteries (SIBs). Lattice strain engineering controls the structural evolution during sodium ion insertion/ extraction and minimizes the aggregation of active material and volume expansion during cycling. Herein, the ball milling technique is used to tune the lattice strain of NiS nanocomposite, which was later employed as anode material in SIBs. The structurally tuned anode exhibits high sodiation capacity, good rate capability (495.7 mAh g-1 at 0.2 A g-1, 383.2 mAhg- 1 at 15 Ag-1), and exceptional cycling performance (16,000 cycles at 5 A g-1). Significantly, introducing a considerable amount of moderate strain into the structure by the ball milling technique, researchers can solve the problem of structure instability, volume expansion, and high-capacity loss of the electrode materials during repeated cycling. Therefore, lattice strain engineering using ball milling is a potential approach that may open the door to more sustainable and functional SIBs.</t>
  </si>
  <si>
    <t>[Khan, Rashid; Ahmad, Waqar; Wan, Zhengwei; Hussain, Shabab; Zeb, Akif; Ling, Min; Liang, Chengdu] Zhejiang Univ, Coll Chem &amp; Biol Engn, Zhejiang Prov Key Lab Adv Chem Engn Manufacture Te, Hangzhou 310027, Peoples R China; [Yan, Wenjun] Hangzhou Dianzi Univ, Sch Automat, Hangzhou 310018, Peoples R China; [Saleem, Muhammad Farooq] Chinese Acad Sci, GBA Branch Aerosp Informat Res Inst, Guangzhou 510700, Peoples R China</t>
  </si>
  <si>
    <t>Zhejiang University; Hangzhou Dianzi University; Chinese Academy of Sciences</t>
  </si>
  <si>
    <t>Ling, M; Liang, CD (corresponding author), Zhejiang Univ, Coll Chem &amp; Biol Engn, Zhejiang Prov Key Lab Adv Chem Engn Manufacture Te, Hangzhou 310027, Peoples R China.;Yan, WJ (corresponding author), Hangzhou Dianzi Univ, Sch Automat, Hangzhou 310018, Peoples R China.</t>
  </si>
  <si>
    <t>yanwenjun@hdu.edu.cn; minling@zju.edu.cn; cdliang@zju.edu.cn</t>
  </si>
  <si>
    <t>Saleem, Muhammad Farooq/GQH-5037-2022; Zeb, Akif/GYE-3373-2022</t>
  </si>
  <si>
    <t>Saleem, Muhammad Farooq/0000-0001-6133-0810; Zeb, Akif/0000-0003-2188-6704; Ling, Min/0000-0003-4428-5370</t>
  </si>
  <si>
    <t>National Natural Science Foundation of China [52172244]; Leading Innovative and Entrepreneur Team Introduction Program of Zhejiang [2019R01006]</t>
  </si>
  <si>
    <t>National Natural Science Foundation of China(National Natural Science Foundation of China (NSFC)); Leading Innovative and Entrepreneur Team Introduction Program of Zhejiang</t>
  </si>
  <si>
    <t>This work was supported by the National Natural Science Foundation of China (52172244) and the Leading Innovative and Entrepreneur Team Introduction Program of Zhejiang (2019R01006) .</t>
  </si>
  <si>
    <t>10.1016/j.jallcom.2023.171196</t>
  </si>
  <si>
    <t>P1MM1</t>
  </si>
  <si>
    <t>WOS:001048350800001</t>
  </si>
  <si>
    <t>Kim, J; Bang, J; Ryu, B; Kim, CY; Park, JH</t>
  </si>
  <si>
    <t>Kim, Jin; Bang, Junpil; Ryu, Bokyeong; Kim, C-Yoon; Park, Jae-Hak</t>
  </si>
  <si>
    <t>Flubendazole exposure disrupts neural development and function of zebrafish embryos (Danio rerio)</t>
  </si>
  <si>
    <t>Flubendazole; Zebrafish; Developmental neurotoxicity; Axonopathy; Neural function</t>
  </si>
  <si>
    <t>TOXICITY; PHARMACEUTICALS; BENZIMIDAZOLES; VERTEBRATE; BRAIN</t>
  </si>
  <si>
    <t>Flubendazole (FBZ) is a benzimidazole anthelmintic drug widely used for treating parasitic infections by disrupting microtubule formation and function through tubulin binding. Recently, its use has extended to include anticancer applications, leading to increased environmental exposure to benzimidazole drugs. However, the impact of FBZ on neural development in aquatic organisms, particularly in aquatic vertebrates, remains poorly understood. This study aimed to investigate the potential developmental toxicity of FBZ during neural development using zebrafish model. Various assessments, including analysis of overall developmental changes, morphological abnormalities, apoptosis, gene expression alterations, axon length measurements, and electrophysiological neural function, were performed. FBZ exposure resulted in concentration-dependent effects on survival rate, hatching rate, heartbeat, and the occurrence of developmental abnormalities. Notably, FBZ-induced changes included reductions in body length, head size, and eye size, as well as the detection of apoptotic cells in the central nervous system. Gene expression analysis revealed upregulation of apoptosis-related genes (p53, casp3, and casp8), downregulation of neural differentiation-related genes (shha, nrd, ngn1, and elavl3), and alterations in neural maturation and axon growth-related genes (gap43, mbp, and syn2a). Additionally, shortened motor neuron axon length and impaired electrophysiological neural function were observed. These findings provide novel insights into the potential risks of FBZ on the neural development of zebrafish embryos, emphasizing the need for risk prevention strategies and therapeutic approaches to address the environmental toxicity of benzimidazole anthelmintics.</t>
  </si>
  <si>
    <t>[Kim, Jin; Kim, C-Yoon] Konkuk Univ, Coll Vet Med, Seoul, South Korea; [Bang, Junpil; Park, Jae-Hak] Seoul Natl Univ, Coll Vet Med, Lab Anim Med, Seoul 08826, South Korea; [Ryu, Bokyeong] Jeju Natl Univ, Coll Appl Life Sci, Dept Biomed Informat, Jeju, South Korea</t>
  </si>
  <si>
    <t>Konkuk University; Seoul National University (SNU); Jeju National University</t>
  </si>
  <si>
    <t>Park, JH (corresponding author), Seoul Natl Univ, Coll Vet Med, Lab Anim Med, Seoul 08826, South Korea.</t>
  </si>
  <si>
    <t>pjhak@snu.ac.kr</t>
  </si>
  <si>
    <t>Brain Korea 21 PLUS Program for Creative Veterinary Science Research, Research Institute for Veterinary Science College of Veterinary Medicine of Seoul National University; Konkuk University; Ministry of Food and Drug Safety [23212MFDS216]</t>
  </si>
  <si>
    <t>Brain Korea 21 PLUS Program for Creative Veterinary Science Research, Research Institute for Veterinary Science College of Veterinary Medicine of Seoul National University; Konkuk University; Ministry of Food and Drug Safety(Ministry of Food &amp; Drug Safety (MFDS), Republic of Korea)</t>
  </si>
  <si>
    <t>This study was partially supported by the Brain Korea 21 PLUS Program for Creative Veterinary Science Research, Research Institute for Veterinary Science College of Veterinary Medicine of Seoul National University, the KU Research Professor Program of Konkuk University, and a grant (23212MFDS216) from Ministry of Food and Drug Safety. The Tg(olig2-dsRED) zebra fish was provided by the Zebra fish Center for Disease Modeling (Chungnam National University, Daejeon, Korea) .</t>
  </si>
  <si>
    <t>10.1016/j.scitotenv.2023.165376</t>
  </si>
  <si>
    <t>O1LB1</t>
  </si>
  <si>
    <t>WOS:001041492800001</t>
  </si>
  <si>
    <t>Lefebvre, C; Le Bihanic, F; Jalon-Rojas, I; Dusacre, E; Chassaigne--Viscaino, L; Bichon, J; Clerandeau, C; Morin, B; Lecomte, S; Cachot, J</t>
  </si>
  <si>
    <t>Lefebvre, Charlotte; Le Bihanic, Florane; Jalon-Rojas, Isabel; Dusacre, Edgar; Chassaigne--Viscaino, Lucas; Bichon, Jeyan; Clerandeau, Christelle; Morin, Benedicte; Lecomte, Sophie; Cachot, Jerome</t>
  </si>
  <si>
    <t>Spatial distribution of anthropogenic particles and microplastics in a meso-tidal lagoon (Arcachon Bay, France): A multi-compartment approach</t>
  </si>
  <si>
    <t>Atlantic coast; Microplastic; Sea surface; Water column; Sediment; Oyster</t>
  </si>
  <si>
    <t>MARINE-ENVIRONMENT; SYNTHETIC-FIBERS; WATER COLUMN; TRANSPORT; ABUNDANCE; POLLUTION; OCEAN; ACCUMULATION; ZOOPLANKTON; EXTRACTION</t>
  </si>
  <si>
    <t>Assessment of microplastic (MP) contamination is still needed to evaluate this threat correctly and tackle this issue. Here, MP contamination was assessed for a meso-tidal lagoon of the Atlantic coast (Arcachon Bay, France). Sea surface, water column, intertidal sediments and wild oysters were sampled. Five different stations were studied to assess the spatial distribution of the contamination. Two were outside of the bay and three were inside the bay (from the inlet to the back). A distinction was made between all anthropogenic particles (AP, i.e. visually sorted) and MP (i.e. plastic polymer confirmed by ATR-FTIR spectroscopy). The length of particles recovered in this study ranged between 17 jim and 5 mm. Concentration and composition in sea surface and water column samples showed spatial variations while sediment and oyster samples did not. At outside stations, the sea surface and the water column presented a blended composition regarding shapes and polymers and low to high concentrations (e.g. 0.16 &amp; PLUSMN; 0.08 MP.m  3 and 561.7 &amp; PLUSMN; 68.5 MP.m  3, respectively for sea surface and water column), which can be due to coastal processes and nearby input sources. The inlet station displayed a well-marked pattern only at the sea surface. High AP and MP concentrations were recorded, and fragments along with polyethylene overwhelmed (respectively 76.0 % and 73.2 %). Higher surface currents could explain this pattern. At the bay back, AP and MP concentrations were lower and fibers were mainly recorded. Weaker hydrodynamics in this area was suspected to drive this contamination profile. Overall, fragments and buoyant particles were mainly detected at the sea surface while fibers and negatively buoyant particles prevailed in other compartments. Most of the studied samples presented an important contribution of fiber-shaped particles (from 31.5 % to 94.2 %). Finally, contamination was ubiquitous as AP and MP were found at all stations in all sample types.</t>
  </si>
  <si>
    <t>[Lefebvre, Charlotte; Le Bihanic, Florane; Jalon-Rojas, Isabel; Dusacre, Edgar; Chassaigne--Viscaino, Lucas; Clerandeau, Christelle; Morin, Benedicte; Cachot, Jerome] Univ Bordeaux, CNRS, Bordeaux INP, EPOC,UMR 5805, F-33600 Pessac, France; [Lefebvre, Charlotte; Bichon, Jeyan; Lecomte, Sophie] Univ Bordeaux, CNRS, Bordeaux INP, CBMN,UMR 5248, F-33600 Pessac, France; [Lefebvre, Charlotte; Cachot, Jerome] Univ Bordeaux, EPOC UMR Batiment 5805 B2, allee Geoffroy St Hilaire CS50023, F-33615 Bordeaux, France</t>
  </si>
  <si>
    <t>UDICE-French Research Universities; Universite de Bordeaux; Centre National de la Recherche Scientifique (CNRS); CNRS - National Institute for Earth Sciences &amp; Astronomy (INSU); UDICE-French Research Universities; Universite de Bordeaux; Centre National de la Recherche Scientifique (CNRS); CNRS - Institute of Chemistry (INC); UDICE-French Research Universities; Universite de Bordeaux</t>
  </si>
  <si>
    <t>Lefebvre, C; Cachot, J (corresponding author), Univ Bordeaux, CNRS, Bordeaux INP, EPOC,UMR 5805, F-33600 Pessac, France.;Lefebvre, C; Cachot, J (corresponding author), Univ Bordeaux, EPOC UMR Batiment 5805 B2, allee Geoffroy St Hilaire CS50023, F-33615 Bordeaux, France.</t>
  </si>
  <si>
    <t>charlotte.lefebvre40@gmail.com; jerome.cachot@u-bordeaux.fr</t>
  </si>
  <si>
    <t>10.1016/j.scitotenv.2023.165460</t>
  </si>
  <si>
    <t>O9FG0</t>
  </si>
  <si>
    <t>WOS:001046798200001</t>
  </si>
  <si>
    <t>Liu, JJ; Li, C; Ma, WD; Wu, ZX; Liu, W; Wu, WX</t>
  </si>
  <si>
    <t>Liu, Jingjing; Li, Chun; Ma, Wendan; Wu, Zengxue; Liu, Wei; Wu, Weixiang</t>
  </si>
  <si>
    <t>Exploitation alters microbial community and its co-occurrence patterns in ionic rare earth mining sites</t>
  </si>
  <si>
    <t>Rare earth elements; Exploitation; Microbial community; Co-occurrence network; Stability</t>
  </si>
  <si>
    <t>AMMONIA-OXIDIZING ARCHAEA; BACTERIAL COMMUNITY; CONTAMINATED SOILS; METAL POLLUTION; PH; DIVERSITY; MINE; ELEMENTS; ADSORPTION; CARBON</t>
  </si>
  <si>
    <t>The exploitation of ion-adsorption rare earth elements (REEs) deposits results in serious ecological and environmental problems, which has attracted much attention. However, the influences of exploitation on the prokaryotic communities and their complex interactions remain poorly understood. In the present study, bacterial and archaeal communities, as well as ammonia-oxidizing bacteria (AOB) and ammonia-oxidizing archaea (AOA), in and around REEs mining area were investigated through high throughput sequencing and quantitative polymerase chain reaction (qPCR). Our results indicated that mining soil was characterized by poor soil structure, nutrient deficiency, and high concentrations of residual REEs. Oligotrophic bacteria (e.g., Chloroflexi and Acidobacteriota) were dominant in unexploited soil and mining soil, while copiotrophic bacteria (Proteobacteria and Actinobacteriota) were more abundant in surrounding soil. Nutrient was the key factor affecting microbial variation and abundance in mining soil. The bacterial community was more sensitive to REEs, while the archaeal communities were relatively stable. As the key members for ammonia oxidation, AOA outnumbered AOB in all the soil types, and the former was significantly influenced by pH, nutrients, and TREEs in mining soil. The microbial co-occurrence network analysis demonstrated that exploitation significantly influenced topological properties, decreased the complexity, and resulted in a much unstable network, leading to a more fragile microbial ecosystem in mining areas. Notably, the abundance of keystone taxa decreased after exploitation, and oligotrophic groups (Chloroflexi) replaced copiotrophic groups (Proteobacteria and Actinobacteriota) as the key to rebuilt a co-occurrence network, suggesting potentially important roles in maintaining network stability. The current results are of great significance to the ecological risk assessment of REEs exploitation.</t>
  </si>
  <si>
    <t>[Liu, Jingjing; Li, Chun; Ma, Wendan; Wu, Zengxue] Jiangxi Univ Sci &amp; Technol, Sch Energy &amp; Machinery Engn, Nanchang 330013, Peoples R China; [Liu, Jingjing] Jiangxi Key Lab Min &amp; Met Environm Pollut Control, Ganzhou 341099, Peoples R China; [Liu, Wei] Hebei Univ, Coll Chem &amp; Environm Sci, Baoding 071002, Peoples R China; [Wu, Weixiang] Zhejiang Univ, Coll Pharmaceut Sci, Hangzhou 310030, Peoples R China; [Liu, Jingjing] Jiangxi Univ Sci &amp; Technol, Sch Energy &amp; Machinery Engn, Shuanggang East Rd 1180, Nanchang, Peoples R China</t>
  </si>
  <si>
    <t>Jiangxi University of Science &amp; Technology; Hebei University; Zhejiang University; Jiangxi University of Science &amp; Technology</t>
  </si>
  <si>
    <t>Liu, JJ (corresponding author), Jiangxi Univ Sci &amp; Technol, Sch Energy &amp; Machinery Engn, Shuanggang East Rd 1180, Nanchang, Peoples R China.</t>
  </si>
  <si>
    <t>jingjingliu1985@163.com</t>
  </si>
  <si>
    <t>Wu, Weixiang/G-9828-2013</t>
  </si>
  <si>
    <t>National Natural Science Foundation of China [20224BAB203041]; Natural Science Foundation of Jiangxi Province; [31760157]</t>
  </si>
  <si>
    <t>National Natural Science Foundation of China(National Natural Science Foundation of China (NSFC)); Natural Science Foundation of Jiangxi Province(Natural Science Foundation of Jiangxi Province);</t>
  </si>
  <si>
    <t>Acknowledgments This work was supported by the National Natural Science Foundation of China (Grant No. 31760157) and the Natural Science Foundation of Jiangxi Province (20224BAB203041) .</t>
  </si>
  <si>
    <t>10.1016/j.scitotenv.2023.165532</t>
  </si>
  <si>
    <t>Q0PQ7</t>
  </si>
  <si>
    <t>WOS:001054625100001</t>
  </si>
  <si>
    <t>Meng, XY; Zhao, HB; Zhao, Y; Shen, L; Gu, GH; Qiu, GZ</t>
  </si>
  <si>
    <t>Meng, Xiaoyu; Zhao, Hongbo; Zhao, Yu; Shen, Li; Gu, Guohua; Qiu, Guanzhou</t>
  </si>
  <si>
    <t>Heap leaching of ion adsorption rare earth ores and REEs recovery from leachate with lixiviant regeneration</t>
  </si>
  <si>
    <t>Ion-adsorption rare earth ore; Noncontact bioleaching; Heap leaching; REEs precipitation</t>
  </si>
  <si>
    <t>MASS-TRANSFER; ELEMENTS; ELUTION; CHEMISTRY; METALS; WATER</t>
  </si>
  <si>
    <t>In this work, semi-industrial scale heap leaching of 200 t ion adsorption rare earth ores (IRE-ore) and rare earth elements (REEs) recovery from lixivium was first conducted. Biosynthetic citrate/(Na)3Cit, a typical microbial metabolite, was chosen as the lixiviant to conduct heap leaching. Subsequently, an organic precipitation method was proposed, which used oxalic acid to effectively recover REEs and reduce the production cost by lixiviant regeneration. The results showed that the heap leaching efficiency of REEs reached 98 % with a lixiviant concentration of 50 mmol/L and a solid-liquid ratio of 1:2. The lixiviant can be regenerated during the precipitation process, with REE yields and impurity aluminum yields of 94.5 % and 7.4 %, respectively. The residual solution can then be cyclically used as a new lixiviant after simple adjustment. High-quality rare earth concentrates with a rare earth oxide (REO) content of 96 % can be finally obtained after roasting. This work provides an eco-friendly alternative for IRE-ore extraction to solve the environmental issues caused by traditional technology. The results proved feasibility and provided a foundation for in situ (bio)leaching processes in further industrial tests and production.</t>
  </si>
  <si>
    <t>Cent South Univ, Sch Minerals Proc &amp; Bioengn, Changsha, Hunan, Peoples R China; Minist Educ, Key Lab Biohydrometallurgy, Changsha, Hunan, Peoples R China</t>
  </si>
  <si>
    <t>Central South University</t>
  </si>
  <si>
    <t>Zhao, HB; Gu, GH (corresponding author), 932 Lushan South Rd, Changsha, Hunan, Peoples R China.</t>
  </si>
  <si>
    <t>zhbalexander@csu.edu.cn; guguohua@126.com</t>
  </si>
  <si>
    <t>National Key Research and Devel-opment Program of China [2022YFE0119600]; National Natural Science Foundation of China [52222406, 52274289]</t>
  </si>
  <si>
    <t>National Key Research and Devel-opment Program of China; National Natural Science Foundation of China(National Natural Science Foundation of China (NSFC))</t>
  </si>
  <si>
    <t>This work was supported by the National Key Research and Devel-opment Program of China (2022YFE0119600) and National Natural Science Foundation of China (52222406, 52274289) . The authors also would like to thank Shiyanjia Lab ( www.shiyanjia.com ) for the help of ICP-OES analysis.</t>
  </si>
  <si>
    <t>10.1016/j.scitotenv.2023.165417</t>
  </si>
  <si>
    <t>O6OO3</t>
  </si>
  <si>
    <t>WOS:001044980300001</t>
  </si>
  <si>
    <t>Tosini, L; Cartereau, M; Le Bagousse-Pinguet, Y; Laffont-Schwob, I; Prudent, P; Da Silva, AMF; Montes, N; Labrousse, Y; Vassalo, L; Folzer, H</t>
  </si>
  <si>
    <t>Tosini, Lorene; Cartereau, Manuel; Le Bagousse-Pinguet, Yoann; Laffont-Schwob, Isabelle; Prudent, Pascale; Da Silva, Anne-Marie Farnet; Montes, Nicolas; Labrousse, Yoan; Vassalo, Laurent; Folzer, Helene</t>
  </si>
  <si>
    <t>Plant biodiversity offsets negative effects of metals and metalloids soil multi-contamination on ecosystem multifunctionality</t>
  </si>
  <si>
    <t>Inorganic pollution; Phylogenetic diversity; Soil-plant-microorganism continuum; Species dominance; Soil functioning</t>
  </si>
  <si>
    <t>INTRASPECIFIC VARIABILITY; MICROBIAL COMMUNITIES; SPECIES RICHNESS; HEAVY-METALS; R PACKAGE; DIVERSITY; RESISTANCE; BIOMASS; ROOT; MAINTENANCE</t>
  </si>
  <si>
    <t>Despite increasing metals and metalloids (MM) human-driven soil contamination, how it simultaneously alters biodiversity and ecosystem functioning remains unknown. We used a wide gradient of a 170-year-old MM soil multi-contamination in Mediterranean scrublands to assess the effects of soil multi-contamination on multiple plant biodiversity facets, microbial communities and ecosystem multifunctionality (EMF). We found an overall positive effect of plant biodiversity on EMF mediated by microbial communities, and allowing offsetting the negative impacts of MM soil multi-contamination, especially on soil water holding capacity and nitrogen content. The diversity of distant plant lineages was the key facet promoting EMF by enhancing microbial communities, whereas the subordinate species richness altered EMF. By developing a holistic approach of these complex relationships between soil multi-contamination, plant biodiversity, microbial communities and ecosystem functioning, our results reveal the potential of plant biodiversity, and especially the diversity of evolutionary distant species, to offset the alteration of ecosystem functioning by MM soil multi-contamination. In this worldwide decade of ecosystems restoration, our study helps to identify relevant facets of plant biodiversity promoting contaminated ecosystem functioning, which is crucial to guide and optimize management efforts aiming to restore ecosystems and preserve human health.</t>
  </si>
  <si>
    <t>[Tosini, Lorene; Laffont-Schwob, Isabelle; Montes, Nicolas; Labrousse, Yoan] Aix Marseille Univ, IRD, LPED, Marseille, France; [Tosini, Lorene; Cartereau, Manuel; Le Bagousse-Pinguet, Yoann; Da Silva, Anne-Marie Farnet; Vassalo, Laurent; Folzer, Helene] Aix Marseille Univ, Avignon Univ, CNRS, IRD,IMBE, Marseille, France; [Prudent, Pascale; Vassalo, Laurent] Aix Marseille Univ, CNRS, LCE, Marseille, France; [Tosini, Lorene] Aix Marseille Univ, LPED UMR IRD 151, Case 10,3 Pl Victor Hugo,CS80249, F-13331 Marseille 03, France</t>
  </si>
  <si>
    <t>UDICE-French Research Universities; Aix-Marseille Universite; Institut de Recherche pour le Developpement (IRD); UDICE-French Research Universities; Aix-Marseille Universite; Institut de Recherche pour le Developpement (IRD); Avignon Universite; Centre National de la Recherche Scientifique (CNRS); UDICE-French Research Universities; Aix-Marseille Universite; Centre National de la Recherche Scientifique (CNRS); UDICE-French Research Universities; Aix-Marseille Universite</t>
  </si>
  <si>
    <t>Tosini, L (corresponding author), Aix Marseille Univ, LPED UMR IRD 151, Case 10,3 Pl Victor Hugo,CS80249, F-13331 Marseille 03, France.</t>
  </si>
  <si>
    <t>lorene.tosini@univ-amu.fr; manuel.cartereau@imbe.fr; yoann.pinguet@imbe.fr; isabelle.schwob@univ-amu.fr; pascale.prudent@univ-amu.fr; a-m.farnet@univ-amu.fr; nicolas.montes@univ-amu.fr; yoan.labrousse@ird.fr; laurent.vassalo@univ-amu.fr; lorene.tosini@univ-amu.fr</t>
  </si>
  <si>
    <t>Calanques national park (INTERBIO project); A*MIDEX foundation - Investissements d'Avenir French Government program [ANR-11-IDEX-0001-02]</t>
  </si>
  <si>
    <t>Calanques national park (INTERBIO project); A*MIDEX foundation - Investissements d'Avenir French Government program(Agence Nationale de la Recherche (ANR))</t>
  </si>
  <si>
    <t>This work was financially supported by the Calanques national park (INTERBIO project) , the A*MIDEX foundation (SynTerCalM project, ANR-11-IDEX-0001-02) funded by the Investissements d'Avenir French Government program and managed by the French National Research Agency, and the ECCOREV federation (RISK project) . We also thank the Calanques national park for sampling authorizations. Many thank Margot Cardenas Saavedra, Laurine Dariel, Roberto Alex Arencibia Celestrin, Laura March, and Ariane Moulinec for their technical help during field sampling and laboratory work.</t>
  </si>
  <si>
    <t>10.1016/j.scitotenv.2023.165567</t>
  </si>
  <si>
    <t>O9UH6</t>
  </si>
  <si>
    <t>WOS:001047190900001</t>
  </si>
  <si>
    <t>Xi, Y; Diao, LY; Wang, ZY; Jin, Z; Wang, YL; Liu, WH; Wen, DS; Li, HX; Sun, C; Lu, JQ</t>
  </si>
  <si>
    <t>Xi, Yu; Diao, Leiyu; Wang, Ziyi; Jin, Zi; Wang, Yilin; Liu, Wenhua; Wen, Dongsheng; Li, Hongxin; Sun, Cong; Lu, Jiqi</t>
  </si>
  <si>
    <t>Toxicity of leachate from smoked cigarette butts to terrestrial animals: A case study on the earthworm Eisenia fetida</t>
  </si>
  <si>
    <t>Eisenia fetida; Smoked cigarette butt leachate; Toxicity; Survival; Environmental protection</t>
  </si>
  <si>
    <t>WASTE; NICOTINE; EXPOSURE</t>
  </si>
  <si>
    <t>Cigarette butts, as easily overlooked littered wastes, have been evaluated for toxicity in various researches. In this study, we investigated the toxic effects of smoked cigarette butt leachate (SCBL) on the earthworm Eisenia fetida. The results showed the following: 1) E. fetida avoided SCBL in artificial soil, and the avoidance rate was positively correlated with the concentration of SCBL but negatively correlated with the exposure time; 2) the LD50 of SCBL on earthworms at 36 and 48 h of exposure were 3.71 x 10-4 and 2.67 x 10-4 butts/cm2, respectively. Moreover, both the body surface and intestinal tissues of E. fetida were damaged after exposure to SCBL; 3) the survival rates of E. fetida exposed to artificial soil with an SCBL of 3.6 butts/kg for 7 and 14 days were 80.00 &amp; PLUSMN; 7.07 % and 68.00 &amp; PLUSMN; 4.47 %, respectively; and 4) the mean biomass of the surviving E. fetida in all treated groups decreased with increasing SCBL concentration and exposure time. We concluded that SCBL exerted significant negative effects on soil animals, and suggested that SCBs should be collected, detoxified, and reused before entering the natural environment.</t>
  </si>
  <si>
    <t>[Xi, Yu; Diao, Leiyu; Wang, Ziyi; Jin, Zi; Wang, Yilin; Liu, Wenhua; Wen, Dongsheng; Li, Hongxin; Sun, Cong; Lu, Jiqi] Zhengzhou Univ, Sch Life Sci, Zhengzhou 450001, Peoples R China; [Xi, Yu; Lu, Jiqi] Zhengzhou Univ, Inst Biodivers &amp; Ecol, Zhengzhou 450001, Peoples R China</t>
  </si>
  <si>
    <t>Zhengzhou University; Zhengzhou University</t>
  </si>
  <si>
    <t>Lu, JQ (corresponding author), Zhengzhou Univ, Sch Life Sci, Zhengzhou 450001, Peoples R China.</t>
  </si>
  <si>
    <t>lujq@zzu.edu.cn</t>
  </si>
  <si>
    <t>National Undergraduate Innovation and Entrepreneurship Training Program [202110459222, 202210459086]</t>
  </si>
  <si>
    <t>National Undergraduate Innovation and Entrepreneurship Training Program</t>
  </si>
  <si>
    <t>This work was funded by the National Undergraduate Innovation and Entrepreneurship Training Program (202110459222 and 202210459086) .</t>
  </si>
  <si>
    <t>10.1016/j.scitotenv.2023.165531</t>
  </si>
  <si>
    <t>O8VX2</t>
  </si>
  <si>
    <t>WOS:001046552600001</t>
  </si>
  <si>
    <t>Zhou, MD; Jin, XL; Jiang, M; Lu, XG; Lou, YJ</t>
  </si>
  <si>
    <t>Zhou, Mengdie; Jin, Xianglong; Jiang, Ming; Lu, Xianguo; Lou, Yanjing</t>
  </si>
  <si>
    <t>Helophytes adapt to water and N-enrichment stresses by adjusting and coordinating stoichiometry characteristics in main organs</t>
  </si>
  <si>
    <t>Ecological stoichiometry; Water stress; Nutrient stress; Organ coordination; Adaptation strategies; Wetland plants</t>
  </si>
  <si>
    <t>PHYSIOLOGICAL-RESPONSES; NUTRIENT RESORPTION; PLANT-GROWTH; ROOT TRAITS; NITROGEN; DROUGHT; LEAF; PHOSPHORUS; ALLOCATION; MACROPHYTES</t>
  </si>
  <si>
    <t>Exploring the adaptation strategies of plants under stressful environments from an ecological stoichiometry perspective is a critical but underexplored research topic, and multi-organ collaborative research for multispecies can provide a comprehensive understanding. In this study, helophytes were selected as the subjects, and water depth and water N-enrichment were set as the stressors. A simulation experiment including three water depths (drought stress, control and flooding stress) and four water N-enrichment levels (control, low, medium and high N-enrichment stresses) for six helophyte species was carried out. Overall, C concentrations in all plant organs remained stable under water (drought-flooding stress) and N-enrichment stress. N concentrations increased under both flooding and drought stresses, while P concentrations and the N:P ratio showed an increase and decrease under only flooding stress, respectively. N concentration and N:P ratio increased with water Nenrichment level. The interaction only promoted the accumulation of N concentrations in aboveground organs. Especially, several species also changed organ C concentrations to adapt to water stress and adjusted root N concentrations for the combined stresses of flooding or drought and high N. Leaf and stem were strongly synergistic in N element, and leaf and root were mainly synergistic in P element. Water N-enrichment determined organ element concentrations more than water depth, and species identity dictated organ C:N:P ratios. Our results reveal that the allocation and synergy of nutrients among organs are important adaptive strategies for plants in stressful environments. Meanwhile, increasing water N-enrichment can be an unignored stressor, and species identity should be paid attention as a countermeasure.</t>
  </si>
  <si>
    <t>[Zhou, Mengdie; Jin, Xianglong; Jiang, Ming; Lu, Xianguo; Lou, Yanjing] Chinese Acad Sci, Northeast Inst Geog &amp; Agroecol, Key Lab Wetland Ecol &amp; Environm, Changchun 130102, Peoples R China; [Zhou, Mengdie; Jin, Xianglong; Jiang, Ming; Lu, Xianguo; Lou, Yanjing] Chinese Acad Sci, Northeast Inst Geog &amp; Agroecol, Jilin Prov Joint Key Lab Changbai Mt Wetland &amp; Eco, Changchun 130102, Peoples R China; [Zhou, Mengdie; Jin, Xianglong] Univ Chinese Acad Sci, Beijing 100049, Peoples R China</t>
  </si>
  <si>
    <t>Chinese Academy of Sciences; Northeast Institute of Geography &amp; Agroecology, CAS; Chinese Academy of Sciences; Northeast Institute of Geography &amp; Agroecology, CAS; Chinese Academy of Sciences; University of Chinese Academy of Sciences, CAS</t>
  </si>
  <si>
    <t>Lou, YJ (corresponding author), Chinese Acad Sci, Northeast Inst Geog &amp; Agroecol, Key Lab Wetland Ecol &amp; Environm, Changchun 130102, Peoples R China.;Lou, YJ (corresponding author), Chinese Acad Sci, Northeast Inst Geog &amp; Agroecol, Jilin Prov Joint Key Lab Changbai Mt Wetland &amp; Eco, Changchun 130102, Peoples R China.</t>
  </si>
  <si>
    <t>louyj@iga.ac.cn</t>
  </si>
  <si>
    <t>National Natural Science Foundation of China [42171065, 41671109, 41371107]</t>
  </si>
  <si>
    <t>We are grateful for the assistance of Jiangshan Bai with experimental design and sample collection. We also thank Haoran Tang, Dongjia Yu and Pangwei Li for their help with sample analysis. This study was supported by the National Natural Science Foundation of China (No. 42171065, 41671109, and 41371107) .</t>
  </si>
  <si>
    <t>10.1016/j.scitotenv.2023.165538</t>
  </si>
  <si>
    <t>O8WF4</t>
  </si>
  <si>
    <t>WOS:001046560800001</t>
  </si>
  <si>
    <t>Cheng, DD; Chen, YC; Zhang, ZQ; Wang, XM; Wang, MF; Duan, QY; Gong, GH; Hu, YX; Li, SL</t>
  </si>
  <si>
    <t>Cheng, Dandan; Chen, Youcai; Zhang, Zhaoqian; Wang, Xinmeng; Wang, Mengfan; Duan, Qiyu; Gong, Genghao; Hu, Yunxia; Li, Shao-Lu</t>
  </si>
  <si>
    <t>Incorporating of beta-cyclodextrin based nanosheet for advanced thin-film nanocomposite nanofiltration membrane with improved separation and anti-fouling performances</t>
  </si>
  <si>
    <t>Nanofiltration; Thin-film nanocomposite membrane; beta-cyclodextrin based nanosheets; Perm -selectivity; Antifouling</t>
  </si>
  <si>
    <t>REVERSE-OSMOSIS MEMBRANE; COMPOSITE MEMBRANES; HIGH-FLUX</t>
  </si>
  <si>
    <t>Nanotechnology has created numerous opportunities for the development of novel thin film nanocomposite (TFN) membranes. In this study, we prepared a novel beta-cyclodextrin based nanosheets (beta-CDNSs) with a lateral size of approximately 200-400 nm and thickness of similar to 10 nm through the interfacial polymerization method and used it as the nanofillers in aqueous phase to prepare advanced nanofiltration (NF) membranes. The high microporosity, organic attribute, hydrophilic COOH and reactive OH groups present in beta-CDNSs are conducive to the microstructural parameters fine-tuning of the resultant TFN membranes. The optimal membrane TFN-0.02 presented the PA selective layer with thinner thickness, less crosslinking degrees, prominent globule microstructures, and increased hydrophilic properties. As a result, it achieved a remarkable enhancement in pure water permeability (21.46 L m(-2) h(-1) bar(-1), versus 8.79 L m(-2) h(-1) bar(-1), nearly 2.4-fold increase), high rejection of divalent salt (above 98% for Na2SO4) and an outstanding selectivity of alpha(NaCl/Na2SO4) = 50.27. Moreover, the tailored membrane TFN-0.02 exhibited superior resistance towards four typical organic foulants BSA, LYZ, DTAB and SDS. Overall, this work provides insightful guidance for the design of novel organic nanomaterials with desired properties for greatly enhanced separation performances of as-fabricated membranes.</t>
  </si>
  <si>
    <t>[Cheng, Dandan; Chen, Youcai; Zhang, Zhaoqian; Wang, Xinmeng; Wang, Mengfan; Duan, Qiyu; Gong, Genghao; Hu, Yunxia; Li, Shao-Lu] Tiangong Univ, Natl Ctr Int Res Membrane Sci &amp; Technol, Sch Mat Sci &amp; Engn, State Key Lab Separat Membranes &amp; Membrane Proc, Tianjin 300387, Peoples R China</t>
  </si>
  <si>
    <t>Tiangong University</t>
  </si>
  <si>
    <t>Hu, YX; Li, SL (corresponding author), Tiangong Univ, Natl Ctr Int Res Membrane Sci &amp; Technol, Sch Mat Sci &amp; Engn, State Key Lab Separat Membranes &amp; Membrane Proc, Tianjin 300387, Peoples R China.</t>
  </si>
  <si>
    <t>yunxiahu@tiangong.edu.cn; lishaolu@tiangong.edu.cn</t>
  </si>
  <si>
    <t>National Natural Science Foundation of China [51708408, 21978215]; Tianjin Education Scientific Research Projects [2019KJ006]</t>
  </si>
  <si>
    <t>National Natural Science Foundation of China(National Natural Science Foundation of China (NSFC)); Tianjin Education Scientific Research Projects</t>
  </si>
  <si>
    <t>We would like to thank the Analytical &amp; Testing Center of Tiangong University for XPS, and NMR characterization. And we also appreciate the financial support of National Natural Science Foundation of China (No. 51708408, and No. 21978215) , Tianjin Education Scientific Research Projects (No.2019KJ006) .</t>
  </si>
  <si>
    <t>NOV 5</t>
  </si>
  <si>
    <t>10.1016/j.memsci.2023.121969</t>
  </si>
  <si>
    <t>P7PJ5</t>
  </si>
  <si>
    <t>WOS:001052553600001</t>
  </si>
  <si>
    <t>Dedvukaj, A; Raemdonck, S; Vankelecom, IFJ</t>
  </si>
  <si>
    <t>Dedvukaj, Angela; Raemdonck, Sofie; Vankelecom, Ivo F. J.</t>
  </si>
  <si>
    <t>Spray coating as a novel, versatile tool to prepare membranes via IP</t>
  </si>
  <si>
    <t>Thin film composite membranes; Interfacial polymerization; Spray-coating; Spray-based interfacial polymerization prior to; solidification; Nanofiltration</t>
  </si>
  <si>
    <t>FILM COMPOSITE MEMBRANE; REVERSE-OSMOSIS; INTERFACIAL POLYMERIZATION; IONIC LIQUIDS; POLYAMIDE; DESALINATION; MORPHOLOGY</t>
  </si>
  <si>
    <t>Polyamide (PA) thin-film composite (TFC) membranes, synthesized by interfacial polymerization (IP), are commonly applied in NF and RO. However, they have a high tendency to foul due to the rough ridge and valley surface. IP requires utilization of toxic solvents and hydrolysis of acyl chlorides can occur as undesired side reaction due to the presence of water. Therefore, a new approach to synthesize TFC membranes is now introduced: spray-based interfacial polymerization prior to solidification (s-IPS). IP is performed on a still liquid polymer film containing a first (amine) monomer while the second monomer (acyl chloride) is sprayed on top. The susceptibility of the liquid cast film to defects due to the impact of spraying, is minimized by the increased viscosity resulting from charge-transfer complex formation between the amine monomer (MPD) and the polymer (PI). This new s-IPS process is more time-efficient, uses less chemicals and produces less waste than the conventional IP. Additionally, problems in conventional IP associated with non-wetted support pores and bad adhesion of the IP layer to the support are eliminated and water-free IP is enabled, limiting hydrolysis of TMC. Properties such as high viscosity and interfacial stability lead to controllable IP and smooth PA top-layer surfaces.</t>
  </si>
  <si>
    <t>[Dedvukaj, Angela; Raemdonck, Sofie; Vankelecom, Ivo F. J.] Katholieke Univ Leuven, Fac Biosci Engn, Dept Microbial &amp; Mol Syst M2S, Membrane Technol Grp MTG,Div cMACS, Celestijnenlaan 200F, Box 2454, B-3001 Leuven, Belgium</t>
  </si>
  <si>
    <t>KU Leuven</t>
  </si>
  <si>
    <t>Vankelecom, IFJ (corresponding author), Katholieke Univ Leuven, Fac Biosci Engn, Dept Microbial &amp; Mol Syst M2S, Membrane Technol Grp MTG,Div cMACS, Celestijnenlaan 200F, Box 2454, B-3001 Leuven, Belgium.</t>
  </si>
  <si>
    <t>ivo.vankelecom@kuleuven.be</t>
  </si>
  <si>
    <t>F.J. Vankelecom, Ivo/0000-0002-0104-9493</t>
  </si>
  <si>
    <t>KU Leuven [C16/17/005]; Research Foundation Flanders (SBO-program) [S002121 N SmartDetox]</t>
  </si>
  <si>
    <t>KU Leuven(KU Leuven); Research Foundation Flanders (SBO-program)</t>
  </si>
  <si>
    <t>This work was funded by KU Leuven (C16/17/005) and the Research Foundation Flanders (SBO-program: S002121 N SmartDetox) .</t>
  </si>
  <si>
    <t>10.1016/j.memsci.2023.121905</t>
  </si>
  <si>
    <t>O8UK0</t>
  </si>
  <si>
    <t>WOS:001046511900001</t>
  </si>
  <si>
    <t>Duman, B; Erkmen, C; Kabir, MZ; Yi, LC; Mohamad, SB; Uslu, B</t>
  </si>
  <si>
    <t>Duman, Bahadir; Erkmen, Cem; Kabir, Md. Zahirul; Yi, Lim Ching; Mohamad, Saharuddin B.; Uslu, Bengi</t>
  </si>
  <si>
    <t>In vitro interactions of two pesticides, propazine and quinoxyfen with bovine serum albumin: Spectrofluorometric and molecular docking investigations</t>
  </si>
  <si>
    <t>Propazine; Quinoxyfen; Bovine serum albumin; Fluorescence; Molecular docking</t>
  </si>
  <si>
    <t>BINDING INTERACTIONS; FLUORESCENCE; DRUG; WATER; BSA</t>
  </si>
  <si>
    <t>Binding mechanisms of two selected pesticides, propazine (PRO) and quinoxyfen (QUI) with bovine serum albumin (BSA) was examined using fluorescence, absorption and molecular docking methods. Intrinsic fluorescence of BSA was quenched in the presence of both PRO and QUI. The quenching was ascertained to be conversely linked to temperature, which suggested the contribution of static quenching process in the PRO-BSA and QUI-BSA complex formations. This results were validated by the enhancement in absorption spectrum of BSA upon binding with PRO and QUI. Binding constant values (Kf = 9.55-0.60 x 10-3 M- 1 for PRO-BSA system; Kf = 7.08-5.01 x 102 M-1 for QUI-BSA system) and number of binding site (n) values for the PRO-BSA and QUI-BSA systems at different temperatures affirmed a weak binding strength with a set of equivalent binding sites on BSA. Thermodynamic data obtained for both the PRO-BSA and QUI-BSA interactions predicted that the association process was spontaneous and non-covalent contacts such as hydrophobic interactions, van der Waals forces and hydrogen bonds participated in the binding reactions. This result was further supported by the molecular docking assessments. Three-dimensional spectral results revealed the microenvironmental alterations near tryptophan (Trp) and tyrosine (Tyr) residues in BSA by the addition of PRO and QUI. The docking analysis demonstrated the binding pattern for the PRO-BSA and QUI-BSA systems and disclosed the preferred binding site of both PRO and QUI as site I (subdomain IIA) of BSA.</t>
  </si>
  <si>
    <t>[Duman, Bahadir; Erkmen, Cem; Kabir, Md. Zahirul; Uslu, Bengi] Ankara Univ, Fac Pharm, Dept Analyt Chem, Ankara 06560, Turkiye; [Duman, Bahadir] Ankara Univ, Grad Sch Hlth Sci, TR-06110 Ankara, Turkiye; [Yi, Lim Ching; Mohamad, Saharuddin B.] Univ Malaya, Inst Biol Sci, Fac Sci, Bioinformat Programme, Kuala Lumpur, Malaysia; [Mohamad, Saharuddin B.] Univ Malaya, Ctr Res Computat Sci &amp; Informat Biol, Bioind Environm Agr &amp; Healthcare, Kuala Lumpur 50603, Malaysia</t>
  </si>
  <si>
    <t>Ankara University; Ankara University; Universiti Malaya; Universiti Malaya</t>
  </si>
  <si>
    <t>Uslu, B (corresponding author), Ankara Univ, Fac Pharm, Dept Analyt Chem, Ankara 06560, Turkiye.</t>
  </si>
  <si>
    <t>buslu@pharmacy.ankara.edu.tr</t>
  </si>
  <si>
    <t>Turkish Scientific and Technological Research Council (TUEBITAK) [121C051]</t>
  </si>
  <si>
    <t>Turkish Scientific and Technological Research Council (TUEBITAK)</t>
  </si>
  <si>
    <t>This work was produced from the M.Sc. thesis of Bahadir Duman (Ankara University, Health Sciences Institute). Md. Zahirul Kabir acknowledges the Turkish Scientific and Technological Research Council (TUEBITAK) for the Research Fund and Research Fellowship [project number: 121C051] under the Co-Funded Brain Circulation2 Scheme (CoCirculation2).</t>
  </si>
  <si>
    <t>10.1016/j.saa.2023.122907</t>
  </si>
  <si>
    <t>Q6KV7</t>
  </si>
  <si>
    <t>WOS:001058602200001</t>
  </si>
  <si>
    <t>Guo, PH; Zhang, B; Li, TT; Xu, B; Li, JY</t>
  </si>
  <si>
    <t>Guo, Penghua; Zhang, Bin; Li, Tiantian; Xu, Ben; Li, Jingyin</t>
  </si>
  <si>
    <t>An experimental and numerical study on the brine droplet evaporation considering salt precipitation</t>
  </si>
  <si>
    <t>APPLIED THERMAL ENGINEERING</t>
  </si>
  <si>
    <t>Droplet evaporation; Spray evaporation; Desalination; Concentrated brine</t>
  </si>
  <si>
    <t>SPRAY; DESALINATION; WATER; PERFORMANCE; MODELS; DRIVEN</t>
  </si>
  <si>
    <t>Spray evaporation is a promising and highly efficient desalination technology for treating high-salinity wastewater. However, the existing numerical studies on brine spray evaporation are mainly based on pure water assumption and ignore salt precipitation for simplicity. In the present study, the evaporation process of a single brine droplet considering salt precipitation was experimentally investigated using the pendent droplet method. The variation in brine droplet mass during the evaporation and crystallization process was measured for the first time. Based on the experimental data, a reaction engineering approach model for the brine droplets was developed and incorporated into ANSYS Fluent. The obtained reaction engineering approach model was proven compatible with the numerical simulation of brine spray evaporation. Thus, the numerical model was used to compare the spray evaporation behavior between pure water and NaCl solution. Results indicate that brine droplets have larger falling velocities and shorter residence time in the dryer than pure water droplets. The short residence time and large mass transfer resistance of brine droplets lead to a large axial dimension requirement of the dryer. The present study offers a new technological route for the numerical simulation of brine spray evaporation by considering salt precipitation.</t>
  </si>
  <si>
    <t>[Guo, Penghua; Zhang, Bin; Li, Tiantian; Li, Jingyin] Xi An Jiao Tong Univ, Sch Power &amp; Energy Engn, Xian, Peoples R China; [Xu, Ben] Univ Houston, Mech Engn, Houston, TX USA</t>
  </si>
  <si>
    <t>Xi'an Jiaotong University; University of Houston System; University of Houston</t>
  </si>
  <si>
    <t>Guo, PH (corresponding author), Xi An Jiao Tong Univ, Sch Power &amp; Energy Engn, Xian, Peoples R China.</t>
  </si>
  <si>
    <t>penghuaguo@xjtu.edu.cn</t>
  </si>
  <si>
    <t>National Natural Science Foundation of China [52176022, 51776145]</t>
  </si>
  <si>
    <t>This work was supported by the National Natural Science Foundation of China under Contract (52176022, 51776145).</t>
  </si>
  <si>
    <t>1359-4311</t>
  </si>
  <si>
    <t>1873-5606</t>
  </si>
  <si>
    <t>APPL THERM ENG</t>
  </si>
  <si>
    <t>Appl. Therm. Eng.</t>
  </si>
  <si>
    <t>10.1016/j.applthermaleng.2023.121312</t>
  </si>
  <si>
    <t>Thermodynamics; Energy &amp; Fuels; Engineering, Mechanical; Mechanics</t>
  </si>
  <si>
    <t>Thermodynamics; Energy &amp; Fuels; Engineering; Mechanics</t>
  </si>
  <si>
    <t>R2XY0</t>
  </si>
  <si>
    <t>WOS:001063042200001</t>
  </si>
  <si>
    <t>Hong, CB; Chen, KD; Zheng, XL; Wan, YL; Li, ZK; Lin, LX</t>
  </si>
  <si>
    <t>Hong, Congbin; Chen, Kaidong; Zheng, Xuelin; Wan, Yali; Li, Zhongkai; Lin, Liangxu</t>
  </si>
  <si>
    <t>Hierarchical porous structure of urushiol mediated Fe3O4/ three-dimensional graphene composites towards enhanced Fenton degradation of tetracycline</t>
  </si>
  <si>
    <t>CHEMICAL ENGINEERING SCIENCE</t>
  </si>
  <si>
    <t>Three-dimensional grapheme; Urushiol; Fenton-like; Tetracycline</t>
  </si>
  <si>
    <t>HETEROGENEOUS CATALYST; WASTE-WATER; OXIDATION; NANOPARTICLES; MECHANISM; REMOVAL</t>
  </si>
  <si>
    <t>The Fenton like catalyst Fe3O4 is still limited in wastewater treatment due to its narrow pH range, metal shedding and low catalytic efficiency. Here, a robust urushiol mediated Fe3O4/three-dimensional (3D) graphene was proposed to tackle these challenges. Fe3O4/3D-PU-G (H) was established by loading dense Fe3O4 nanoparticles onto urushiol functionalized 3D graphene via simple solvothermal and mild post-heating. It exhibited rapid degradation (50.3% in 10 s, 97.3% in 10 mins) and reusability (86.8% after 7 cycles) of tetracycline (TC) in a wide pH range (3-11) and various waste water samples. Such excellent performance was attributed to the formation of a stable and compact 3D porous conductive network, which promotes the electron transfer between Fe species and H2O2, the activation of H2O2 to generate &amp; BULL;OH and the reaction between &amp; BULL;OH and TC. This work provides a feasible approach for the preparation of efficient heterogeneous catalytic materials.</t>
  </si>
  <si>
    <t>[Hong, Congbin; Chen, Kaidong; Zheng, Xuelin; Wan, Yali; Li, Zhongkai] Fujian Normal Univ, Coll Chem &amp; Mat Sci, Fuzhou 350117, Peoples R China; [Zheng, Xuelin] Fujian Key Lab Polymer Mat, Fuzhou 350117, Peoples R China; [Lin, Liangxu] Strait Lab Flexible Elect SLoFE, Fuzhou 350117, Peoples R China; [Lin, Liangxu] Fujian Normal Univ, Strait Inst Flexible Elect SIFE, Future Technol, Fuzhou 350117, Peoples R China</t>
  </si>
  <si>
    <t>Fujian Normal University; Fujian Normal University</t>
  </si>
  <si>
    <t>Zheng, XL (corresponding author), Fujian Normal Univ, Coll Chem &amp; Mat Sci, Fuzhou 350117, Peoples R China.;Lin, LX (corresponding author), Strait Lab Flexible Elect SLoFE, Fuzhou 350117, Peoples R China.</t>
  </si>
  <si>
    <t>parrowxg@fjnu.edu.cn; ifelxlin@fjnu.edu.cn</t>
  </si>
  <si>
    <t>Natural Science Foundation of China [52172228]; Science and Technology Planning Project of Quanzhou Municipality [2021C018R]; Fujian Province Natural Science Foundation [2022J01165]</t>
  </si>
  <si>
    <t>Natural Science Foundation of China(National Natural Science Foundation of China (NSFC)); Science and Technology Planning Project of Quanzhou Municipality; Fujian Province Natural Science Foundation(Natural Science Foundation of Fujian Province)</t>
  </si>
  <si>
    <t>This work was supported by the Natural Science Foundation of China (52172228) , the Science and Technology Planning Project of Quanzhou Municipality (2021C018R) and Fujian Province Natural Science Foundation (2022J01165) .</t>
  </si>
  <si>
    <t>0009-2509</t>
  </si>
  <si>
    <t>1873-4405</t>
  </si>
  <si>
    <t>CHEM ENG SCI</t>
  </si>
  <si>
    <t>Chem. Eng. Sci.</t>
  </si>
  <si>
    <t>10.1016/j.ces.2023.119111</t>
  </si>
  <si>
    <t>P0GP2</t>
  </si>
  <si>
    <t>WOS:001047512400001</t>
  </si>
  <si>
    <t>Huang, S; Cao, HS; Tu, XC; Xie, JN; Su, W; Xiao, Q</t>
  </si>
  <si>
    <t>Huang, Shan; Cao, Huishan; Tu, Xincong; Xie, Jiangning; Su, Wei; Xiao, Qi</t>
  </si>
  <si>
    <t>Comparative investigation on interaction mechanism and native conformation of human serum albumin with organometallic iridium(III) complexes via spectroscopic and electrochemical approaches</t>
  </si>
  <si>
    <t>Iridium(III) complex; Curcuminoid ligand; Human serum albumin; Conformational structure; Structure-activity relationship</t>
  </si>
  <si>
    <t>ASSOCIATION REACTIONS; CURCUMIN; BINDING; RHODIUM(III); FORCES; THERMODYNAMICS; DNA</t>
  </si>
  <si>
    <t>Organometallic iridium(III) complexes, as high-efficient phototherapic drugs for cancer therapy and tumor treatment, have attracted widespread interest in diverse areas. To further clarify the biological functions of iridium(III) complexes, the interaction mechanism and native conformation of human serum albumin (HSA) affected by three organometallic iridium(III) complexes containing curcuminoid ligands were systematically and comparably investigated via various spectroscopic and electrochemical approaches. The results revealed that three iridium(III) complexes reacted with HSA tightly at its Sudlow's site I under the binding forces of van der Waals interaction, protonation, and hydrogen bond, leading to the hypochromic effect in the absorption spectrum of HSA and the static quenching in the intrinsic fluorescence of HSA. Three iridium(III) complexes disturbed the native conformation of HSA by reducing its &amp; alpha;-helical content, finally reducing the melting temperature and the thermal stability of HSA. In comparison, the iridium(III) complex containing curcuminoid ligand with bigger spatial steric-hindrance effect and stronger chemical polarity was prone to binding with HSA more tightly and subsequently affecting its native conformation and biological function more prominently. This research finding reveals the interaction mechanisms of organometallic iridium(III) complexes with HSA and evaluates the function of curcuminoid ligands during their binding interactions, which pays the way for the targeted design and the potential application of novel iridium(III) complexes in biological fields.</t>
  </si>
  <si>
    <t>[Huang, Shan; Cao, Huishan; Tu, Xincong; Xie, Jiangning; Su, Wei; Xiao, Qi] Nanning Normal Univ, Coll Chem &amp; Mat, Guangxi Key Lab Nat Polymer Chem &amp; Phys, Nanning, Peoples R China</t>
  </si>
  <si>
    <t>Nanning Normal University</t>
  </si>
  <si>
    <t>Huang, S; Xiao, Q (corresponding author), Nanning Normal Univ, Coll Chem &amp; Mat, Guangxi Key Lab Nat Polymer Chem &amp; Phys, Nanning, Peoples R China.</t>
  </si>
  <si>
    <t>huangs@whu.edu.cn; qi.xiao@nnnu.edu.cn</t>
  </si>
  <si>
    <t>Xiao, Qi/K-8608-2012</t>
  </si>
  <si>
    <t>Xiao, Qi/0000-0002-6133-1853</t>
  </si>
  <si>
    <t>Natural Science Foundation of Guangxi Province [22164014]; Central Government Guided Local Science and Technology Development Fund Project; National Natural Science Foundation of China; BAGUI Scholar Program of Guangxi Province of China; [2021GXNSFAA075015]; [guikeZY22096017]</t>
  </si>
  <si>
    <t>Natural Science Foundation of Guangxi Province(National Natural Science Foundation of Guangxi Province); Central Government Guided Local Science and Technology Development Fund Project; National Natural Science Foundation of China(National Natural Science Foundation of China (NSFC)); BAGUI Scholar Program of Guangxi Province of China; ;</t>
  </si>
  <si>
    <t>This work was financially supported by Natural Science Foundation of Guangxi Province (2021GXNSFAA075015) , the Central Government Guided Local Science and Technology Development Fund Project (guikeZY22096017) , National Natural Science Foundation of China (22164014) , and BAGUI Scholar Program of Guangxi Province of China.</t>
  </si>
  <si>
    <t>10.1016/j.molstruc.2023.136017</t>
  </si>
  <si>
    <t>Q3JL0</t>
  </si>
  <si>
    <t>WOS:001056509800001</t>
  </si>
  <si>
    <t>Huang, SF; Yu, HF; Zhang, MX; Qu, HS; Wang, LB; Zhang, CY; Yuan, YB; Zhang, XS</t>
  </si>
  <si>
    <t>Huang, Shifang; Yu, Hanfei; Zhang, Muxing; Qu, Hongshuo; Wang, Libo; Zhang, Chenyu; Yuan, Yubo; Zhang, Xiaosong</t>
  </si>
  <si>
    <t>Advances, challenges and outlooks in frost-free air-source heat pumps: A comprehensive review from materials, components to systems</t>
  </si>
  <si>
    <t>Frost-free air-source heat pump; Solution; Heat and mass exchanger; Regenerator; System</t>
  </si>
  <si>
    <t>MASS-TRANSFER CHARACTERISTICS; VAPOR-PRESSURE MEASUREMENT; LIQUID DESICCANT DEHUMIDIFICATION; POTASSIUM FORMATE SOLUTION; THERMODYNAMIC PROPERTIES; COOLING-TOWER; AQUEOUS-SOLUTIONS; THERMOPHYSICAL PROPERTIES; LITHIUM BROMIDE; PERFORMANCE-CHARACTERISTICS</t>
  </si>
  <si>
    <t>Air-source heat pumps (ASHPs) have dominated the heat pump market, accounting for over 90% of the market share, due to their potential to reduce emissions, low operational costs, and ease of maintenance. However, ASHPs are often inefficient in the summer and prone to frosting in the winter. Frost-free air-source heat pumps (FFASHPs) have recently emerged as a promising solution for both heating and cooling, achieving high efficiency and eliminating frost. This review provides a comprehensive summary of the latest advancements in FFASHPs, focusing on materials, components, and systems. Specifically, we begin by discussing the frost-free mechanism of FFASHPs, followed by a systematic presentation of the solutions used in FFASHPs in terms of their materials and properties. Additionally, we summarize breakthroughs in heat and mass exchangers, including the heat and mass transfer characteristics, models, and coefficients. We also discuss regeneration methods of solutions in terms of driving force, regeneration rate, and efficiency. Furthermore, we demonstrate the principle and potential of energy savings, regional suitability, and design and operational optimization of the system. Finally, we provide insights and perspectives on FFASHPs to further improve their efficiency and promote their application, including the development of a thermophysical property and corrosion database for solutions, intelligent screening of solutions, uniform correlation expressions of heat and mass transfer coefficients, comprehensive analysis and comparison of different regeneration approaches, obtaining dynamic properties of FFASHPs for predictive control and dynamic programming, and developing design standards for FFASHPs.</t>
  </si>
  <si>
    <t>[Huang, Shifang; Yu, Hanfei; Qu, Hongshuo; Wang, Libo; Zhang, Xiaosong] Southeast Univ, Sch Energy &amp; Environm, Nanjing 210096, Peoples R China; [Huang, Shifang; Zhang, Xiaosong] Southeast Univ, MOE Engn Res Ctr Bldg Energy Equipment &amp; Environm, Nanjing 210096, Peoples R China; [Zhang, Muxing] Nanjing Univ Sci &amp; Technol, Sch Energy &amp; Power Engn, Nanjing 210094, Peoples R China; [Zhang, Chenyu; Yuan, Yubo] State Grid Jiangsu Elect Power Co LTD, Res Inst, Nanjing 211103, Peoples R China</t>
  </si>
  <si>
    <t>Southeast University - China; Southeast University - China; Nanjing University of Science &amp; Technology; State Grid Corporation of China</t>
  </si>
  <si>
    <t>Huang, SF; Zhang, XS (corresponding author), Southeast Univ, Sch Energy &amp; Environm, Nanjing 210096, Peoples R China.</t>
  </si>
  <si>
    <t>shifang_huang@seu.edu.cn; rachpe@seu.edu.cn</t>
  </si>
  <si>
    <t>wang, KiKi/JFZ-3334-2023</t>
  </si>
  <si>
    <t>National Natural Science Foundation of China [52206005]; Carbon Emission Peak and Carbon Neutrality Innovative Science Foundation of Jiangsu Province [BE2022606]</t>
  </si>
  <si>
    <t>National Natural Science Foundation of China(National Natural Science Foundation of China (NSFC)); Carbon Emission Peak and Carbon Neutrality Innovative Science Foundation of Jiangsu Province</t>
  </si>
  <si>
    <t>The research described in this paper is supported by the National Natural Science Foundation of China (No. 52206005) and the Carbon Emission Peak and Carbon Neutrality Innovative Science Foundation of Jiangsu Province (No. BE2022606) .</t>
  </si>
  <si>
    <t>10.1016/j.applthermaleng.2023.121163</t>
  </si>
  <si>
    <t>P4LF7</t>
  </si>
  <si>
    <t>WOS:001050371200001</t>
  </si>
  <si>
    <t>Irshad, H; Assiri, MA; Rafique, S; Khan, AM; Imran, M; Shahzad, SA</t>
  </si>
  <si>
    <t>Irshad, Hasher; Assiri, Mohammed A.; Rafique, Sanwa; Khan, Asad Muhammad; Imran, Muhammad; Shahzad, Sohail Anjum</t>
  </si>
  <si>
    <t>Triazine based fluorescent sensor for sequential detection of Hg2+and L-Cysteine in real samples and application in logic Gate: A combination of Extensive experimental and theoretical analysis</t>
  </si>
  <si>
    <t>Triazine based fluorescent sensor; Chelation-enhanced fluorescence; Non-covalent interaction; Sequential detection ofHg2+and L-cysteine</t>
  </si>
  <si>
    <t>PERFORMANCE LIQUID-CHROMATOGRAPHY; MOLECULAR-MASS THIOLS; SELECTIVE FLUORESCENT; QUANTUM DOTS; COLORIMETRIC CHEMOSENSOR; ON DETECTION; HUMAN BLOOD; TURN-ON; MERCURY; PROBE</t>
  </si>
  <si>
    <t>Triazine based fluorescent sensor TBT was rationally designed and synthesized to achieve sequential detection of Hg2+ and L-cysteine based on the presence of sulfur moiety and suitable cavity in the molecule. Sensor TBT exhibited excellent sensing potential for the selective detection of Hg2+ ions and L-cysteine (Cys) in real samples. Upon addition of Hg2+ to sensor TBT, enhancement in emission intensity of sensor TBT was observed which was accredited to the presence of sulfur moiety and size of cavity in the sensor. Upon interaction with Hg2+ blockage of intramolecular charge transfer (ICT) along with chelation-enhanced fluorescence (CHEF) resulted in the in-crease in fluorescence emission intensity of sensor TBT. Further, TBT-Hg2+ complex was employed for the se-lective detection of Cys through fluorescence quenching mechanism. This was attributed to the significantly stronger interaction of Cys with Hg2+, which resulted in the formation of Cys-Hg2+ complex and subsequently sensor TBT was released from TBT-Hg2+ complex. The nature of interaction between TBT-Hg2+ and Cys-Hg2+ complex was evaluated through 1H NMR titration experimentations. Extensive DFT studies were also carried out which include thermodynamic stability, frontier molecular orbitals (FMO), density of states (DOS), non-covalent interaction (NCI), quantum theory of atom in molecule (QTAIM), electron density differences (EDD) and natural bond orbital (NBO) analyses. All the studies supported the non-covalent type of interaction between analytes and sensor TBT. The limit of detection for Hg2+ ions was found to be as low as 61.9 nM. Sensor TBT was also employed for the quantitative detection of Hg2+ and Cys in real samples. Additionally, logic gate was fabricated by using sequential detection strategy.</t>
  </si>
  <si>
    <t>[Irshad, Hasher; Rafique, Sanwa; Khan, Asad Muhammad; Shahzad, Sohail Anjum] COMSATS Univ Islamabad, Dept Chem, Abbottabad Campus,Univ Rd, Islamabad 22060, Pakistan; [Assiri, Mohammed A.; Imran, Muhammad] King Khalid Univ, Fac Sci, Dept Chem, POB 9004, Abha 61413, Saudi Arabia; [Assiri, Mohammed A.; Imran, Muhammad] King Khalid Univ, Res Ctr Adv Mat Sci RCAMS, POB 9004, Abha 61514, Saudi Arabia</t>
  </si>
  <si>
    <t>COMSATS University Islamabad (CUI); King Khalid University; King Khalid University</t>
  </si>
  <si>
    <t>Shahzad, SA (corresponding author), COMSATS Univ Islamabad, Dept Chem, Abbottabad Campus,Univ Rd, Islamabad 22060, Pakistan.</t>
  </si>
  <si>
    <t>sashahzad@cuiatd.edu.pk</t>
  </si>
  <si>
    <t>Shahzad, Sohail Anjum/J-3858-2015</t>
  </si>
  <si>
    <t>Shahzad, Sohail Anjum/0000-0002-4226-3023</t>
  </si>
  <si>
    <t>Ministry of Education in KSA; [KKU-IFP2- DA-1]</t>
  </si>
  <si>
    <t>Ministry of Education in KSA;</t>
  </si>
  <si>
    <t>M.A.A extends their appreciation to the Ministry of Education in KSA for funding this research work through the project number KKU-IFP2- DA-1.</t>
  </si>
  <si>
    <t>10.1016/j.saa.2023.122934</t>
  </si>
  <si>
    <t>Q1EK0</t>
  </si>
  <si>
    <t>WOS:001055014900001</t>
  </si>
  <si>
    <t>Liu, JT; Wang, YQ; Ye, YL</t>
  </si>
  <si>
    <t>Liu, Jitao; Wang, Yanqing; Ye, Yulin</t>
  </si>
  <si>
    <t>Energy conservation of weak solutions for the incompressible Euler equations via vorticity</t>
  </si>
  <si>
    <t>Euler equations; Nonhomogeneous Euler equations; Energy conservation; Vorticity</t>
  </si>
  <si>
    <t>CONJECTURE</t>
  </si>
  <si>
    <t>Math. Phys. 348: 129-143, 2016] and Chen and Yu in [5, J. Math. Pures Appl. 131: 1-16, 2019], we address how the Lp control of vorticity could influence the energy conservation for the incompressible homogeneous and nonhomogeneous Euler equations in this paper. For the homogeneous flow in the periodic domain or whole space, we provide a self-contained proof for the criterion &amp; omega; = curl v &amp; ISIN; L3 (0, T; L n+23n (2)) (n = 2, 3), that generalizes the corresponding result in [8] and can be viewed as in Onsager critical spatiotemporal spaces. Regarding the nonhomogeneous flow, it is shown that the energy is conserved as long as the vorticity lies in the same space as before and backward difference &amp; RADIC;&amp; rho; belongs to L &amp; INFIN;(0, T ; Ln(Tn)) (n = 2, 3), which gives an affirmative answer to a problem proposed by Chen and Yu in [5]. &amp; COPY; 2023 Elsevier Inc. All rights reserved.</t>
  </si>
  <si>
    <t>[Liu, Jitao] Beijing Univ Technol, Fac Sci, Dept Math, Beijing 100124, Peoples R China; [Wang, Yanqing] Zhengzhou Univ Light Ind, Coll Math &amp; Informat Sci, Zhengzhou 450002, Henan, Peoples R China; [Ye, Yulin] Henan Univ, Sch Math &amp; Stat, Kaifeng 475004, Peoples R China</t>
  </si>
  <si>
    <t>Beijing University of Technology; Zhengzhou University of Light Industry; Henan University</t>
  </si>
  <si>
    <t>Wang, YQ (corresponding author), Zhengzhou Univ Light Ind, Coll Math &amp; Informat Sci, Zhengzhou 450002, Henan, Peoples R China.</t>
  </si>
  <si>
    <t>jtliumath@qq.com; wangyanqing20056@gmail.com; ylye@vip.henu.edu.cn</t>
  </si>
  <si>
    <t>Wang, Yanqing/D-7400-2015</t>
  </si>
  <si>
    <t>Wang, Yanqing/0000-0001-6576-5934</t>
  </si>
  <si>
    <t>Nat- ural Science Foundation of Henan [11601492]; National Natural Science Foundation of China [11601492, 11801018, 12061003, 11701145, 1192001, 232300421077]; Beijing Natural Science Foundation [11971446]; Beijing University of Technology [12071113]; Natural Science Foundation of Henan [006000514123513, 232300420111]; Henan Province High-end Foreign Experts Introduction Program [HNGD2023006]</t>
  </si>
  <si>
    <t>Nat- ural Science Foundation of Henan; National Natural Science Foundation of China(National Natural Science Foundation of China (NSFC)); Beijing Natural Science Foundation(Beijing Natural Science Foundation); Beijing University of Technology; Natural Science Foundation of Henan; Henan Province High-end Foreign Experts Introduction Program</t>
  </si>
  <si>
    <t>Liu was partially supported by National Natural Science Foundation of China under grants (No. 11801018, No. 12061003) , Beijing Natural Science Foundation under grant (No. 1192001) and Beijing University of Technology under grant (No. 006000514123513) . Wang was partially supported by National Natural Science Foundation of China (No. 11971446, No. 12071113 and No. 11601492) and sponsored by Natural Science Foundation of Henan (No. 232300421077) . Ye was partially sponsored by National Natural Science Foundation of China (No. 11701145) , Nat &amp; nbsp;ural Science Foundation of Henan (No. 232300420111) and Henan Province High-end Foreign Experts Introduction Program (HNGD2023006) .</t>
  </si>
  <si>
    <t>10.1016/j.jde.2023.06.048</t>
  </si>
  <si>
    <t>P3TZ2</t>
  </si>
  <si>
    <t>WOS:001049914400001</t>
  </si>
  <si>
    <t>Lou, JW; Wang, JF; Li, M; Chen, LQ; Wang, YK; Du, Y; Zhao, P</t>
  </si>
  <si>
    <t>Lou, Juwei; Wang, Jiangfeng; Li, Ming; Chen, Liangqi; Wang, Yikai; Du, Yang; Zhao, Pan</t>
  </si>
  <si>
    <t>Thermodynamic performance evaluation and power/cooling energy trade-off estimation of an isolated system driven by nuclear energy</t>
  </si>
  <si>
    <t>Isolated system; Nuclear; Optimization; Ammonia-water mixture; Trade -off strategy</t>
  </si>
  <si>
    <t>WASTE HEAT-RECOVERY; KALINA SPLIT-CYCLE; GT-MHR; POWER-GENERATION; ORGANIC RANKINE; INTEGRATED-SYSTEM; EXERGY ANALYSIS; OPTIMIZATION; PLANT</t>
  </si>
  <si>
    <t>The wide temperature range requirement of components in an isolated system offers the possibility for power regulation for combined cooling and power system by adjusting the cooling energy supplement amount. To achieve the flexible operation and combined energy output for the independent nuclear power system, this paper proposes an isolated combined cooling and power system driven by nuclear energy to track power load by making an energy trade-off between net power output and cooling capacity by combing the steam Rankine cycle with the ammonia-water mixture cycle. Parametric analysis and single objective optimization are carried out to explore the effect of the key parameters on system performance. Multi-objective optimization is presented to obtain the optimal parameters group. The regulation capacity of power and cooling is analyzed by trade-off strategy for the proposed system based on the design condition. Results show that the optimal thermal efficiency of the proposed system is 31.60 % based on the single objective optimization. The rated thermal efficiency is 32.8 % with 2229.7 kW power energy and 1045.7 kW cooling energy output based on multi-objective optimization. In addition, the power load can be regulated from 78.1 % to 111.8 %, and the corresponding cooling load is adjusted from 176.1 % to 58.7 %. Furthermore, the improvement of the component performance should focus on the steam turbine and evaporator. The trade-off strategy offers an original conception of the regulation method for an isolated system.</t>
  </si>
  <si>
    <t>[Lou, Juwei; Wang, Jiangfeng; Chen, Liangqi; Zhao, Pan] Xi An Jiao Tong Univ, Sch Energy &amp; Power Engn, State Key Lab Multiphase Flow Power Engn, Xian 710049, Peoples R China; [Li, Ming] Changyuan Hanchuan Power Generat Co Ltd, China Energy Investment Corp, Hanchuan 431614, Peoples R China; [Wang, Yikai] Southeast Univ, Sch Energy &amp; Environm, Nanjing 210096, Peoples R China; [Du, Yang] Xi An Jiao Tong Univ, Inst Aeroengine, Sch Mech Engn, Xian 710049, Peoples R China</t>
  </si>
  <si>
    <t>Xi'an Jiaotong University; Southeast University - China; Xi'an Jiaotong University</t>
  </si>
  <si>
    <t>Wang, JF (corresponding author), Xi An Jiao Tong Univ, Sch Energy &amp; Power Engn, State Key Lab Multiphase Flow Power Engn, Xian 710049, Peoples R China.</t>
  </si>
  <si>
    <t>jfwang@mail.xjtu.edu.cn</t>
  </si>
  <si>
    <t>National Natural Science Foundation of China [51976147]; Outstanding Youth Science Fund of Shaanxi Province [2021JC-05]</t>
  </si>
  <si>
    <t>National Natural Science Foundation of China(National Natural Science Foundation of China (NSFC)); Outstanding Youth Science Fund of Shaanxi Province</t>
  </si>
  <si>
    <t>This work is supported by the National Natural Science Foundation of China (Grant No. 51976147) and the Outstanding Youth Science Fund of Shaanxi Province (Grant No. 2021JC-05) .</t>
  </si>
  <si>
    <t>10.1016/j.applthermaleng.2023.121263</t>
  </si>
  <si>
    <t>R0RW3</t>
  </si>
  <si>
    <t>WOS:001061511000001</t>
  </si>
  <si>
    <t>Petrovick, JG; Radke, CJ; Weber, AZ</t>
  </si>
  <si>
    <t>Petrovick, John G.; Radke, Clayton J.; Weber, Adam Z.</t>
  </si>
  <si>
    <t>Effect of water droplet growth dynamics on electrode current in fuel-cell catalyst layers</t>
  </si>
  <si>
    <t>GAS-DIFFUSION LAYER; HYDROGEN OXIDATION; MODELING TRANSPORT; EVOLUTION; MANAGEMENT; KINETICS; INSIGHTS; CHANNEL; BUBBLES; IMPACT</t>
  </si>
  <si>
    <t>Fuel cells are a promising next-generation energy-conversion technology designed to replace internal combustion engines in transportation applications. However, much work remains to optimize them. Operation at high humidities causes liquid water droplet formation on Pt catalyst particles during oxygen reduction, potentially impeding reactant arrival to the reactive electrode. In this work, four different cases of water droplet growth in fuel-cell catalyst layers are considered: pinned or advancing droplets on a bare Pt surface, advancing droplets on a Nafion film, and water-layer growth in carbon nanopores. Transient drop growth is captured with a combination of mass, species mass, and momentum balances, and the subsequent limiting current is determined via oxygen diffusion and Tafel kinetics. Water droplets are found not to be mass-transfer limiting due to the relatively large liquid-gas area compared to the Pt nanoparticle. Mass-transfer-limited behavior is calculated in carbon nanopores.</t>
  </si>
  <si>
    <t>[Petrovick, John G.; Radke, Clayton J.] Univ Calif Berkeley, Dept Chem &amp; Biomol Engn, Berkeley, CA 94720 USA; [Petrovick, John G.; Weber, Adam Z.] Lawrence Berkeley Natl Lab, Energy Technol Area, Berkeley, CA 94720 USA</t>
  </si>
  <si>
    <t>University of California System; University of California Berkeley; United States Department of Energy (DOE); Lawrence Berkeley National Laboratory</t>
  </si>
  <si>
    <t>Weber, AZ (corresponding author), Lawrence Berkeley Natl Lab, Energy Technol Area, Berkeley, CA 94720 USA.</t>
  </si>
  <si>
    <t>AZWeber@lbl.gov</t>
  </si>
  <si>
    <t>Weber, Adam/0000-0002-7749-1624</t>
  </si>
  <si>
    <t>U.S. Department of Energy, Office of Energy Efficiency and Renewable Energy, Hydrogen and Fuel Cell Technologies Office; [DE-AC02-05CH11231]</t>
  </si>
  <si>
    <t>U.S. Department of Energy, Office of Energy Efficiency and Renewable Energy, Hydrogen and Fuel Cell Technologies Office(United States Department of Energy (DOE));</t>
  </si>
  <si>
    <t>The authors thank Drs. Arthur Dizon and Mayank Sabharwal for helpful discussions and assistance using COMSOL. This work was performed under the Million Mile Fuel Cell Truck (M2FCT) Consortium (https://millionmilefuelcelltruck.org) , technology manager Greg Kleen, U.S. Department of Energy, Office of Energy Efficiency and Renewable Energy, Hydrogen and Fuel Cell Technologies Office: Contract number DE-AC02-05CH11231.</t>
  </si>
  <si>
    <t>10.1016/j.ces.2023.119152</t>
  </si>
  <si>
    <t>Q0VL3</t>
  </si>
  <si>
    <t>WOS:001054777700001</t>
  </si>
  <si>
    <t>Ravindar, L; Hasbullah, SA; Rakesh, KP; Hassan, NI</t>
  </si>
  <si>
    <t>Ravindar, Lekkala; Hasbullah, Siti Aishah; Rakesh, K. P.; Hassan, Nurul Izzaty</t>
  </si>
  <si>
    <t>Triazole hybrid compounds: A new frontier in malaria treatment</t>
  </si>
  <si>
    <t>EUROPEAN JOURNAL OF MEDICINAL CHEMISTRY</t>
  </si>
  <si>
    <t>Antimalarial; Plasmodium falciparum; 1,2,3-triazole; 1,2,4-triazole; Hybrids</t>
  </si>
  <si>
    <t>ANTIPLASMODIAL ACTIVITY; ANTIMALARIAL ACTIVITY; MOLECULAR DOCKING; CLICK CHEMISTRY; DERIVATIVES; DESIGN</t>
  </si>
  <si>
    <t>Reviewing the advancements in malaria treatment, the emergence of triazole hybrid compounds stands out as a groundbreaking development. Combining the advantages of triazole and other moieties, these hybrid compounds offer a new frontier in the battle against malaria. Their potential as effective antimalarial agents has captured the attention of researchers and holds promise for overcoming the challenges posed by drug-resistant malaria strains. We focused on their broad spectrum of antimalarial activity of diverse hybridized 1,2,3-triazoles and 1,2,4-triazoles, structure-activity relationship (SAR), drug-likeness, bioavailability and pharmacokinetic properties reported since 2018 targeting multiple stages of the Plasmodium life cycle. This versatility makes them highly effective against both drug-sensitive and drug-resistant strains of P. falciparum, making them invaluable tools in regions where resistance is prevalent. The synergistic effects of combining the triazole moiety with other pharmacophores have resulted in even greater antimalarial potency. This approach has the potential to circumvent existing resistance mechanisms and provide a more sustainable solution to malaria treatment. While triazole hybrid compounds show great promise, further research and clinical trials are warranted to fully evaluate their safety, efficacy and long-term effects. As research progresses, these compounds can potentially revolutionize the field and contribute to global efforts to eradicate malaria, ultimately saving countless lives worldwide.</t>
  </si>
  <si>
    <t>[Ravindar, Lekkala; Hasbullah, Siti Aishah; Hassan, Nurul Izzaty] Univ Kebangsaan Malaysia, Dept Chem Sci, Bangi 43600, Selangor, Malaysia; [Rakesh, K. P.] Univ N Carolina, Biomed Res Imaging Ctr, Dept Radiol, Chapel Hill, NC 27599 USA</t>
  </si>
  <si>
    <t>Universiti Kebangsaan Malaysia; University of North Carolina; University of North Carolina Chapel Hill</t>
  </si>
  <si>
    <t>Hassan, NI (corresponding author), Univ Kebangsaan Malaysia, Dept Chem Sci, Bangi 43600, Selangor, Malaysia.</t>
  </si>
  <si>
    <t>drizz@ukm.edu.my</t>
  </si>
  <si>
    <t>Hassan, Nurul Izzaty/J-9331-2015</t>
  </si>
  <si>
    <t>Hassan, Nurul Izzaty/0000-0002-1235-4290</t>
  </si>
  <si>
    <t>Ministry of Higher Education (MOHE) through Fundamental Research Grants Scheme [FRGS/1/2019/STG01/UKM/02/3]; Universiti Kebangsaan Malaysia (UKM)</t>
  </si>
  <si>
    <t>Ministry of Higher Education (MOHE) through Fundamental Research Grants Scheme; Universiti Kebangsaan Malaysia (UKM)</t>
  </si>
  <si>
    <t>The research was funded by the Ministry of Higher Education (MOHE) through Fundamental Research Grants Scheme under the grant number FRGS/1/2019/STG01/UKM/02/3 and Universiti Kebangsaan Malaysia (UKM) for awarding the UKM-Vice Chancellor PhD scholarship to Ravindar Lekkala.</t>
  </si>
  <si>
    <t>0223-5234</t>
  </si>
  <si>
    <t>1768-3254</t>
  </si>
  <si>
    <t>EUR J MED CHEM</t>
  </si>
  <si>
    <t>Eur. J. Med. Chem.</t>
  </si>
  <si>
    <t>10.1016/j.ejmech.2023.115694</t>
  </si>
  <si>
    <t>Chemistry, Medicinal</t>
  </si>
  <si>
    <t>R2PP4</t>
  </si>
  <si>
    <t>WOS:001062823200001</t>
  </si>
  <si>
    <t>Saied, S; Shaldam, M; Elbadawi, MM; Giovannuzzi, S; Nocentini, A; Almahli, H; Salem, R; Ibrahim, TM; Supuran, CT; Eldehna, WM</t>
  </si>
  <si>
    <t>Saied, Samaa; Shaldam, Moataz; Elbadawi, Mostafa M.; Giovannuzzi, Simone; Nocentini, Alessio; Almahli, Hadia; Salem, Rofaida; Ibrahim, Tamer M.; Supuran, Claudiu T.; Eldehna, Wagdy M.</t>
  </si>
  <si>
    <t>Discovery of indolinone-bearing benzenesulfonamides as new dual carbonic anhydrase and VEGFR-2 inhibitors possessing anticancer and pro-apoptotic properties</t>
  </si>
  <si>
    <t>Hypoxic tumors; VEGFR-2 inhibitors; Anticancer agents; Angiogenesis; Molecular modeling; Tail approach</t>
  </si>
  <si>
    <t>CYTOTOXICITY EVALUATION; ISOFORMS IX; DESIGN; HYBRIDS; HYPOXIA; TUMORS; XII; DERIVATIVES; TOXICITY; DOCKING</t>
  </si>
  <si>
    <t>In the current medical era, the utilization of a single small molecule to simultaneously target two distinct molecular targets is emerging as a highly effective strategy in the battle against cancer. Carbonic Anhydrase (CA) and Vascular-Endothelial Growth Factor (VEGF) are genes that are activated in response to low oxygen levels (hypoxia) and play a role in the development and progression of tumors in hypoxic conditions. Herein we report the design, synthesis, and biological assessment of a series of novel indolinone-based benzenesulfonamides (8a-k, 11a-d, 15a-d, and 16) as potential dual inhibitors for cancer-associated hCA IX/XII and VEGFR-2. All the synthesized sulfonamides were assessed for their inhibitory effect against four CA isoforms I, II, IX, and XII where they displayed varying degrees of hCA inhibition. The most effective and selective hCA IX and XII inhibitors 8g, 8j and 15b were chosen to be tested for their in vitro inhibitory impact against VEGFR-2 as well as their antiproliferative impact against VEGFR-2 overexpressing MDA-MB-231 and MCF-7 breast cancer cells. Furthermore, molecular docking studies were conducted within the hCA IX, XII, and VEGFR-2 active sites to explain the observed inhibitory results.</t>
  </si>
  <si>
    <t>[Saied, Samaa; Shaldam, Moataz; Elbadawi, Mostafa M.; Salem, Rofaida; Ibrahim, Tamer M.; Eldehna, Wagdy M.] Kafrelsheikh Univ, Fac Pharm, Dept Pharmaceut Chem, POB, Kafrelsheikh 33516, Egypt; [Giovannuzzi, Simone; Nocentini, Alessio; Supuran, Claudiu T.] Univ Florence, Dept NEUROFARBA, Sect Pharmaceut &amp; Nutraceut Sci, Polo Sci, Via U Schiff 6, I-50019 Florence, Italy; [Almahli, Hadia] Univ Cambridge, Dept Chem, Cambridge CB2 1EW, England</t>
  </si>
  <si>
    <t>Egyptian Knowledge Bank (EKB); Kafrelsheikh University; University of Florence; University of Cambridge</t>
  </si>
  <si>
    <t>Eldehna, WM (corresponding author), Kafrelsheikh Univ, Fac Pharm, Dept Pharmaceut Chem, POB, Kafrelsheikh 33516, Egypt.;Supuran, CT (corresponding author), Univ Florence, Dept NEUROFARBA, Sect Pharmaceut &amp; Nutraceut Sci, Polo Sci, Via U Schiff 6, I-50019 Florence, Italy.</t>
  </si>
  <si>
    <t>claudiu.supuran@unifi.it; wagdy2000@gmail.com</t>
  </si>
  <si>
    <t>Giovannuzzi, Simone/HSF-1314-2023; Eldehna, Wagdy/AAK-6871-2020</t>
  </si>
  <si>
    <t>Giovannuzzi, Simone/0000-0002-0669-7481; Eldehna, Wagdy/0000-0001-6996-4017</t>
  </si>
  <si>
    <t>10.1016/j.ejmech.2023.115707</t>
  </si>
  <si>
    <t>Q6ZH7</t>
  </si>
  <si>
    <t>WOS:001058981700001</t>
  </si>
  <si>
    <t>Wang, HX; Lei, B; Wu, YT</t>
  </si>
  <si>
    <t>Wang, Hai-Xiao; Lei, Biao; Wu, Yu-Ting</t>
  </si>
  <si>
    <t>Control strategies of pumps in organic Rankine cycle under variable condensing conditions</t>
  </si>
  <si>
    <t>Organic Rankine cycle; Multistage centrifugal pump; Cooling water pump; Condensing conditions; Control strategies</t>
  </si>
  <si>
    <t>SINGLE-SCREW EXPANDER; WASTE HEAT; CENTRIFUGAL PUMP; WORKING FLUID; POWER-PLANT; PERFORMANCE; RECOVERY; ORC; EFFICIENCY; OPERATION</t>
  </si>
  <si>
    <t>The working medium pump and cooling water pump are important components in organic Rankine cycle system. However, they have not received as much attention as the expander and working medium. Simultaneously, the dramatic changes in condensing environment deviate the organic Rankine cycle working point from the designed operating conditions. Hence, this paper focused on the performance improvements and control strategies of working medium pump and cooling water pump in small-scale organic Rankine cycle under variable condensing conditions. A model was established to predict the performances of an organic Rankine cycle system with R245fa, especially the pumps in the system, under variable condensing conditions. The results showed that the overall efficiency of multi-stage centrifugal pump was between 14% and 39% at an estimated speed of approximately 1600 RPM to 2328 RPM. In winter conditions, the back work ratio increased from 0.05 to 0.19 with increasing evaporation pressure and decreasing mass flow rate. In other words, it is unnecessary to pursue excessively high evaporation temperature at low rotational speed of multi-stage centrifugal pump. As for the cooling water pump, it is feasible to reduce the power consumption of the cooling system through changing the rotational speed of water pump. The water pump can be operated with high efficiency (between approximately 58.4% and 65.3%, corresponding to an estimated speed range of 1374 RPM to 1813 RPM) when the system run in optimum operating conditions. It is also found that the performance of organic Rankine cycle was strongly influenced by fluctuating ambient temperature, with the net efficiency and net power increase of 3.36 % and 5.11 kW in winter compared to summer.</t>
  </si>
  <si>
    <t>[Wang, Hai-Xiao; Lei, Biao; Wu, Yu-Ting] Beijing Univ Technol, Fac Environm &amp; Life, Key Lab Enhanced Heat Transfer &amp; Energy Conservat, Beijing Key Lab Heat Transfer &amp; Energy Convers,MOE, Beijing 100124, Peoples R China</t>
  </si>
  <si>
    <t>Lei, B (corresponding author), Beijing Univ Technol, Fac Environm &amp; Life, Key Lab Enhanced Heat Transfer &amp; Energy Conservat, Beijing Key Lab Heat Transfer &amp; Energy Convers,MOE, Beijing 100124, Peoples R China.</t>
  </si>
  <si>
    <t>leibiao@bjut.edu.cn</t>
  </si>
  <si>
    <t>Beijing Municipal Natural Science Foun [3202006]</t>
  </si>
  <si>
    <t>Beijing Municipal Natural Science Foun</t>
  </si>
  <si>
    <t>This work is supported by Beijing Municipal Natural Science Foun- dation (NO. 3202006) .</t>
  </si>
  <si>
    <t>10.1016/j.applthermaleng.2023.121226</t>
  </si>
  <si>
    <t>P5JH6</t>
  </si>
  <si>
    <t>WOS:001051033100001</t>
  </si>
  <si>
    <t>Wang, QY; Lv, XL; Zeman, A</t>
  </si>
  <si>
    <t>Wang, Qiu-Yu; Lv, Xian-Long; Zeman, Abdol</t>
  </si>
  <si>
    <t>Optimization of a multi-energy microgrid in the presence of energy storage and conversion devices by using an improved gray wolf algorithm</t>
  </si>
  <si>
    <t>Multi -energy microgrid; Wind power; Electric vehicle; Load management; Power to gas conversion; Gray wolf algorithm</t>
  </si>
  <si>
    <t>OPTIMAL OPERATION; RENEWABLE ENERGY; SYSTEM; POWER; GAS</t>
  </si>
  <si>
    <t>The growth of electricity consumption and demand for higher quality of electricity has directed the electricity industry towards using new technologies. In this paper, a novel model is proposed for the optimal scheduling of multi-energy microgrid (MEM) systems that rely on renewable energy sources. The model incorporates various emerging high-efficient technologies, including electric vehicle (EV) parking lots, power-to-gas (P2G) facilities, and demand response programs. The MEM system described in this paper comprises several components, such as wind energy generation, multi-carrier energy storage technologies, a boiler, a combined heat and power unit, power-to-gas (P2G) capability, electric vehicles (EVs), and demand response programs. The main objective of the system is to minimize the total operational cost. Moreover, the system operator has the opportunity to actively participate in the electricity, heat, and gas markets, enabling them to fulfill local energy demands and maximize profits through energy exchanges. The proposed system is exposed to uncertainties caused by wind power, demand, electric vehicles and power price. The optimization process in this study utilizes the Gray Wolf Algorithm, which has been enhanced by incorporating the Local Escaping Operator method. This improved algorithm is employed to optimize the scheduling and operation of the multi-energy microgrid (MEM) system. The goal of the Gray Wolf Algorithm, in combination with the Local Escaping Operator method, is to find optimal solutions that minimize the total operational costs of the MEM system while considering factors such as renewable energy generation, energy storage, demand response programs, and the integration of emerging technologies. The results obtained from the optimization process demonstrate a reduction in the total cost of operations when various technologies are integrated into the grid. By applying the proposed optimization model, which incorporates the Gray Wolf Algorithm improved via the Local Escaping Operator method, the overall operational costs of the MEM system are decreased. This reduction in costs is achieved by efficiently managing the integration of renewable energy sources, energy storage technologies, demand response programs, and other emerging technologies within the grid. Simulations are conducted for different scenarios, and the results show that integrated energy scheduling, along with the incorporation of emerging technologies and vehicle-to-grid capability, can reduce the total operating cost by 15%. Furthermore, the integration of multi-carrier energy storage systems with electricityto-gas technology can reduce daily performance costs by up to 10%.</t>
  </si>
  <si>
    <t>[Wang, Qiu-Yu] Zhengzhou Univ, Sch Elect &amp; Informat Engn, Zhengzhou 450001, Henan, Peoples R China; [Lv, Xian-Long] Tianjin Univ, Sch Elect &amp; Informat Engn, Tianjin 300072, Peoples R China; [Zeman, Abdol] Sun life Co, Elect Engn Dept, Baku, Azerbaijan</t>
  </si>
  <si>
    <t>Zhengzhou University; Tianjin University</t>
  </si>
  <si>
    <t>Lv, XL (corresponding author), Tianjin Univ, Sch Elect &amp; Informat Engn, Tianjin 300072, Peoples R China.</t>
  </si>
  <si>
    <t>xianlonglv@tju.edu.cn</t>
  </si>
  <si>
    <t>10.1016/j.applthermaleng.2023.121141</t>
  </si>
  <si>
    <t>S2SB3</t>
  </si>
  <si>
    <t>WOS:001069709000001</t>
  </si>
  <si>
    <t>Wen, H; Xu, NY; Soyekwo, F; Dou, PJ; Liu, CK</t>
  </si>
  <si>
    <t>Wen, Hui; Xu, Nuanyuan; Soyekwo, Faizal; Dou, Pengjia; Liu, Changkun</t>
  </si>
  <si>
    <t>Towards enhanced performance of fertilizer-drawn forward osmosis process coupled with sludge thickening using a thin-film nanocomposite membrane interlayered with Mxene scaffolded alginate hydrogel</t>
  </si>
  <si>
    <t>Forward osmosis; Fertilizer-drawn forward osmosis; Sludge thickening; Interlayered TFC membrane; Mxene reinforced hydrogel support; Water reuse</t>
  </si>
  <si>
    <t>WASTE-WATER; PERMEABILITY; DESALINATION; COMPOSITE</t>
  </si>
  <si>
    <t>Forward osmosis (FO) offers the potential for sustainable wastewater reuse and enhance water resource sustainability and resiliency. However, low performance of FO membranes due to the high structural parameter and poor fouling resistance limits their widespread implementation. Structural parameter minimization of substrates and modulation of the surface structures of polyamide nanofilms are crucial to achieve enhanced FO performance. Herein, a novel thin-film nanocomposite (TFN) FO membrane supported with Mxene scaffolded alginate hydrogel interlayer is fabricated. It is found that the incorporation of the hydrophilic and high surface energy alginate hydrogel@Mxene interlayer sandwiched between polyamide nanofilms and microporous substrate minimizes the structural parameter by creating abundant tortuous paths leading to minimized internal concentration polarization. Meanwhile, the nanoconfinement effect induced by the interlayer enabled the formation of lumpy network of bubble wrap-like textured polyamide structures on the membranes. Subsequently, the resulting membranes exhibited enhanced water flux of up to 45.6 LMH in PRO mode using 1.0 M NaCl as the draw solution, while the lower surface roughness bestowed the membranes with the minimal fouling propensity which resulted in more than 80% of the water recovery. Additionally, the integration of the fertilizer-drawn forward osmosis process with sludge thickening successfully enabled the dilution of a 2 M KCl fertilizer solution by 2.4 times after 12 h operation, while simultaneously concentrating the sludge from the MLSS of 2000 mg L-1 to 5183 mg L-1. This work provides important insightful concepts to inspire the development of advanced TFN-FO membranes with good overall performance suitable for sustainable water reuse using osmotically driven membrane processes.</t>
  </si>
  <si>
    <t>[Wen, Hui; Xu, Nuanyuan; Soyekwo, Faizal; Dou, Pengjia; Liu, Changkun] Shenzhen Univ, Coll Chem &amp; Environm Engn, 1066 Xueyuan Blvd, Shenzhen 518055, Guangdong, Peoples R China</t>
  </si>
  <si>
    <t>Shenzhen University</t>
  </si>
  <si>
    <t>Liu, CK (corresponding author), Shenzhen Univ, Coll Chem &amp; Environm Engn, 1066 Xueyuan Blvd, Shenzhen 518055, Guangdong, Peoples R China.</t>
  </si>
  <si>
    <t>liuck@szu.edu.cn</t>
  </si>
  <si>
    <t>Wen, Hui/IQW-8550-2023</t>
  </si>
  <si>
    <t>Dou, Pengjia/0000-0003-4396-2851</t>
  </si>
  <si>
    <t>Guangdong Basic and Applied Basic Research Foundation [2022A1515011772, 2023A1515010631]; Shenzhen Science and Technology Program [JCYJ20210324095409026]</t>
  </si>
  <si>
    <t>Guangdong Basic and Applied Basic Research Foundation; Shenzhen Science and Technology Program</t>
  </si>
  <si>
    <t>This work was supported by Guangdong Basic and Applied Basic Research Foundation (2022A1515011772, 2023A1515010631), and Shenzhen Science and Technology Program (JCYJ20210324095409026).</t>
  </si>
  <si>
    <t>10.1016/j.memsci.2023.121899</t>
  </si>
  <si>
    <t>O5HV3</t>
  </si>
  <si>
    <t>WOS:001044128200001</t>
  </si>
  <si>
    <t>Xu, Z; Liu, HS; Han, PH; Feng, YJ</t>
  </si>
  <si>
    <t>Xu, Zhi; Liu, Hongsheng; Han, Peihui; Feng, Yujun</t>
  </si>
  <si>
    <t>CO2-induced viscoelastic fluids based on a C22-tailed tertiary amine under different pressure and temperature</t>
  </si>
  <si>
    <t>CO 2-thickening; Wormlike micelles; Viscoelastic surfactant; Smart fluids; Improved oil recovery</t>
  </si>
  <si>
    <t>WORMLIKE MICELLES; CARBON-DIOXIDE; RHEOLOGICAL PROPERTIES; SWITCHABLE SOLVENTS; MOBILITY CONTROL; OIL-RECOVERY; CO2; SURFACTANTS; WATER; EXTRACTION</t>
  </si>
  <si>
    <t>CO2-switchable viscoelastic surfactant solutions have gained much attention over the last decade; however, large-scale application and the impact of temperature and pressure on such soft colloidal materials have not been explored yet. Here in this work, the impact of environmental parameters including shear rate, pressure, temperature, and salinity on CO2-thickening behavior of aqueous dispersion of N-erucamidopropyl-N,N-dimethylamine (UC22AMPM) was assessed rheologically. Preliminary immiscible water-alternating-CO2 (CO2-WAG) flooding tests with and without UC22AMPM were conducted to highlight the potential of CO2-switchable surfactants in the process of improved oil recovery. The results demonstrated that the dispersion can be viscosified by CO2 15 times higher at 60 degrees C and 5 MPa, and such thickening power can be switched on and off upon bubbling and removal of CO2. A universal double-plateau viscosity profile was found as a function of CO2 bubbling time irrespective environmental condition, but the higher the shear rate or the pressure, the shorter the time is needed to reach the plateau viscosity; the higher the temperature, the longer the time is needed to get to the second plateau viscosity. UC22AMPM is first protonated into a long-chain cationic surfactant to form wormlike micellar solution, then the first viscosity plateau; expansion of the viscoelastic solution with CO2 attributes to the second viscosity plateau. Under the simulated oil reservoir of Daqing oilfield, immiscible CO2- WAG flood alone produced an additional 10.5% oil over the initial waterflood recovery, while the addition of 2.1 wt% UC22AMPM in the water slug could recover incremental 5.1% oil relative to pure CO2-WAG. These unique features suggest that coupling injection of CO2 and UC22AMPM dispersion holds great promise for recovering oil during the immiscible CO2-WAG process.</t>
  </si>
  <si>
    <t>[Xu, Zhi; Feng, Yujun] Chinese Acad Sci, Chengdu Inst Organ Chem, Chengdu 610041, Peoples R China; [Feng, Yujun] Sichuan Univ, Polymer Res Inst, State Key Lab Polymer Mat Engn, Chengdu 610065, Peoples R China; [Liu, Hongsheng; Han, Peihui] Daqing Oilfield Co PetroChina, Daqing Petr Inst Explorat &amp; Dev, EOR Lab 1, Daqing 610065, Peoples R China; [Xu, Zhi] Univ Chinese Acad Sci, Beijing 100049, Peoples R China</t>
  </si>
  <si>
    <t>Chinese Academy of Sciences; Sichuan University; Chinese Academy of Sciences; University of Chinese Academy of Sciences, CAS</t>
  </si>
  <si>
    <t>Feng, YJ (corresponding author), Sichuan Univ, Polymer Res Inst, State Key Lab Polymer Mat Engn, Chengdu 610065, Peoples R China.</t>
  </si>
  <si>
    <t>yjfeng@scu.edu.cn</t>
  </si>
  <si>
    <t>Natural Science Foundation of Sichuan Province [2022NSFSC0030]; Natural Science Foundation of China [21773161]</t>
  </si>
  <si>
    <t>Natural Science Foundation of Sichuan Province; Natural Science Foundation of China(National Natural Science Foundation of China (NSFC))</t>
  </si>
  <si>
    <t>Financial support from the Natural Science Foundation of Sichuan Province [grant number: 2022NSFSC0030] and the Natural Science Foundation of China [grant number: 21773161] is gratefully acknowledged.</t>
  </si>
  <si>
    <t>10.1016/j.colsurfa.2023.132212</t>
  </si>
  <si>
    <t>S7OX0</t>
  </si>
  <si>
    <t>WOS:001073037700001</t>
  </si>
  <si>
    <t>Zhang, SJ; Mao, YP; Wei, L; Song, ZL; Zhao, XQ; Wang, WL</t>
  </si>
  <si>
    <t>Zhang, Shujuan; Mao, Yanpeng; Wei, Lai; Song, Zhanlong; Zhao, Xiqiang; Wang, Wenlong</t>
  </si>
  <si>
    <t>Full-value preparation of biochar and 2D N-doped CDs@ZIF-L from fermentation residues for sensitive sensing tetracyclines in food samples</t>
  </si>
  <si>
    <t>Hydrothermal carbonization method; Fermentation residues; Biochar; N-doped carbon dots; Zeolitic imidazolate frameworks; Sensing tetracyclines</t>
  </si>
  <si>
    <t>CARBON QUANTUM DOTS; HYDROTHERMAL CARBONIZATION; PYROLYSIS; TEMPERATURE; MECHANISMS; COMPOSITE; NITROGEN; PLATFORM; LIGNIN</t>
  </si>
  <si>
    <t>The use of thermal conversion to convert Chinese patent medicines (CPM) residues into porous carbon-based materials and carbon dots (CDs) has effectively resolved the challenges associated with resource waste and environmental pollution while enhancing the added value of CPM residues. In this study, biochar and N-doped CDs with high quantum yield (QY) were simultaneously prepared from fermentation residues by employing a hydrothermal carbonization method without any chemical reagents. The obtained biochar had remarkable adsorption capacity, with an iodine adsorption value of 693.22 mg g-1. The QY of N-doped CDs could reach to 36.17 % by the mean of self-doping due to the high nitrogen content of the fermentation residues. Considering the structural integrity and permeable porous structure of the two-dimensional leaf-like zeolitic imidazole framework (ZIF-L), N-doped CDs were encapsulated into ZIF-L to form novel fluorescent composites (N-doped CDs@ZIF-L). Moreover, N-doped CDs@ZIF-L as a novel fluorescent probe could be efficiently quenched in the presence of tetracycline (TC), doxycycline (DOC), and chlortetracycline (CTC) by static quenching and the inner filter effect. Notably, the fluorescent probe exhibited a good linear relationship with the TC, DOC, and CTC at 0-50, 0-50, and 0-45 &amp; mu;M, respectively, with limits of detection of 0.025, 0.033, and 0.027 &amp; mu;M, respectively. This probe could be employed to detect TC antibiotics in honey and milk, suggesting that it had the great potential for applications in environmental monitoring and food safety.</t>
  </si>
  <si>
    <t>[Zhang, Shujuan; Mao, Yanpeng; Wei, Lai; Song, Zhanlong; Zhao, Xiqiang; Wang, Wenlong] Shandong Univ, Sch Energy &amp; Power Engn, Engn Res Ctr Environm Thermal Technol, Natl Engn Lab Reducing Emiss Coal Combust,Shandong, Jinan 250061, Shandong, Peoples R China; [Mao, Yanpeng] Shandong Univ, Sch Energy &amp; Power Engn, Jinan 250061, Shandong, Peoples R China</t>
  </si>
  <si>
    <t>Shandong University; Shandong University</t>
  </si>
  <si>
    <t>Mao, YP (corresponding author), Shandong Univ, Sch Energy &amp; Power Engn, Jinan 250061, Shandong, Peoples R China.</t>
  </si>
  <si>
    <t>maoyanpeng@sdu.edu.cn</t>
  </si>
  <si>
    <t>National Key Research Development Program of China [2022CXGC010701]; Key Research Development Project of Shandong Province [ZR2022ME116]; Natural Science Foundation of Shandong Province; [2020YFC1910000]</t>
  </si>
  <si>
    <t>National Key Research Development Program of China; Key Research Development Project of Shandong Province; Natural Science Foundation of Shandong Province(Natural Science Foundation of Shandong Province);</t>
  </si>
  <si>
    <t>We gratefully acknowledge the financial support from the National Key Research Development Program of China (2020YFC1910000) , Key Research Development Project of Shandong Province (2022CXGC010701) and Natural Science Foundation of Shandong Province (ZR2022ME116) .</t>
  </si>
  <si>
    <t>10.1016/j.colsurfa.2023.132073</t>
  </si>
  <si>
    <t>Q0HK7</t>
  </si>
  <si>
    <t>WOS:001054403700001</t>
  </si>
  <si>
    <t>Vyas, A; Wang, YD; Hajj, R; Jahns, E</t>
  </si>
  <si>
    <t>Vyas, Abhilash; Wang, Yudi; Hajj, Ramez; Jahns, Ekkehard</t>
  </si>
  <si>
    <t>Investigation of factors affecting modified asphalt binder development and performance using the poker chip test</t>
  </si>
  <si>
    <t>CONSTRUCTION AND BUILDING MATERIALS</t>
  </si>
  <si>
    <t>Asphalt; Poker chip test; Modified asphalt binders; MSCR</t>
  </si>
  <si>
    <t>MULTIPLE STRESS CREEP; RHEOLOGICAL PROPERTIES; DYNAMIC MODULUS</t>
  </si>
  <si>
    <t>With the surge in the use of modified asphalt binders throughout the world, it is important to examine these materials for performance outside of their linear viscoelastic (LVE) range. Modified asphalt binders, which are usually costlier, are expected to increase the service life of asphalt pavements. The current paper utilizes two approaches to evaluate the nonlinear viscoelastic and failure performance of eight binders including six novel modified asphalt binders. First, the poker chip test for cracking performance evaluation was conducted at different loading rates and aging levels. The results conclude the efficacy of the poker chip test to differentiate and rank the best performing modified asphalt binders. Furthermore, the impact of varying the loading rates, aging levels, modifications, and performance grades was also studied. These results indicated that loading rates ranging from 1 to 4 N/s can be used to differentiate modified binder performance with similar ranking, which allows a wider range of machines to be used to do this test. In addition, the impacts of aging were studied to introduce differentiation between modifiers which are sensitive to aging. Apart from this, the Multiple Stress Creep Recovery (MSCR) test was conducted to evaluate the rutting performance. MSCR results further augmented the confidence in initial rankings as polymer-modified binders showed superior performance to other modifier types. It was observed that the top two binders in terms of poker chip results also had the best MSCR performance. Hence, instead of balancing the performance, like is done for mixtures, between rutting and cracking, an optimum binder can be synthesized which has excellent performance against load-related cracking and permanent deformation. This sets the stage for a balanced binder selection and design process to be implemented into future specifications and research efforts.</t>
  </si>
  <si>
    <t>[Vyas, Abhilash; Wang, Yudi; Hajj, Ramez] Univ Illinois Urbana &amp; Champaign, Dept Civil &amp; Environm Engn, 205 N Mathews Ave, Urbana, IL 61801 USA; [Jahns, Ekkehard] BASF, SE, Ludwigshafen, Germany</t>
  </si>
  <si>
    <t>University of Illinois System; University of Illinois Urbana-Champaign; BASF</t>
  </si>
  <si>
    <t>Hajj, R (corresponding author), Univ Illinois Urbana &amp; Champaign, Dept Civil &amp; Environm Engn, 205 N Mathews Ave, Urbana, IL 61801 USA.</t>
  </si>
  <si>
    <t>rhajj@illinois.edu</t>
  </si>
  <si>
    <t>BASF SE</t>
  </si>
  <si>
    <t>BASF SE(BASF)</t>
  </si>
  <si>
    <t>The authors gratefully acknowledge BASF SE for providing funding for this study</t>
  </si>
  <si>
    <t>0950-0618</t>
  </si>
  <si>
    <t>1879-0526</t>
  </si>
  <si>
    <t>CONSTR BUILD MATER</t>
  </si>
  <si>
    <t>Constr. Build. Mater.</t>
  </si>
  <si>
    <t>NOV 3</t>
  </si>
  <si>
    <t>10.1016/j.conbuildmat.2023.133037</t>
  </si>
  <si>
    <t>S1UD8</t>
  </si>
  <si>
    <t>WOS:001069083300001</t>
  </si>
  <si>
    <t>Zhang, ZH; Cui, WT; Liu, ZD; Liu, W; Xi, BL; Chen, ML</t>
  </si>
  <si>
    <t>Zhang, Zhenhua; Cui, Wentian; Liu, Zhidan; Liu, Wu; Xi, Banglu; Chen, Mingliang</t>
  </si>
  <si>
    <t>Study on the cracking mechanism of strongly weathered purple mudstone under wetting and drying effect through experiments and molecular dynamics simulation</t>
  </si>
  <si>
    <t>Mudstone; Wetting and drying; Meso-structure characteristic; Hyperspectral imaging; Molecular dynamics; Cracking mechanism</t>
  </si>
  <si>
    <t>MONTMORILLONITE; HYDRATION; BEHAVIOR; CYCLES</t>
  </si>
  <si>
    <t>This study aims to investigate the cracking mechanism of strongly weathered purple mudstone (SWPM) samples in Three Gorges Reservoir (TGR) drawdown area, China under wetting and drying (WD) effect. The surface morphology and internal meso-structure changes of SWPM samples were observed by laboratory WD experiments and X-ray computed tomography (CT). Then, the Hyperspectral imaging (HSI) was conducted to explore the mineral components and mineral distribution on the crack sidewalls of the SWPM samples under WD effect, and the Atomic Force Microscopy (AFM) was applied to obtain the height profile of montmorillonite (MMT) on the surface of crack sidewalls based on HSI results. Subsequently, the molecular models contained clay mineral model and non-clay minerals model were established according to HSI analysis. The results showed that the cracks evidently appeared on SWPM surface after WD tests, the initial cracks in the mudstone sample extended continuously and connected pores increased rapidly under WD effect through CT images analysis. The hyper spectral images showed that the montmorillonite, albite and quartz were the main minerals of SWPM cracks area, the montmorillonite was the primary component of clay minerals, and the AFM images illustrated the existence of five layers of montmorillonite crystal layers on the montmorillonite region of the crack sidewalls. The MD simulation revealed that the interaction energy of SiO2 MMT layers and MMT-MMT layers decreased with the increase of water content, and the electrostatic energy accounted for most of the energy. In wet condition, the distance of SiO2-MMT layers and MMT-MMT layers was raised with the swelling of montmorillonite due to the water intrusion. In dry condition, as the amount of water diminished, the MMT layers were close to each other and the spacing was shrinking, while the distance between MMT and SiO2 expanded continuously. The extension of the spacing SiO2-MMT layers in the dehydrated state was considerably more superior than that in the water absorption state, with the large apparent distance emerging between SiO2 and MMT, which illustrating the adjacent area of montmorillonite and detrital mineral in SWPM can easily appear microcracks under WD effect. This work directly explained the interaction behavior of SiO2-MMT layers and MMT-MMT layers at the molecular level, which provided a new perspective to comprehend the cracking process of strongly weathered purple mudstone in the TGR area.</t>
  </si>
  <si>
    <t>[Zhang, Zhenhua; Cui, Wentian; Liu, Zhidan; Liu, Wu; Xi, Banglu; Chen, Mingliang] Hefei Univ Technol, Sch Civil Engn, Hefei 230009, Anhui, Peoples R China; [Zhang, Zhenhua; Liu, Wu; Xi, Banglu] Hefei Univ Technol, Anhui Key Lab Civil Engn Struct &amp; Mat, Hefei 230009, Peoples R China</t>
  </si>
  <si>
    <t>Cui, WT (corresponding author), Hefei Univ Technol, Sch Civil Engn, Hefei 230009, Anhui, Peoples R China.</t>
  </si>
  <si>
    <t>wentiancui1@163.com</t>
  </si>
  <si>
    <t>National Natural Science Founda-tion of China [51979068, 51579063]; Fundamental Research Funds for the Central Universities [JZ2023HGQA0096]</t>
  </si>
  <si>
    <t>National Natural Science Founda-tion of China(National Natural Science Foundation of China (NSFC)); Fundamental Research Funds for the Central Universities(Fundamental Research Funds for the Central Universities)</t>
  </si>
  <si>
    <t>Funding This publication is supported by National Natural Science Founda-tion of China (No. 51979068, No. 51579063) and Fundamental Research Funds for the Central Universities (JZ2023HGQA0096) .</t>
  </si>
  <si>
    <t>10.1016/j.conbuildmat.2023.133104</t>
  </si>
  <si>
    <t>S1NS1</t>
  </si>
  <si>
    <t>WOS:001068914300001</t>
  </si>
  <si>
    <t>Abid, I; Bouri, E; Galariotis, E; Guesmi, K; Mzoughi, H</t>
  </si>
  <si>
    <t>Abid, Ilyes; Bouri, Elie; Galariotis, Emilios; Guesmi, Khaled; Mzoughi, Hela</t>
  </si>
  <si>
    <t>Bitcoin vs. fiat currencies: Insights from extreme dependence and risk spillover analysis with financial markets</t>
  </si>
  <si>
    <t>INTERNATIONAL REVIEW OF FINANCIAL ANALYSIS</t>
  </si>
  <si>
    <t>Bitcoin; Fiat currencies; Financial markets; Extreme dependence and risk spillovers; Price spillovers; Copulas; CoVaR</t>
  </si>
  <si>
    <t>SAFE HAVEN PROPERTIES; EXCHANGE-RATES; SYSTEMIC RISK; CRUDE-OIL; GOLD; CRYPTOCURRENCIES; HEDGE; DOWNSIDE; ASSETS</t>
  </si>
  <si>
    <t>We compare Bitcoin to fiat currencies (EUR, GBP, and JPY) using extreme dependence and temporal dynamic risk spillover analysis with various financial markets covering fixed-income, stock, and commodity indices. Using daily data from October 2010 to December 2022, covering various stress periods including the COVID-19 outbreak and the war in Ukraine, the results are summarized as follows. First, there is a similarity during the bearish market between Bitcoin and fiat currency markets regarding their relationships with fixed-income and gold markets in terms of temporal dynamic upside and downside risk spillover impacts despite the dissimilarity in their tail dependence structures. Thus, Bitcoin and fiat currency markets emerge as very feasible investments due to their insensitivity to the downside risk associated with fixed-income and gold markets. Second, there is a clear difference between Bitcoin and fiat currencies in their relationship with stock and crude oil markets based on the temporal dynamic upside and downside risk spillovers. Investors in stock and crude oil markets should consider fiat currencies for diversification purposes whereas these investors should take a short position on Bitcoin to protect their portfolio against downside extreme events such as the COVID-19 outbreak and Russia-Ukraine conflict. Our findings have implications for investors in terms of how they can protect their portfolios against extreme downward price movements.</t>
  </si>
  <si>
    <t>[Abid, Ilyes] Inst Super Commerce Paris, Paris, France; [Bouri, Elie] Lebanese Amer Univ, Sch Business, Beirut, Lebanon; [Galariotis, Emilios] Audencia Business Sch, Nantes, France; [Guesmi, Khaled] Paris Sch Business, Ctr Res Energy &amp; Climate Change CRECC, Paris, France; [Mzoughi, Hela] Fac Econ &amp; Management Tunis, Tunis, Tunisia; [Mzoughi, Hela] Univ Carthage, LR MASE-ESSAI LR21ES21, Carthage, Tunisia</t>
  </si>
  <si>
    <t>Lebanese American University; Audencia; Universite de Carthage</t>
  </si>
  <si>
    <t>Abid, I (corresponding author), Inst Super Commerce Paris, Paris, France.</t>
  </si>
  <si>
    <t>iabid@iscparis.com</t>
  </si>
  <si>
    <t>Bouri, Elie/N-1368-2015; Galariotis, Emilios/B-7849-2018</t>
  </si>
  <si>
    <t>Bouri, Elie/0000-0003-2628-5027; Galariotis, Emilios/0000-0002-8575-894X; mzoughi, hela/0000-0002-9289-2928</t>
  </si>
  <si>
    <t>1057-5219</t>
  </si>
  <si>
    <t>1873-8079</t>
  </si>
  <si>
    <t>INT REV FINANC ANAL</t>
  </si>
  <si>
    <t>Int. Rev. Financ. Anal.</t>
  </si>
  <si>
    <t>NOV</t>
  </si>
  <si>
    <t>10.1016/j.irfa.2023.102806</t>
  </si>
  <si>
    <t>R3OQ2</t>
  </si>
  <si>
    <t>WOS:001063482700001</t>
  </si>
  <si>
    <t>Afiat, BC; Zhao, D; Wong, VHY; Perera, ND; Turner, BJ; Nguyen, CTO; Bui, BV</t>
  </si>
  <si>
    <t>Afiat, Brianna C.; Zhao, Da; Wong, Vickie H. Y.; Perera, Nirma D.; Turner, Bradley J.; Nguyen, Christine T. O.; Bui, Bang V.</t>
  </si>
  <si>
    <t>Age-related deficits in retinal autophagy following intraocular pressure elevation in autophagy reporter mouse model</t>
  </si>
  <si>
    <t>NEUROBIOLOGY OF AGING</t>
  </si>
  <si>
    <t>CAG-RFP-EGFP-LC3; Confocal microscopy; Electroretinography; Glaucoma; Macroautophagy; Retinal neurodegeneration</t>
  </si>
  <si>
    <t>OPTIC-NERVE; GANGLION-CELLS; MITOCHONDRIAL DYNAMICS; ENERGY-METABOLISM; AXONAL-TRANSPORT; RAT MODEL; GLAUCOMA; BRAIN; MECHANISMS; SURVIVAL</t>
  </si>
  <si>
    <t>This study quantified age-related changes to retinal autophagy using the CAG-RFP-EGFP-LC3 autophagy reporter mice and considered how aging impacts autophagic responses to acute intraocular pressure (IOP) stress. IOP was elevated to 50 mm Hg for 30 minutes in 3-month-old and 12-month-old CAG-RFP-EGFP-LC3 (n = 7 per age group) and Thy1-YFPh transgenic mice (n = 3 per age group). Compared with younger eyes, older eyes showed diminished basal autophagy in the outer retina, while the inner retina was unaffected. Autophagic flux (red:yellow puncta ratio) was elevated in the inner plexiform layer. Three days following IOP elevation, older eyes showed poorer functional recovery, most notably in ganglion cell responses compared to younger eyes (12 months old: -33.4 &amp; PLUSMN; 5.3% vs. 3 months mice: -13.4 &amp; PLUSMN; 4.5%). This paralleled a reduced capacity to upregulate autophagic puncta volume in the inner retina in older eyes, a response that was seen in younger eyes. Age-related decline in basal and stress-induced autophagy in the retina is associated with greater retinal ganglion cells' susceptibility to IOP elevation.</t>
  </si>
  <si>
    <t>[Afiat, Brianna C.; Zhao, Da; Wong, Vickie H. Y.; Nguyen, Christine T. O.; Bui, Bang V.] Univ Melbourne, Dept Optometry &amp; Vis Sci, Parkville, Vic, Australia; [Perera, Nirma D.; Turner, Bradley J.] Florey Inst Neurosci &amp; Mental Hlth, Parkville, Vic, Australia; [Bui, Bang V.] Univ Melbourne, Dept Optometry &amp; Vis Sci, 202 Berkeley St, Parkville, Vic 3010, Australia</t>
  </si>
  <si>
    <t>University of Melbourne; Florey Institute of Neuroscience &amp; Mental Health; University of Melbourne</t>
  </si>
  <si>
    <t>Bui, BV (corresponding author), Univ Melbourne, Dept Optometry &amp; Vis Sci, 202 Berkeley St, Parkville, Vic 3010, Australia.</t>
  </si>
  <si>
    <t>bvb@unimelb.edu.au</t>
  </si>
  <si>
    <t>0197-4580</t>
  </si>
  <si>
    <t>1558-1497</t>
  </si>
  <si>
    <t>NEUROBIOL AGING</t>
  </si>
  <si>
    <t>Neurobiol. Aging</t>
  </si>
  <si>
    <t>10.1016/j.neurobiolaging.2023.07.009</t>
  </si>
  <si>
    <t>Geriatrics &amp; Gerontology; Neurosciences</t>
  </si>
  <si>
    <t>Geriatrics &amp; Gerontology; Neurosciences &amp; Neurology</t>
  </si>
  <si>
    <t>R7DU4</t>
  </si>
  <si>
    <t>WOS:001065929700001</t>
  </si>
  <si>
    <t>Ahmad, J; Zhou, ZG</t>
  </si>
  <si>
    <t>Ahmad, Jawad; Zhou, Zhiguang</t>
  </si>
  <si>
    <t>Mechanical performance of waste marble based self compacting concrete reinforced with steel fiber (Part I)</t>
  </si>
  <si>
    <t>JOURNAL OF BUILDING ENGINEERING</t>
  </si>
  <si>
    <t>Self compacting concrete; Marble waste; Steel fibers; Flowability; Strength and cracking behavior</t>
  </si>
  <si>
    <t>SILICA FUME; FLEXURAL BEHAVIOR; NANO-SILICA; STRENGTH; CEMENT; FRESH; POWDER; SAND</t>
  </si>
  <si>
    <t>A two-phase testing setup was established to achieve the research's goal. In the initial phase, response surface methodology (RSM) was used for the optimization of marble waste and superplasticizers. In the second phase, five batches of fiber-reinforced concrete are casted with differing proportions of steel fiber (SF) ranging from 0 to 2.0%. Slump flow, slump T50, V-funnel, and L box tests were utilized to evaluate the passing and filling abilities of SCC. Compressive, tensile, flexural, pull-out and impact strength tests were conducted to evaluate the mechanical strength. Furthermore, failure modes and cracking behaviors were also studied. Scan electronic microscopy (SEM) test was used to study the internal structure. Experiments show that RSM can be successfully used for optimization. The filling and passing ability of SCC was declined with the addition of SF. However, it can be observed that up to 1.5% addition of SF falls inside the limit described by guidelines for SCC with good filling and passing ability. Strength properties improved with the addition of SF up to 1.5% addition due to bridging effects. Furthermore, SF does not considerably improve the compressive capacity (only 8.0% improved compressive capacity), but it changes the brittle failure into ductile failure. However, significant enhancement was observed in tensile strength, flexural strength, pull-out strength, and impact energy absorption which is 66%, 86%, 80%, and 75% (28 days) more than from the reference blend respectively. The study concludes that with the optimization of plasticizer and SF through RSM, better performance of SCC can be achieved. However, a higher dose of SF (2.0%) decreased the SCC performance due to the absence of workability. Therefore, the research suggests to used SF up to 1.5% or recommending a higher percentage of plasticizer for a higher dose of SF.</t>
  </si>
  <si>
    <t>[Ahmad, Jawad; Zhou, Zhiguang] Tongji Univ, Dept Disaster Mitigat Struct, Shanghai 200092, Peoples R China</t>
  </si>
  <si>
    <t>Tongji University</t>
  </si>
  <si>
    <t>Zhou, ZG (corresponding author), Tongji Univ, Dept Disaster Mitigat Struct, Shanghai 200092, Peoples R China.</t>
  </si>
  <si>
    <t>zgzhou@tongji.edu.cn</t>
  </si>
  <si>
    <t>National Natural Science Foundation [51778491]</t>
  </si>
  <si>
    <t>National Natural Science Foundation(National Natural Science Foundation of China (NSFC))</t>
  </si>
  <si>
    <t>The authors extend their appreciation to the National Natural Science Foundation for funding this work under Grant No. 51778491.~</t>
  </si>
  <si>
    <t>2352-7102</t>
  </si>
  <si>
    <t>J BUILD ENG</t>
  </si>
  <si>
    <t>J. Build. Eng.</t>
  </si>
  <si>
    <t>NOV 1</t>
  </si>
  <si>
    <t>10.1016/j.jobe.2023.107574</t>
  </si>
  <si>
    <t>R8DQ0</t>
  </si>
  <si>
    <t>WOS:001066609400001</t>
  </si>
  <si>
    <t>Ali, A; Ghosh, A; Chaudhuri, SS</t>
  </si>
  <si>
    <t>Ali, Asfak; Ghosh, Avra; Chaudhuri, Sheli Sinha</t>
  </si>
  <si>
    <t>LIDN: A novel light invariant image dehazing network</t>
  </si>
  <si>
    <t>ENGINEERING APPLICATIONS OF ARTIFICIAL INTELLIGENCE</t>
  </si>
  <si>
    <t>Dehazing; Deep learning; Daytime dehazing; Night-time dehazing</t>
  </si>
  <si>
    <t>QUALITY ASSESSMENT; VISIBILITY; WEATHER</t>
  </si>
  <si>
    <t>With the increasing demand for efficient image dehazing solutions in computer vision algorithms, particularly for autonomous systems, a research focus on low-inference time yet high-performance dehazing techniques has emerged. Existing dehazing methods predominantly rely on either daytime or nighttime haze models, limiting their effectiveness in handling haziness under varying lighting conditions. To address this limitation, this research paper introduces the Light Invariant Dehazing Network (LIDN), an end-to-end image dehazing network consisting of four sub-modules: Feature Extractor, Deep Global Atmospheric Light Estimator, Medium Transmission Extractor, and Encoder-Decoder. The proposed model, trained using Quadruplet loss, effectively reduces artifacts and produces sharper dehazed images. Extensive experiments conducted under diverse lighting conditions demonstrate the superior performance of the proposed LIDN model compared to state-of-the-art daytime and nighttime dehazing approaches. Remarkably, the proposed model achieves these exceptional results with a runtime of only 0.24s per image, making it highly efficient than existing dehazing algorithms.</t>
  </si>
  <si>
    <t>[Ali, Asfak; Ghosh, Avra; Chaudhuri, Sheli Sinha] Jadavpur Univ, Dept Elect &amp; Telecommun Engn, 188 Raja Subodh Chandra Mallick Rd, Kolkata 700032, West Bengal, India</t>
  </si>
  <si>
    <t>Ali, A (corresponding author), Jadavpur Univ, Dept Elect &amp; Telecommun Engn, 188 Raja Subodh Chandra Mallick Rd, Kolkata 700032, West Bengal, India.</t>
  </si>
  <si>
    <t>asfakali.etce@gmail.com; avra.ece@gmail.com; shelism@rediffmail.com</t>
  </si>
  <si>
    <t>Ali, Asfak/0000-0002-4034-1956</t>
  </si>
  <si>
    <t>0952-1976</t>
  </si>
  <si>
    <t>1873-6769</t>
  </si>
  <si>
    <t>ENG APPL ARTIF INTEL</t>
  </si>
  <si>
    <t>Eng. Appl. Artif. Intell.</t>
  </si>
  <si>
    <t>10.1016/j.engappai.2023.106830</t>
  </si>
  <si>
    <t>Automation &amp; Control Systems; Computer Science, Artificial Intelligence; Engineering, Multidisciplinary; Engineering, Electrical &amp; Electronic</t>
  </si>
  <si>
    <t>Automation &amp; Control Systems; Computer Science; Engineering</t>
  </si>
  <si>
    <t>P0HZ1</t>
  </si>
  <si>
    <t>WOS:001047549000001</t>
  </si>
  <si>
    <t>Alipanah-poor, K; Sheervalilou, R; Irajirad, R; Sarikhani, A; Tavangari, Z; Alamzadeh, Z; Ghaznavi, H; Khoei, S</t>
  </si>
  <si>
    <t>Alipanah-poor, Khadijeh; Sheervalilou, Roghayeh; Irajirad, Rasoul; Sarikhani, Abolfazl; Tavangari, Zahed; Alamzadeh, Zahra; Ghaznavi, Habib; Khoei, Samideh</t>
  </si>
  <si>
    <t>Physico-chemical and MR relaxometry study of bovine serum albumin-coated magneto-plasmonic nanoparticles designed for potential use in cancer nanotheranostics</t>
  </si>
  <si>
    <t>MAGNETIC RESONANCE IMAGING</t>
  </si>
  <si>
    <t>Cancer nanotheranostic; Magneto-plasmonic nanoparticles; Relaxivity; T 2-weighted MRI; Contrast agent</t>
  </si>
  <si>
    <t>IRON-OXIDE NANOPARTICLES; GOLD; APOPTOSIS; NANORODS; TUMORS</t>
  </si>
  <si>
    <t>Purpose: In recent years, the use of nanoparticles has been developed to improve MRI contrast. To improve the contrast agents in image-guided therapy by Multifunctional nanoparticles, in this study, we synthesized a theranostic magneto-plasmonic nanocomplex based on magnetic iron oxide nanoparticles and bovine serum albumin-modified gold nanorod (Au@BSA-Fe3O4@CMD). The purpose of synthesizing these nanoparticles was to use them as MRI contrast agent and photothermal agents in in vitro and in vivo experiments. Materials and methods: Initially, the properties of the synthesized nanoparticles were investigated by methods such as DLS, TEM, FTIR. MTT assay was used to evaluate the toxicity of nanoparticles. Finally, to evaluate the contrast ability of nanoparticles, MRI images were taken in in vitro and in vivo conditions and then the images were analyzed. Results: MTT test results on CT26 cell line showed no significant cytotoxicity for Au@BSA-Fe3O4@CMD nanoparticles at concentrations up to 20 ppm. The in vitro results demonstrated that the Au@BSA-Fe3O4@CMD nanocomplex has high T2 relaxation rate and great relaxivities (r2 = 140.14 mM-1 s- 1, r1 = 2.066 mM-1 s- 1, r2/ r1 = 67.83). For in vivo conditions, a decrease in T2 signal of 9.64 and 11.01, respectively, was observed for intratumoral and intraperitoneal injection of nanoparticles. Conclusion: These in vitro and in vivo studies show that Au @ BSA-Fe3O4@CMD nanoparticles can significantly reduce the signal intensity of T2-weight MRI images, and therefore can offer significant potential as a theranostic platform for effective tumor MR imaging.</t>
  </si>
  <si>
    <t>[Alipanah-poor, Khadijeh; Irajirad, Rasoul; Sarikhani, Abolfazl; Tavangari, Zahed; Alamzadeh, Zahra; Khoei, Samideh] Iran Univ Med Sci, Finetech Med Res Ctr, POB 1449614525, Tehran, Iran; [Alipanah-poor, Khadijeh; Sarikhani, Abolfazl; Tavangari, Zahed; Khoei, Samideh] Iran Univ Med Sci, Med Phys Dept, Tehran, Iran; [Sheervalilou, Roghayeh; Ghaznavi, Habib] Zahedan Univ Med Sci, Pharmacol Res Ctr, Zahedan, Iran</t>
  </si>
  <si>
    <t>Iran University of Medical Sciences; Iran University of Medical Sciences; Zahedan University of Medical Sciences</t>
  </si>
  <si>
    <t>Khoei, S (corresponding author), Iran Univ Med Sci, Finetech Med Res Ctr, POB 1449614525, Tehran, Iran.;Ghaznavi, H (corresponding author), Zahedan Univ Med Sci, Pharmacol Res Ctr, Zahedan, Iran.</t>
  </si>
  <si>
    <t>dr.ghaznavi@zaums.ac.ir; khoei.s@iums.ac.ir</t>
  </si>
  <si>
    <t>Tavangari, Zahed/IUQ-6221-2023</t>
  </si>
  <si>
    <t>Tavangari, Zahed/0000-0002-7361-9109</t>
  </si>
  <si>
    <t>Iran University of Medical Sciences (IUMS) [16624]; Zahedan University of Medical Sciences (ZaUMS) [7970]</t>
  </si>
  <si>
    <t>Iran University of Medical Sciences (IUMS); Zahedan University of Medical Sciences (ZaUMS)</t>
  </si>
  <si>
    <t>Financial support by grant No. 16624 received from Iran University of Medical Sciences (IUMS) and grant No. 7970 received from Zahedan University of Medical Sciences (ZaUMS) are acknowledged. The funders had no role in the study design, data collection and analysis, decision to publish, or preparation of the manuscript. The study protocol manuscript version has been peer reviewed by the funding body.</t>
  </si>
  <si>
    <t>0730-725X</t>
  </si>
  <si>
    <t>1873-5894</t>
  </si>
  <si>
    <t>MAGN RESON IMAGING</t>
  </si>
  <si>
    <t>Magn. Reson. Imaging</t>
  </si>
  <si>
    <t>10.1016/j.mri.2023.06.013</t>
  </si>
  <si>
    <t>R5XB4</t>
  </si>
  <si>
    <t>WOS:001065070200001</t>
  </si>
  <si>
    <t>Alshammari, DA; Obaidullah, AJ; Khasawneh, MA; El-Sakhawy, MA; Elkholi, SM; Albaghdadi, MF</t>
  </si>
  <si>
    <t>Alshammari, Dalal A.; Obaidullah, Ahmad J.; Khasawneh, Mohammad A.; El-Sakhawy, Mohamed A.; Elkholi, Safaa M.; Albaghdadi, Mustafa Fahem</t>
  </si>
  <si>
    <t>Theoretical investigations on the purification of petroleum using catalytic hydrodesulfurization process: AI Optimization of SO2 emission and process cost</t>
  </si>
  <si>
    <t>Petroleum purification; Sulfur removal; Process modeling; Boosting; Decision Tree</t>
  </si>
  <si>
    <t>RANDOM FOREST; PREDICTION; TREES; WATER</t>
  </si>
  <si>
    <t>Optimization of SO2 emission and the process cost in catalytic hydrodesulfurization (HDS) is of great importance for the petroleum industry. Given that the process of HDS is complicated, machine learning-based models are suitable for the purpose of process optimization in which the cost and separation efficiency can be optimized efficiently. In this investigation, we are working with a data collection on the HDS process to model via machine learning models. Pressure, temperature, initial sulfur content, and catalyst dose constitute the inputs for the models. Outputs include sulfur concentration (ppm), emission of gas (%), and HDS process cost ($). To model the process, for the first time, four tree-based ensemble methods are developed including Gradient Boosting, Extreme gradient boosting, Random Forest, and Extra Trees to optimize the HDS process. The models tuned on the available dataset and then the best ones selected for each output For sulfur concentration the extra tree model is the most accurate and for other outputs extreme gradient boosting has the best performance. For the models, the R2 scores for outputs are 0.983, 0.982, and 0.995, respectively.</t>
  </si>
  <si>
    <t>[Alshammari, Dalal A.] Univ Hafr Al Batin, Coll Sci, Chem Dept, Hafar al Batin, Saudi Arabia; [Obaidullah, Ahmad J.] King Saud Univ, Coll Pharm, Dept Pharmaceut Chem, POB 2457, Riyadh 11451, Saudi Arabia; [Khasawneh, Mohammad A.] UAE Univ, Coll Sci, Dept Chem, POB 17551, Al Ain, U Arab Emirates; [El-Sakhawy, Mohamed A.] Prince Sattam bin Abdulaziz Univ, Coll Appl Med Sci, Dept Med Lab Sci, Al Kharj 11942, Saudi Arabia; [El-Sakhawy, Mohamed A.] Desert Res Ctr, Dept Med &amp; Aromat Plants, Cairo, Egypt; [Elkholi, Safaa M.] Princess Nourah bint Abdulrahman Univ, Fac Hlth &amp; Rehabil Sci, Dept Rehabil Sci, POB 84428, Riyadh 11671, Saudi Arabia; [Albaghdadi, Mustafa Fahem] Al Mustaqbal Univ Coll, Informat Technol Unit, Babylon 51001, Iraq</t>
  </si>
  <si>
    <t>Hafr Albatin University; King Saud University; United Arab Emirates University; Prince Sattam Bin Abdulaziz University; Egyptian Knowledge Bank (EKB); Desert Research Center (DRC); Princess Nourah bint Abdulrahman University; Al-Mustaqbal University College</t>
  </si>
  <si>
    <t>Alshammari, DA (corresponding author), Univ Hafr Al Batin, Coll Sci, Chem Dept, Hafar al Batin, Saudi Arabia.;Khasawneh, MA (corresponding author), UAE Univ, Coll Sci, Dept Chem, POB 17551, Al Ain, U Arab Emirates.</t>
  </si>
  <si>
    <t>daalshammari@uhb.edu.sa; mohammad.khasawneh@uaeu.ac.ae</t>
  </si>
  <si>
    <t>OBAIDULLAH, AHMAD J./ABD-2825-2020</t>
  </si>
  <si>
    <t>King Saud University, Riyadh, Saudi Arabia; [RSPD2023R620]</t>
  </si>
  <si>
    <t>Funding This work was supported by the Researchers Supporting Project number (RSPD2023R620) , King Saud University, Riyadh, Saudi Arabia.</t>
  </si>
  <si>
    <t>10.1016/j.engappai.2023.106828</t>
  </si>
  <si>
    <t>Q4OV1</t>
  </si>
  <si>
    <t>WOS:001057339200001</t>
  </si>
  <si>
    <t>Amoako, S; Andoh, FK; Asmah, EE</t>
  </si>
  <si>
    <t>Amoako, Samuel; Andoh, Francis Kwaw; Asmah, Emmanuel Ekow</t>
  </si>
  <si>
    <t>Household structure and electricity consumption in Ghana</t>
  </si>
  <si>
    <t>ENERGY POLICY</t>
  </si>
  <si>
    <t>Electricity; Age dependency; Regional; District; Cluster; Ghana</t>
  </si>
  <si>
    <t>ENERGY-CONSUMPTION; RESIDENTIAL BUILDINGS; EMPIRICAL-EVIDENCE; DEMAND; DETERMINANTS; EFFICIENCY; IMPACT; GENDER</t>
  </si>
  <si>
    <t>Ghana has a rising residential electricity consumption of 47% of total generation while at the same time experiencing a worsening household age-dependency ratio considered to be above the global average. Using the most recent Ghana Living Standards Survey (2016/17 i.e., the seventh round), and employing logistic regression analyses, this paper examines how and the extent to which household age-dependency (0-14 and 64+) and other sociodemographic characteristics of Ghanaian households influences residential electricity consumption. In the face of worsening climate change partly attributable to high energy consumption, understanding the role household structure in residential electricity consumption across gender and location is critical in designing appropriate demand-side management policies. The results show that dependency ratio increases electricity consumption by approximately 12.4%. Furthermore, female-headed households with dependents tend to use less; or have reduced electricity usage compared to a male-headed household with dependents. The study recommends among others, the use of local government to spearhead education on energy efficiency especially at the household level and the establishment of green financing scheme for importers, manufacturers, and households.</t>
  </si>
  <si>
    <t>[Amoako, Samuel] SDD Univ Business &amp; Integrated Dev Studies, Sch Business, Dept Banking &amp; Finance, Bamahu, Ghana; [Andoh, Francis Kwaw] Univ Cape Coast, Sch Econ, Dept Appl Econ, Cape Coast, Ghana; [Asmah, Emmanuel Ekow] Univ Cape Coast, Sch Econ, Dept Data Sci &amp; Econ Policy, Cape Coast, Ghana</t>
  </si>
  <si>
    <t>University of Cape Coast; University of Cape Coast</t>
  </si>
  <si>
    <t>Amoako, S (corresponding author), SDD Univ Business &amp; Integrated Dev Studies, Sch Business, Dept Banking &amp; Finance, Bamahu, Ghana.</t>
  </si>
  <si>
    <t>sybamoako@gmail.com; fandoh@ucc.edu.gh; easmah@ucc.edu.gh</t>
  </si>
  <si>
    <t>Amoako, Samuel/0000-0002-0654-6616</t>
  </si>
  <si>
    <t>0301-4215</t>
  </si>
  <si>
    <t>1873-6777</t>
  </si>
  <si>
    <t>ENERG POLICY</t>
  </si>
  <si>
    <t>Energy Policy</t>
  </si>
  <si>
    <t>10.1016/j.enpol.2023.113767</t>
  </si>
  <si>
    <t>Economics; Energy &amp; Fuels; Environmental Sciences; Environmental Studies</t>
  </si>
  <si>
    <t>Business &amp; Economics; Energy &amp; Fuels; Environmental Sciences &amp; Ecology</t>
  </si>
  <si>
    <t>Q8AJ7</t>
  </si>
  <si>
    <t>WOS:001059692500001</t>
  </si>
  <si>
    <t>Amorim, T; Khiyami, A; Latif, T; Fazeli, PK</t>
  </si>
  <si>
    <t>Amorim, Tania; Khiyami, Anamil; Latif, Tariq; Fazeli, Pouneh K.</t>
  </si>
  <si>
    <t>Neuroendocrine adaptations to starvation</t>
  </si>
  <si>
    <t>PSYCHONEUROENDOCRINOLOGY</t>
  </si>
  <si>
    <t>Anorexia nervosa; Growth hormone resistance; Amenorrhea; Bone marrow adipose tissue</t>
  </si>
  <si>
    <t>BONE-MINERAL DENSITY; HYPOTHALAMIC-PITUITARY FUNCTION; HORMONE SECRETORY DYNAMICS; LOW SERUM TRIIODOTHYRONINE; PREADIPOCYTE FACTOR-I; ANOREXIA-NERVOSA; GROWTH-HORMONE; ADOLESCENT GIRLS; PEPTIDE-YY; BULIMIA-NERVOSA</t>
  </si>
  <si>
    <t>Famine and starvation have punctuated the evolutionary past of the human species. As such, we have developed hormonal responses to undernutrition that minimize energy expenditure on processes that are not critical for the survival of the individual, such as reproduction. In this review, we discuss neuroendocrine adaptations to starvation including hypogonadotropic hypogonadism, growth hormone resistance, hypercortisolemia, and the downregulation of the hypothalamic-pituitary-thyroid axis. We review the time-course of these adaptations by describing studies involving the short-term fasting of healthy individuals as well as studies describing the hormonal changes in states of chronic undernutrition, using individuals with anorexia nervosa as a model of chronic starvation. Lastly, we review representative clinical effects of chronic undernutrition.</t>
  </si>
  <si>
    <t>[Amorim, Tania; Khiyami, Anamil; Latif, Tariq; Fazeli, Pouneh K.] Univ Pittsburgh, Sch Med, Div Endocrinol &amp; Metab, Neuroendocrinol Unit, Pittsburgh, PA 15260 USA; [Amorim, Tania; Fazeli, Pouneh K.] Univ Pittsburgh, Ctr Human Integrat Physiol, Sch Med, Pittsburgh, PA 15260 USA; [Khiyami, Anamil] Princess Nourah Bint Abdulrahman Univ, Riyadh, Saudi Arabia</t>
  </si>
  <si>
    <t>Pennsylvania Commonwealth System of Higher Education (PCSHE); University of Pittsburgh; Pennsylvania Commonwealth System of Higher Education (PCSHE); University of Pittsburgh; Princess Nourah bint Abdulrahman University</t>
  </si>
  <si>
    <t>Fazeli, PK (corresponding author), Univ Pittsburgh, Sch Med, Div Endocrinol &amp; Metab, Neuroendocrinol Unit, Pittsburgh, PA 15260 USA.;Fazeli, PK (corresponding author), Univ Pittsburgh, Ctr Human Integrat Physiol, Sch Med, Pittsburgh, PA 15260 USA.</t>
  </si>
  <si>
    <t>pkfazeli@pitt.edu</t>
  </si>
  <si>
    <t>Khiyami, Anamil/0000-0003-0737-8914</t>
  </si>
  <si>
    <t>National Institutes of Health [R01 HD099139]</t>
  </si>
  <si>
    <t>National Institutes of Health(United States Department of Health &amp; Human ServicesNational Institutes of Health (NIH) - USA)</t>
  </si>
  <si>
    <t>The project described was supported by National Institutes of Health grant R01 HD099139. The content is solely the responsibility of the authors and does not necessarily represent the official views of the National Institutes of Health.</t>
  </si>
  <si>
    <t>0306-4530</t>
  </si>
  <si>
    <t>1873-3360</t>
  </si>
  <si>
    <t>PSYCHONEUROENDOCRINO</t>
  </si>
  <si>
    <t>Psychoneuroendocrinology</t>
  </si>
  <si>
    <t>10.1016/j.psyneuen.2023.106365</t>
  </si>
  <si>
    <t>Endocrinology &amp; Metabolism; Neurosciences; Psychiatry</t>
  </si>
  <si>
    <t>Endocrinology &amp; Metabolism; Neurosciences &amp; Neurology; Psychiatry</t>
  </si>
  <si>
    <t>R2AU1</t>
  </si>
  <si>
    <t>WOS:001062425700001</t>
  </si>
  <si>
    <t>Anjana, PM; Kumar, SRS; Rakhi, RB</t>
  </si>
  <si>
    <t>Anjana, P. M.; Kumar, S. R. Sarath; Rakhi, R. B.</t>
  </si>
  <si>
    <t>Direct growth of MnCoSe2 nanoneedles on 3D nickel foam for supercapacitor application</t>
  </si>
  <si>
    <t>SURFACES AND INTERFACES</t>
  </si>
  <si>
    <t>MnCoSe 2 nanoneedles; Specific energy; Specific power; Specific capacitance; Cyclic stability</t>
  </si>
  <si>
    <t>ENERGY-STORAGE; COBALT SELENIDE; ELECTRODE; OXIDE; NANOSHEETS</t>
  </si>
  <si>
    <t>The present work reports the fabrication and performance studies of supercapacitors using MnCoSe2 nanoneedles-based electrodes. The MnCoSe2 nanoneedles-based supercapacitor electrode with a unique nanostructure exhibits an enhanced specific capacitance of 820 F g-1 and 386 F g-1 at 1 A g-1 in three-electrode and symmetric two-electrode configurations, respectively. The MnCoSe2 nanoneedles-based supercapacitor device has a specific energy of 54 Wh kg-1 at a specific power of 1 kW kg-1 and a superior cyclic stability of 95% retention after 10,000 charge-discharge cycles at 5 A g-1. Additionally, an asymmetric supercapacitor (ASC) device has been developed employing an anode based on rGO and a cathode based on MnCoSe2 nanoneedles. The asymmetric supercapacitor demonstrates an excellent gravimetric capacitance of 71 F g-1 at 1 A g-1 and an exceptional cycle life of 96% after 10,000 cycles. At a gravimetric power density of 227 W kg-1, the device produces a gravimetric energy density of 32 W h kg-1. The increased electrochemical performance can be ascribed to the three-dimensional nanowire-like surface morphology with a large electroactive site for enhanced redox reaction. Furthermore, high conductivity due to the presence of selenium provides rapid electron transfer and improves the electrochemical properties of supercapacitors. Accordingly, the present work indicates that the MnCoSe2 nanoneedles can be used as a potential electrode material for electrochemical energy storage applications.</t>
  </si>
  <si>
    <t>[Anjana, P. M.] Univ Kerala, Dept Phys, Thiruvananthapuram 695581, Kerala, India; [Kumar, S. R. Sarath] Univ Kerala, Dept Nanosci &amp; Nanotechnol, Thiruvananthapuram 695581, India; [Anjana, P. M.; Rakhi, R. B.] CSIR Natl Inst Interdisciplinary Sci &amp; Technol CSI, Ctr Sustainable Energy Technol CSET, Thiruvananthapuram 695019, Kerala, India; [Rakhi, R. B.] Acad Scient &amp; Innovat Res AcSIR, CSIR Human Resource Dev Ctr, Ghaziabad 201002, India</t>
  </si>
  <si>
    <t>University of Kerala; University of Kerala; Council of Scientific &amp; Industrial Research (CSIR) - India; CSIR - National Institute Interdisciplinary Science &amp; Technology (NIIST); Council of Scientific &amp; Industrial Research (CSIR) - India; CSIR - Human Resource Development Centre</t>
  </si>
  <si>
    <t>Kumar, SRS (corresponding author), Univ Kerala, Dept Nanosci &amp; Nanotechnol, Thiruvananthapuram 695581, India.;Rakhi, RB (corresponding author), CSIR Natl Inst Interdisciplinary Sci &amp; Technol CSI, Ctr Sustainable Energy Technol CSET, Thiruvananthapuram 695019, Kerala, India.</t>
  </si>
  <si>
    <t>sarath.sr.nair@gmail.com; rakhiraghavanbaby@niist.res.in</t>
  </si>
  <si>
    <t>IC MAP project [DST/TMD/IC-MAP/2K20/01]</t>
  </si>
  <si>
    <t>IC MAP project</t>
  </si>
  <si>
    <t>R.B. Rakhi acknowledges the financial support from the IC MAP project (DST/TMD/IC-MAP/2K20/01) .</t>
  </si>
  <si>
    <t>2468-0230</t>
  </si>
  <si>
    <t>SURF INTERFACES</t>
  </si>
  <si>
    <t>Surf. Interfaces</t>
  </si>
  <si>
    <t>10.1016/j.surfin.2023.103358</t>
  </si>
  <si>
    <t>S6UA4</t>
  </si>
  <si>
    <t>WOS:001072486800001</t>
  </si>
  <si>
    <t>Ansari, SS; Shariq, M; Mohammad, Z; Akhtar, S; Masood, A</t>
  </si>
  <si>
    <t>Ansari, S. S.; Shariq, M.; Mohammad, Z.; Akhtar, S.; Masood, A.</t>
  </si>
  <si>
    <t>Effect of elevated temperature on the structural performance of reinforced high volume fly ash concrete</t>
  </si>
  <si>
    <t>STRUCTURES</t>
  </si>
  <si>
    <t>Reinforced concrete; High volume fly ash; Elevated temperature; Unstressed and stressed conditions; Residual load-carrying capacity; FEA</t>
  </si>
  <si>
    <t>MECHANICAL-PROPERTIES; COMPRESSIVE STRENGTH; DURABILITY PERFORMANCE; SLAG CONCRETE; CLASS-F; PREDICTION; SILICA</t>
  </si>
  <si>
    <t>The present investigation delves into a critical examination of the structural performance of high-volume fly ash (HVFA) concrete, both plain and reinforced, under elevated temperatures. A partial cement replacement with 40% and 50% fly ash was employed. Concrete mixes were cast into plain and reinforced concrete (RC) cylinders of 100 x 200 mm (diameter x height). After 28-day curing, the specimens underwent compression testing under ambient conditions and after exposure to a single heating-cooling cycle of 300 &amp; DEG;C and 600 &amp; DEG;C temperature. The heating rate was 5 &amp; DEG;C/min for two hours under unstressed and stressed conditions. Plain concrete exhibited more significant weight loss than fly ash concrete. The residual load-carrying capacity of fly ash concrete was superior under stressed conditions compared to unstressed conditions. Statistical model analyses such as Artificial Neural Network (ANN), Decision Tree (DT), and Random Forest (RF) were formulated. Finite element analysis (FEA) was also performed on plain and reinforced HVFA concrete at ambient and elevated temperatures utilizing the ABAQUS solver. The results predicted from statistical and FE analysis exhibited satisfactory agreement with the experimental tests. The results of this study bear significance for the design of short reinforced HVFA concrete compression members, specifically for pedestals used in industrial machine foundations.</t>
  </si>
  <si>
    <t>[Ansari, S. S.; Shariq, M.; Mohammad, Z.; Akhtar, S.; Masood, A.] Aligarh Muslim Univ, ZH Coll Engn &amp; Technol, Dept Civil Engn, Aligarh, India</t>
  </si>
  <si>
    <t>Aligarh Muslim University</t>
  </si>
  <si>
    <t>Shariq, M (corresponding author), Aligarh Muslim Univ, ZH Coll Engn &amp; Technol, Dept Civil Engn, Aligarh, India.</t>
  </si>
  <si>
    <t>mshariq.cv@amu.ac.in</t>
  </si>
  <si>
    <t>2352-0124</t>
  </si>
  <si>
    <t>Structures</t>
  </si>
  <si>
    <t>10.1016/j.istruc.2023.105168</t>
  </si>
  <si>
    <t>S5XD2</t>
  </si>
  <si>
    <t>WOS:001071883400001</t>
  </si>
  <si>
    <t>Arani, AAA; Monfaredi, F</t>
  </si>
  <si>
    <t>Arani, Ali Akbar Abbasian; Monfaredi, Farhad</t>
  </si>
  <si>
    <t>Nanofluid turbulent flow in parabolic trough collector: Insulator roof, acentric absorber tube and SiC nanoparticles effects</t>
  </si>
  <si>
    <t>ENGINEERING ANALYSIS WITH BOUNDARY ELEMENTS</t>
  </si>
  <si>
    <t>Parabolic trough collector (PTC) Acentric; absorber tube; Insulator roof Nanofluid; Single-phase mixture model Two-phase; mixture model</t>
  </si>
  <si>
    <t>CONJUGATE HEAT-TRANSFER; FORCED-CONVECTION; HYBRID NANOFLUID; PERFORMANCE ANALYSIS; ENTROPY GENERATION; NUMERICAL-ANALYSIS; SOLAR COLLECTORS; 2-PHASE MODELS; RECEIVER; EXERGY</t>
  </si>
  <si>
    <t>The key purpose of the current study is to design a parabolic trough collector (PTC) having insulator roof and an acentric absorber tube, with nanofluid using single-phase and two-phase mixture models (TPM and SPM). The effects of employing the SPM and TPM on the fluid field and heat transfer of nanofluid (SiC nanoparticles (16-90 nm) and volume fraction (0-4%) to the water and EG-water) in the absorber tube is studied. Results of present investigation shown that for both proposed (novel) and conventional PTC arrangements, the pressure drop (3%), Nusselt number (5%), friction factor (3%), energy efficiency (3%), and performance evaluation criteria (PEC) (3%) employing the TPM are greater than that of SPM. In addition, it is shown that employing the novel PTC presents greater Nusselt number (25%), energy efficiency (30%), and PEC (50%). Temperature field inside the absorber tube and heat transfer fluid zone employing the TPM are greater than that of SPM. Maximum PEC for SiC/EG-water and EG-water nanofluid are 1.67 and 1.70, respectively, for sinusoidal-wavy minichannel having a nanoparticle volume fraction of 4%, nanoparticles diameter of 90 nm, and Reynolds number of 15,001.3. Furthermore, EG-water as base fluid with a nanoparticle diameter of 90 nm presents greater energy efficiency than water.</t>
  </si>
  <si>
    <t>[Arani, Ali Akbar Abbasian; Monfaredi, Farhad] Univ Kashan, Dept Mech Engn, Kashan, Iran</t>
  </si>
  <si>
    <t>University Kashan</t>
  </si>
  <si>
    <t>Arani, AAA (corresponding author), Univ Kashan, Dept Mech Engn, Kashan, Iran.</t>
  </si>
  <si>
    <t>abbasian@kashanu.ac.ir</t>
  </si>
  <si>
    <t>0955-7997</t>
  </si>
  <si>
    <t>1873-197X</t>
  </si>
  <si>
    <t>ENG ANAL BOUND ELEM</t>
  </si>
  <si>
    <t>Eng. Anal. Bound. Elem.</t>
  </si>
  <si>
    <t>10.1016/j.enganabound.2023.07.039</t>
  </si>
  <si>
    <t>Engineering, Multidisciplinary; Mathematics, Interdisciplinary Applications</t>
  </si>
  <si>
    <t>Engineering; Mathematics</t>
  </si>
  <si>
    <t>Q5NE2</t>
  </si>
  <si>
    <t>WOS:001057980400001</t>
  </si>
  <si>
    <t>Aruta, G; Ascione, F; Bianco, N; Mauro, GM</t>
  </si>
  <si>
    <t>Aruta, Giuseppe; Ascione, Fabrizio; Bianco, Nicola; Mauro, Gerardo Maria</t>
  </si>
  <si>
    <t>Sustainability and energy communities: Assessing the potential of building energy retrofit and renewables to lead the local energy transition</t>
  </si>
  <si>
    <t>Building performance simulation; Energy performance; Energy efficiency; Residential buildings; Energy community</t>
  </si>
  <si>
    <t>Energy Communities are based on principles of renewables, efficiency, local ownership, to improve energy supply and demand. This study evaluates performance of communities, moving from single buildings to the comprehensive performance. The method combines several tools, including DesignBuilder &amp; REG; and EnergyPlus for simulation, MATLAB &amp; REG; as optimization engine. To determine best options, three retrofit scenarios are compared using three performance indicators: primary energy consumption (PEC), CO2 emission, and running cost (RC). Moreover, evaluation of the investment - with specific economic indicators for helping the citizen to be able to understand the profitability of each individual intervention and so to help him in the choice once an economic constraint - is set. The first retrofit scenario involves insulation of both opaque transparent envelopes, while the second is a retrofit of only systems, through replacement of existing ones and introduction of renewable sources and batteries. Results show how the third scenario - a retrofit trade-off between the first two - offers the greatest PEC, CO2 emission, and RC reduction of 71.35%, 73.42% and 60.52%, respectively. Even from a purely economic view, the third intervention represents a better investment when considering annual economic savings, as shown by increasing net present values.</t>
  </si>
  <si>
    <t>[Aruta, Giuseppe; Ascione, Fabrizio; Bianco, Nicola] Univ Napoli Federico II, Dept Ind Engn, Piazzale Tecchio 80, I-80125 Naples, Italy; [Mauro, Gerardo Maria] Univ Sannio, Dept Engn, Piazza Roma 21, I-82100 Benevento, Italy</t>
  </si>
  <si>
    <t>University of Naples Federico II; University of Sannio</t>
  </si>
  <si>
    <t>Ascione, F (corresponding author), Univ Napoli Federico II, Dept Ind Engn, Piazzale Tecchio 80, I-80125 Naples, Italy.</t>
  </si>
  <si>
    <t>fabrizio.ascione@unina.it</t>
  </si>
  <si>
    <t>Italian Ministry of University and Research; PRIN Project SUSTAIN/ABLE ERC Sector [PE8, 20174RTL7W_007]</t>
  </si>
  <si>
    <t>Italian Ministry of University and Research(Ministry of Education, Universities and Research (MIUR)); PRIN Project SUSTAIN/ABLE ERC Sector</t>
  </si>
  <si>
    <t>The authors thank the Italian Ministry of University and Research, for the funding of the PRIN Project SUSTAIN/ABLE ERC Sector PE8, ID 20174RTL7W_007.</t>
  </si>
  <si>
    <t>10.1016/j.energy.2023.128377</t>
  </si>
  <si>
    <t>O8QG7</t>
  </si>
  <si>
    <t>WOS:001046399400001</t>
  </si>
  <si>
    <t>Asfha, H; Hu, XM</t>
  </si>
  <si>
    <t>Asfha, Huruy; Hu, Xiaomi</t>
  </si>
  <si>
    <t>An algorithm for a pseudo RMLE under simple tree multivariate order restriction</t>
  </si>
  <si>
    <t>STATISTICS &amp; PROBABILITY LETTERS</t>
  </si>
  <si>
    <t>Closed convex cone; Closed convex set; Matrix projection; Pseudo RMLE; Simple tree multivariate ordering</t>
  </si>
  <si>
    <t>CIRCULAR-CONE TEST; TESTING HOMOGENEITY; MATRIX</t>
  </si>
  <si>
    <t>For simple tree multivariate order restriction, this paper defines a closed convex set inside the order restricted cone, and develops an algorithm for matrix projections onto this set. For the mean matrix in one-way MANOVA, the order restricted MLE (RMLE) is the projection of MLE onto the order restricted cone. It is proposed to use the projection onto this subset of the cone as a pseudo RMLE due to the simplicity of the computation and its good properties.&amp; COPY; 2023 Elsevier B.V. All rights reserved.</t>
  </si>
  <si>
    <t>[Asfha, Huruy] Bristol Myers Squibb, Mfg Sci &amp; Technol, New Brunswick, NJ 08901 USA; [Hu, Xiaomi] Wichita State Univ, Dept Math Stat &amp; Phys, Wichita, KS 67260 USA</t>
  </si>
  <si>
    <t>Bristol-Myers Squibb; Wichita State University</t>
  </si>
  <si>
    <t>Hu, XM (corresponding author), Wichita State Univ, Dept Math Stat &amp; Phys, Wichita, KS 67260 USA.</t>
  </si>
  <si>
    <t>huruy.asfha@bms.com; xiaomi.hu@wichita.edu</t>
  </si>
  <si>
    <t>0167-7152</t>
  </si>
  <si>
    <t>1879-2103</t>
  </si>
  <si>
    <t>STAT PROBABIL LETT</t>
  </si>
  <si>
    <t>Stat. Probab. Lett.</t>
  </si>
  <si>
    <t>10.1016/j.spl.2023.109905</t>
  </si>
  <si>
    <t>Statistics &amp; Probability</t>
  </si>
  <si>
    <t>Q6FV4</t>
  </si>
  <si>
    <t>WOS:001058469500001</t>
  </si>
  <si>
    <t>Ayad, F; Baghdad, M; Bouaichaoui, Y; Hohne, T</t>
  </si>
  <si>
    <t>Ayad, Fouad; Baghdad, Mohammed; Bouaichaoui, Youcef; Hoehne, Thomas</t>
  </si>
  <si>
    <t>Verification &amp; validation of CFD predictions regarding pressurized thermal shock (PTS) situations in ROCOM installation: Comparison with IAEA benchmark</t>
  </si>
  <si>
    <t>NUCLEAR ENGINEERING AND DESIGN</t>
  </si>
  <si>
    <t>Verification &amp; Validation; ROCOM; Mixing; ECC; Ansys-CFX; IAEA; PTS; CRP</t>
  </si>
  <si>
    <t>LARGE-EDDY SIMULATION; COOLANT MIXING MODEL; NUMERICAL-ANALYSIS; WATER REACTOR; FLOW</t>
  </si>
  <si>
    <t>The current paper documents the Computational Fluid Dynamics (CFD) code validation activity, carried out at the Nuclear Research Center of Birine relevant of Atomic Energy Commission of Algeria as part of International Atomic Energy Agency (IAEA) Coordinated Research Project (CRP): Application of Computational Fluid Dy-namics Codes for Nuclear Power Plant Design to assess the current capabilities of these codes and to contribute to technological progress in their verification and validation. A set of ROCOM CFD-grade test data of Pressurized Thermal Shock test (PTS) specifications was made available in the framework of this (CRP) by Helmholtz Zentrum Dresden-Rossendorf, (HZDR) Germany, to perform detailed calculations of the proposed test. The reference point is the injection of relatively cold core cooling water (ECC), which can induce buoyant stratifi-cation. The data obtained from the PTS experiment were compared with the results of Ansys-CFX calculations in this paper. Unsteady Reynolds-Averaged Navier-Stokes (URANS) model is used to examine the buoyancy-influenced flows in the reactor pressure vessel for condition where natural circulation is a dominant factor. The Shear Stress Transport (SST k-&amp; omega;) turbulence model is used to take into account the turbulence effects on the mean flow. Calculation results show a good qualitative and quantitative agreement with the experiment data.</t>
  </si>
  <si>
    <t>[Ayad, Fouad; Baghdad, Mohammed] Tissemsilt Univ, Fac Sci &amp; Technol, BP 182, Tissemsilt 38000, Algeria; [Bouaichaoui, Youcef] Birine Nucl Res Ctr, CRNB, COMENA, ALGERIA, BO 180 Ain Oussera, Djelfa 17 001, Algeria; [Hoehne, Thomas] Inst Fluid Dynam, Helmholtz Zent Dresden Rossendorf HZDR, Bautzner Landstra ss 400, D-01328 Dresden, Germany</t>
  </si>
  <si>
    <t>Ayad, F (corresponding author), Tissemsilt Univ, Fac Sci &amp; Technol, BP 182, Tissemsilt 38000, Algeria.</t>
  </si>
  <si>
    <t>fouad.ayad@univ-tissemsilt.dz</t>
  </si>
  <si>
    <t>Application of Computational Fluid Dynamics (CFD) Codes for Nuclear Power Plant Design through the IAEA Research [CRP-I31022, 18071/R0]</t>
  </si>
  <si>
    <t>Application of Computational Fluid Dynamics (CFD) Codes for Nuclear Power Plant Design through the IAEA Research</t>
  </si>
  <si>
    <t>The IAEA is acknowledged for supporting the present research in the Coordinated Research Project (CRP-I31022) on Application of Computational Fluid Dynamics (CFD) Codes for Nuclear Power Plant Design through the IAEA Research Agreement No: 18071/R0. The authors are grateful to the CRNB for supply this work by enabling to use the cluster (Ansys-CFX. 2022.R1 with License) during the simulation period. They also acknowledge the ROCOM test facility team at Helmholtz-Zentrum Dresden-Rossendorf (HZDR) institute for providing the experimental benchmark data for PTS (d10m10) event, and a CAD file of the test ROCOM geometry.</t>
  </si>
  <si>
    <t>0029-5493</t>
  </si>
  <si>
    <t>1872-759X</t>
  </si>
  <si>
    <t>NUCL ENG DES</t>
  </si>
  <si>
    <t>Nucl. Eng. Des.</t>
  </si>
  <si>
    <t>10.1016/j.nucengdes.2023.112498</t>
  </si>
  <si>
    <t>P0FZ7</t>
  </si>
  <si>
    <t>WOS:001047496700001</t>
  </si>
  <si>
    <t>Balamurugan, R; Bose, AC</t>
  </si>
  <si>
    <t>Balamurugan, R.; Bose, A. Chandra</t>
  </si>
  <si>
    <t>Fabrication of flexible and aqueous hybrid supercapacitors with diffusion channels contained copper cobalt bi-Metal Organic Framework nanosheets and ionic conductivity optimized semi-solid electrolyte</t>
  </si>
  <si>
    <t>ELECTROCHIMICA ACTA</t>
  </si>
  <si>
    <t>bi-Metal Organic Framework; Nanosheet; Semi-solid electrolyte; Flexible hybrid supercapacitor device; Intercalation pseudocapacitor; Ionic diffusion channel</t>
  </si>
  <si>
    <t>OXYGEN EVOLUTION</t>
  </si>
  <si>
    <t>Metal-Organic Frameworks (MOFs) have established as important energy storage materials owing to their tunable pore diameter, high specific surface area, low density, easily accessible metal active centers, tunable morphology, and high catalytic activity. Supercapacitor electrode materials should be specifically needed some properties like high specific surface area, electrochemically active, and high electrical as well as ionic conductivity. Copper has high electrical conductivity, and cobalt has high electrochemical activity. Using their advantages in this work, copper and cobalt are used as metal active centers for bi-Metal Organic Framework (bMOF). The morphology of bMOF is tuned by temperature-assisted solvothermal synthesis method, and a perfect nanosheet-like structure is obtained at 140 degrees C. It exhibited a high specific capacity of 1049.5 C g-1 at 1 A g-1. Aqueous and flexible hybrid supercapacitor devices are fabricated using bMOF and activated carbon. Aqueous hybrid supercapacitor device provides a maximum specific energy of 91.3 W h kg- 1 and a maximum specific power of 14.14 kW kg- 1. For a flexible hybrid supercapacitor device (FHSD), semi-solid electrolyte's ionic conductivity is optimized by injecting water with various weight ratios. FHSD exhibits a maximum specific energy of 82.3 W h kg- 1 and a maximum specific power of 16.23 kW kg-1 in an optimized semi-solid electrolyte. It retains 82.9 % of its initial specific capacity after 12,000 charge-discharge cycles. The flexibility of FHSD is investigated by cyclic bending and stretching of it during charge-discharge.</t>
  </si>
  <si>
    <t>[Balamurugan, R.; Bose, A. Chandra] Natl Inst Technol, Dept Phys, Nanomat Lab, Tiruchirappalli 620015, Tamil Nadu, India</t>
  </si>
  <si>
    <t>National Institute of Technology (NIT System); National Institute of Technology Tiruchirappalli</t>
  </si>
  <si>
    <t>Bose, AC (corresponding author), Natl Inst Technol, Dept Phys, Nanomat Lab, Tiruchirappalli 620015, Tamil Nadu, India.</t>
  </si>
  <si>
    <t>r.balamurugan94@gmail.com; acbose@nitt.edu</t>
  </si>
  <si>
    <t>Ministry of Education (MoE) , India [3500965]</t>
  </si>
  <si>
    <t>Ministry of Education (MoE) , India</t>
  </si>
  <si>
    <t>R. Balamurugan acknowledges the Ministry of Education (MoE) , India, for supporting through the Prime Minister ' s Research Fellowship (PMRF) scheme - December 2020 cycle (PMRF ID: 3500965) . All the authors wish to thank The Director, National Institute of Technology, Tiruchirappalli, Tamil Nadu, for providing instrument facilities.</t>
  </si>
  <si>
    <t>0013-4686</t>
  </si>
  <si>
    <t>1873-3859</t>
  </si>
  <si>
    <t>ELECTROCHIM ACTA</t>
  </si>
  <si>
    <t>Electrochim. Acta</t>
  </si>
  <si>
    <t>10.1016/j.electacta.2023.143078</t>
  </si>
  <si>
    <t>Electrochemistry</t>
  </si>
  <si>
    <t>S4BI4</t>
  </si>
  <si>
    <t>WOS:001070633600001</t>
  </si>
  <si>
    <t>Benvenuti, M; Cangelosi, A; Weinberger, A; Mazzoni, E; Benassi, M; Barbaresi, M; Orsoni, M</t>
  </si>
  <si>
    <t>Benvenuti, Martina; Cangelosi, Angelo; Weinberger, Armin; Mazzoni, Elvis; Benassi, Mariagrazia; Barbaresi, Mattia; Orsoni, Matteo</t>
  </si>
  <si>
    <t>Artificial intelligence and human behavioral development: A perspective on new skills and competences acquisition for the educational context</t>
  </si>
  <si>
    <t>COMPUTERS IN HUMAN BEHAVIOR</t>
  </si>
  <si>
    <t>Artificial intelligence; Education; Competencies; Robot tutors</t>
  </si>
  <si>
    <t>Despite the significant emphasis placed on incorporating 21st century skills into the educational framework, particularly at the primary level, recent scholarly works indicate considerable variation in the implementation of these skills across different countries and regions, suggesting a demand for further research specifically focusing on primary education. The indications of the Digicomp framework and 21st-century skills in Europe have outlined the key competences for lifelong learning needed for all citizens, including teachers and students. In this perspective, Education plays a fundamental role in ensuring that citizens acquire the required skills. The objective in the common European framework is clear: to initiate a transition from the culture of knowledge to the culture of competence. Nowadays, technological advancement allows the researchers to create and combine different frameworks with the perspective of an even more tailored, and engaged education, some examples derived from the implementation of Virtual Reality (VR) and Augmented Reality (AR), in the combination of Gamification and AI, or the development of Intelligent Tutoring Systems (ITS) to foster and create an even more personalized learning and teaching. Following these premises, in this paper, we want to point out new research reflections and perspectives that could help researchers, teachers, educators (and consequently students) to reflect on the introduction of new technologies (e.g., artificial intelligence, robot tutors) and on how these can affect on human behavioral development and on the acquisition of new skills and competences (Specifically: Creativity, Critical Thinking, Problem Solving, and Computational Thinking) for the educational context. The analysis carried on, suggests a perspective on how creativity, critical thinking, and problem-solving can be effective in promoting computational thinking, and how Artificial Intelligence (AI) could be an aid instrument to teachers in the fostering of creativity, critical thinking, and problem-solving in schools and educational contexts.</t>
  </si>
  <si>
    <t>[Benvenuti, Martina; Mazzoni, Elvis; Benassi, Mariagrazia; Orsoni, Matteo] Univ Bologna, Dept Psychol, Bologna, Italy; [Cangelosi, Angelo] Univ Manchester, Dept Comp Sci, Manchester, England; [Weinberger, Armin] Saarland Univ, Dept Educ Technol, Saarbrucken, Germany; [Barbaresi, Mattia] Univ Bologna, Dept Comp Sci &amp; Engn, Bologna, Italy; [Benvenuti, Martina] Univ Bologna, Dept Psychol, Piazza Aldo Moro 90, I-47521 Cesena, Italy</t>
  </si>
  <si>
    <t>University of Bologna; University of Manchester; Saarland University; University of Bologna; University of Bologna</t>
  </si>
  <si>
    <t>Benvenuti, M (corresponding author), Univ Bologna, Dept Psychol, Piazza Aldo Moro 90, I-47521 Cesena, Italy.</t>
  </si>
  <si>
    <t>martina.benvenuti2@unibo.it</t>
  </si>
  <si>
    <t>; Benvenuti, Martina/C-5844-2018</t>
  </si>
  <si>
    <t>Cangelosi, Angelo/0000-0002-4709-2243; Benvenuti, Martina/0000-0001-8575-5047</t>
  </si>
  <si>
    <t>0747-5632</t>
  </si>
  <si>
    <t>1873-7692</t>
  </si>
  <si>
    <t>COMPUT HUM BEHAV</t>
  </si>
  <si>
    <t>Comput. Hum. Behav.</t>
  </si>
  <si>
    <t>10.1016/j.chb.2023.107903</t>
  </si>
  <si>
    <t>Psychology, Multidisciplinary; Psychology, Experimental</t>
  </si>
  <si>
    <t>R2AL7</t>
  </si>
  <si>
    <t>WOS:001062417300001</t>
  </si>
  <si>
    <t>Bhanu, M; Roy, S; Priya, S; Mendes-Moreira, J; Chandra, J</t>
  </si>
  <si>
    <t>Bhanu, Manish; Roy, Saswata; Priya, Shalini; Mendes-Moreira, Joao; Chandra, Joydeep</t>
  </si>
  <si>
    <t>An encoder framework for taxi-demand prediction using spatio-temporal function approximation</t>
  </si>
  <si>
    <t>Spatio-temporal; Encoder-decoder; Multi-step prediction; Time-series; Taxi-demand</t>
  </si>
  <si>
    <t>TENSOR</t>
  </si>
  <si>
    <t>Predicting taxi demands in large cities can help in better traffic management as well as ensure better commuter satisfaction for an intelligent transportation system. However, the traffic demands across different locations have varying spatio-temporal correlations that are difficult to model. Despite the ability of the existing Deep Neural Network (DNN) models to capture the non-linearity in spatial and temporal characteristics of the demand time-series, capturing spatio-temporal characteristics in different real-world scenarios like varying historic and prediction time frame, spatio-temporal variations due to noise or missing data, etc. still remain a big challenge for the state-of-the-art models. In this paper, we introduce Encoder-ApproXimator (EnAppX), an encoder-decoder DNN-based model that uses Chebyshev function approximation in the decoding stage for taxi demand times-series prediction and can better estimate the time-series in the presence of large spatio-temporal variations. Opposed to any existing state-of-the-art model, the proposed model approximates complete spatiotemporal characteristics in the frequency domain which in turn enables the model to make a robust and improved prediction in different scenarios. Validation over two real-world taxi datasets from different cities shows a considerable improvement of around 23% in RMSE scores compared to the state-of-the-art baseline model. Unlike several existing state-of-the-art models, EnAppX also produces improved prediction accuracy across two regions for both to and fro demands.</t>
  </si>
  <si>
    <t>[Bhanu, Manish; Roy, Saswata; Chandra, Joydeep] Indian Inst Technol Patna, Dept Comp Sci &amp; Engn, Dayalpur Daulatpur, Bihar, India; [Priya, Shalini] Oak Ridge Natl Lab, Oak Ridge, TN USA; [Mendes-Moreira, Joao] Univ Porto, Fac Engn, Dept Informat Engn, Porto, Portugal</t>
  </si>
  <si>
    <t>Indian Institute of Technology (IIT) - Patna; United States Department of Energy (DOE); Oak Ridge National Laboratory; Universidade do Porto</t>
  </si>
  <si>
    <t>Bhanu, M (corresponding author), Indian Inst Technol Patna, Dept Comp Sci &amp; Engn, Dayalpur Daulatpur, Bihar, India.</t>
  </si>
  <si>
    <t>manish.pcs16@iitp.ac.in; saswata.pcs17@iitp.ac.in; shalini.pcs16@iitp.ac.in; jmoreira@fe.up.pt; joydeep@iitp.ac.in</t>
  </si>
  <si>
    <t>Roy, Saswata/JBJ-6631-2023; Priya, Shalini/JDC-1403-2023</t>
  </si>
  <si>
    <t>Roy, Saswata/0000-0002-0929-1786;</t>
  </si>
  <si>
    <t>Scheme for Promotion of Academic and Research Collaboration (SPARC) under Ministry of Human Resource Development, India [P1506]</t>
  </si>
  <si>
    <t>Scheme for Promotion of Academic and Research Collaboration (SPARC) under Ministry of Human Resource Development, India</t>
  </si>
  <si>
    <t>Acknowledgment This work is funded by Scheme for Promotion of Academic and Research Collaboration (SPARC) under Ministry of Human Resource Development, India, within project code P1506.</t>
  </si>
  <si>
    <t>10.1016/j.engappai.2023.106760</t>
  </si>
  <si>
    <t>O3DG5</t>
  </si>
  <si>
    <t>WOS:001042651200001</t>
  </si>
  <si>
    <t>Bovati, O; Vaghetto, R; Hassan, Y</t>
  </si>
  <si>
    <t>Bovati, Octavio; Vaghetto, Rodolfo; Hassan, Yassin</t>
  </si>
  <si>
    <t>Validation of RANS simulations on a 61-pin wire-wrapped fast-reactor fuel assembly under the presence of localized blockages</t>
  </si>
  <si>
    <t>BUNDLE FRICTION FACTORS; TODREAS CORRELATION; TURBULENT FLOWS; PRESSURE-DROP; CFD ANALYSIS; ROD BUNDLES; CHENG</t>
  </si>
  <si>
    <t>One of the fuel assembly designs considered for liquid metal-cooled fast reactors (LMFR) uses wires helically wrapped around fuel pins as spacers. The understanding of the coolant behavior in LMFR fuels under the influence of a partially blocked flow area is required for a correct safety assessment of the Nuclear Power Plant. Accumulation of debris or cladding deformation may generate a partial or total flow blockage of coolant channels at different locations. In this paper, Unsteady Reynolds-Averaged Navier-Stokes (URANS) is applied using different turbulence models to predict the axial friction factor under the presence of blockages, placed at different positions on the bundle cross section. The simulated Reynolds number was 17,000. Results are compared with experimental friction factor data produced at the Texas A &amp; M experimental facility. The sensitivity analysis of the RANS turbulence models concluded that the k SMALL ELEMENT OF Realizable model is the recommended one for this Reynolds number because it presented the minimum relative error with respect to the experimental data that was found below 5%.</t>
  </si>
  <si>
    <t>[Bovati, Octavio; Vaghetto, Rodolfo; Hassan, Yassin] Texas A&amp;M Univ, Thermal Hydraul Res Lab, College Stn, TX USA; [Bovati, Octavio] Texas A&amp;M Univ, Dept Nucl Engn, Thermal hydraul Res Lab, 3380 Univ Drive East, College Stn, TX 77843 USA</t>
  </si>
  <si>
    <t>Texas A&amp;M University System; Texas A&amp;M University College Station; Texas A&amp;M University System; Texas A&amp;M University College Station</t>
  </si>
  <si>
    <t>Bovati, O (corresponding author), Texas A&amp;M Univ, Dept Nucl Engn, Thermal hydraul Res Lab, 3380 Univ Drive East, College Stn, TX 77843 USA.</t>
  </si>
  <si>
    <t>octavio.bovati@tamu.edu; r.vaghetto@tamu.edu; y-hassan@tamu.edu</t>
  </si>
  <si>
    <t>Bovati Davalos, Octavio/0000-0002-7478-9679</t>
  </si>
  <si>
    <t>10.1016/j.nucengdes.2023.112512</t>
  </si>
  <si>
    <t>P0OG6</t>
  </si>
  <si>
    <t>WOS:001047714500001</t>
  </si>
  <si>
    <t>Chagot, C; Vlaicu, MB; Frismand, S; Colnat-Coulbois, S; Nguyen, JP; Palfi, S</t>
  </si>
  <si>
    <t>Chagot, Claire; Vlaicu, Mihaela Bustuchina; Frismand, Solene; Colnat-Coulbois, Sophie; Nguyen, Jean Paul; Palfi, Stephane</t>
  </si>
  <si>
    <t>Deep brain stimulation in multiple sclerosis-associated tremor. A large, retrospective, longitudinal open label study, with long-term follow-up</t>
  </si>
  <si>
    <t>MULTIPLE SCLEROSIS AND RELATED DISORDERS</t>
  </si>
  <si>
    <t>Multiple sclerosis; Tremor; Deep-brain stimulation; Ventral intermediate nucleus; Long -term efficacy</t>
  </si>
  <si>
    <t>CHRONIC ELECTRICAL-STIMULATION; CHRONIC THALAMIC-STIMULATION; MOVEMENT-DISORDERS; SURGICAL THERAPY; ZONA INCERTA; NUCLEUS; THALAMOTOMY; TARGET; REDUCTION; PARKINSON</t>
  </si>
  <si>
    <t>Background: Tremor affects up to 25%-58% in multiple sclerosis (MS) population. Deep-brain stimulation (DBS) of the ventral-intermediate nucleus (VIM) of the thalamus is considered as a potential option following medical treatments. Long term DBS efficacy is not well known in these patients with a poor outcome mostly related to disease progression. Objective: To report a large and retrospective study of thalamic DBS in MS tremor. Methods: We conducted a large and retrospective study of patients with MS disabling and pharmacologically resistant upper limb tremor, who underwent thalamic DBS procedure from January 1992 to January 2015 in University Hospital of Henri Mondor, France. Demographic data, clinical assessment and activity daily living were collected. A three-month and twelve-month post-operative assessment with clinical and functional rating scales have been achieved, as well as long term follow-up for most patients. Results: One hundred and four patients underwent DBS procedure. There were 71 female (68%) and 33 male (32%). At three-month post-operative assessment, 64% patients were improved clinically and functionally. Among these, 93% of patients kept a good efficacy at one-year post-operative assessment. Mean duration of follow-up for these patients was 6 years. Conclusion: We described a long-term sustained clinical and functional improvement in this large and retrospective report of thalamic DBS. This neuromodulation approach could be a therapeutic option for all severe upper extremity refractory tremor in MS patients.</t>
  </si>
  <si>
    <t>[Chagot, Claire; Frismand, Solene] Univ Hosp Nancy, Dept Neurol, 29 Ave Marechal De Lattre De Tassigny, F-54000 Nancy, France; [Vlaicu, Mihaela Bustuchina] Hop La Pitie Salpetriere, Dept Neurosurg, 83 Blvd Hop, Batiment Babinski, F-75013 Paris, France; [Vlaicu, Mihaela Bustuchina; Palfi, Stephane] Natl Inst Hlth &amp; Med Res, Translat Neuro Psychiat team, INSERM, U0955, Ave Marechal Lattre Tassigny, F-94000 Creteil, France; [Colnat-Coulbois, Sophie] Univ Hosp Nancy, Dept Neurosurg, 29 Mar De Lattre De Tassigny, F-54000 Nancy, France; [Nguyen, Jean Paul] Clin Breteche, Dept Neurosurg, Grp Elsan, 3 Rue Beraudiere, F-44046 Nantes, France; [Palfi, Stephane] Univ Hosp, Henri Mondor Hosp, AP HP, Radiat Oncol Dept, 51 Ave Marechal De Lattre De Tassigny, F-94000 Creteil, France</t>
  </si>
  <si>
    <t>Universite de Lorraine; CHU de Nancy; Assistance Publique Hopitaux Paris (APHP); Hopital Universitaire Charles-Foix - APHP; Hopital Universitaire Pitie-Salpetriere - APHP; UDICE-French Research Universities; Sorbonne Universite; Hopital Universitaire Armand-Trousseau - APHP; Universite Paris-Est-Creteil-Val-de-Marne (UPEC); Institut National de la Sante et de la Recherche Medicale (Inserm); Universite de Lorraine; CHU de Nancy; Assistance Publique Hopitaux Paris (APHP); Universite Paris-Est-Creteil-Val-de-Marne (UPEC); Hopital Universitaire Henri-Mondor - APHP</t>
  </si>
  <si>
    <t>Vlaicu, MB (corresponding author), Hop La Pitie Salpetriere, Dept Neurosurg, 83 Blvd Hop, Batiment Babinski, F-75013 Paris, France.;Vlaicu, MB (corresponding author), Natl Inst Hlth &amp; Med Res, Translat Neuro Psychiat team, INSERM, U0955, Ave Marechal Lattre Tassigny, F-94000 Creteil, France.</t>
  </si>
  <si>
    <t>mihaela.bustuchina@inserm.fr</t>
  </si>
  <si>
    <t>Lucie Hopes, M.D. Departe-ment if Neurologie University Hospital of Nancy</t>
  </si>
  <si>
    <t>Acknowledgments Marc Debouverie, M.D., Ph.D, Department of Neurology, University Hospital of Nancy, Nancy, France for revised the manuscript; Guillaume Mathey, M.D., Department of Neurology, University Hospital of Nancy, Nancy, France for revised the manuscript. Lucie Hopes, M.D. Departe-ment if Neurologie University Hospital of Nancy, Nancy, France for revised the manuscript.</t>
  </si>
  <si>
    <t>2211-0348</t>
  </si>
  <si>
    <t>2211-0356</t>
  </si>
  <si>
    <t>MULT SCLER RELAT DIS</t>
  </si>
  <si>
    <t>Mult. Scler. Relat. Disord.</t>
  </si>
  <si>
    <t>10.1016/j.msard.2023.104928</t>
  </si>
  <si>
    <t>S2TI4</t>
  </si>
  <si>
    <t>WOS:001069742300001</t>
  </si>
  <si>
    <t>Chen, LF; Lan, YJ; Liu, XY; Yang, YP; Yan, XE; Chen, HF; Zhou, SX; Li, XS; Li, T</t>
  </si>
  <si>
    <t>Chen, Longfei; Lan, Yujie; Liu, Xinyi; Yang, Yunping; Yan, Xineng; Chen, Haifeng; Zhou, Shanxin; Li, Xiaosong; Li, Tao</t>
  </si>
  <si>
    <t>Research on ceiling gas temperature rise and floor heat flux driven by strong fire plume in a sealing tunnel</t>
  </si>
  <si>
    <t>Tunnel fire; Sealing structure; Strong fire plume; Ceiling gas temperature rise; Floor heat flux</t>
  </si>
  <si>
    <t>SMOKE</t>
  </si>
  <si>
    <t>Sealing is one of the important means to extinguish fire in tunnel. It is necessary to investigate the strong fire plume in tunnel under sealed conditions. In this paper, the fire experiments were carried out in a 1:10 tunnel platform, and the influence of different sealing forms, heat release rates of fire source and heights of fire source on the ceiling gas temperature rise and floor heat flux driven by strong fire plume were analyzed. As expected the tests show that the ceiling gas temperature rise under sealing effect will be lower than that without sealing. The larger the total sealing ratio, the greater the temperature rise and floor heat flux. When the total sealing ratio is the same, the higher the proportion of the upper part sealing structure, the larger the ceiling gas temperature rise and the floor heat flux, meanwhile, these two parameters are also positively correlated with the height of fire source. In the region close to the fire source, the longitudinal temperature rise along the ceiling attenuates rapidly, but the decays trend becomes slower as the distance away from the fire source increases. In this paper, the sealing opening coefficient is introduced, and the prediction models of the longitudinal temperature rise decay along the tunnel ceiling and the floor heat flux under sealing effect are proposed respectively.</t>
  </si>
  <si>
    <t>[Chen, Longfei; Lan, Yujie; Liu, Xinyi; Yang, Yunping; Yan, Xineng; Chen, Haifeng; Zhou, Shanxin; Li, Xiaosong; Li, Tao] Southwest Jiaotong Univ, Dept Fire Protect Engn, Chengdu 610031, Peoples R China; [Li, Xiaosong] Sichuan Univ, Dept Secur, Chengdu 610065, Peoples R China</t>
  </si>
  <si>
    <t>Southwest Jiaotong University; Sichuan University</t>
  </si>
  <si>
    <t>Li, XS (corresponding author), Southwest Jiaotong Univ, Dept Fire Protect Engn, Chengdu 610031, Peoples R China.</t>
  </si>
  <si>
    <t>lxs231231@163.com</t>
  </si>
  <si>
    <t>National Key R amp; D Program of China [2022YFC3801100]; National Natural Science Foundation of China (NSFC) [51704244]; Science and Technology Department of Sichuan Province [2020YFH0045]</t>
  </si>
  <si>
    <t>National Key R amp; D Program of China; National Natural Science Foundation of China (NSFC)(National Natural Science Foundation of China (NSFC)); Science and Technology Department of Sichuan Province</t>
  </si>
  <si>
    <t>This work was supported by the National Key R &amp; D Program of China (Grant No. 2022YFC3801100) , the National Natural Science Foundation of China (NSFC) (Grant No. 51704244) and the Science and Technology Department of Sichuan Province (Grant No.2020YFH0045) .</t>
  </si>
  <si>
    <t>10.1016/j.ijthermalsci.2023.108534</t>
  </si>
  <si>
    <t>P1YQ2</t>
  </si>
  <si>
    <t>WOS:001048671200001</t>
  </si>
  <si>
    <t>Chen, P; Liu, YF; Min, N; Wang, MM; Cai, XR; Jin, MJ; Jin, XJ</t>
  </si>
  <si>
    <t>Chen, Peng; Liu, Yunfan; Min, Na; Wang, Meimei; Cai, Xiaorong; Jin, Mingjiang; Jin, Xuejun</t>
  </si>
  <si>
    <t>Enhanced two way shape memory effect in nanocrystalline NiTi shape memory alloy wires</t>
  </si>
  <si>
    <t>SCRIPTA MATERIALIA</t>
  </si>
  <si>
    <t>Shape memory alloys (SMA); Nanocrystalline materials; Martensitic phase transformation; Dislocation structure; Two-way shape memory effect</t>
  </si>
  <si>
    <t>DEFORMATION; MARTENSITE; RECOVERABILITY; TRANSFORMATION; BEHAVIOR</t>
  </si>
  <si>
    <t>Two-way shape memory effect (TWSME) has wide application prospect in the field of lightweight actuators. In the present study, an excellent TWSME with large magnitude and small cyclic degradation of NiTi wires is achieved by combining martensite deformation and nanocrystallization. The wires attain a maximum of 7.37% TWSME strain after pre-deformed to 11% and maintain a stable strain of 6.88% after 20 cycles. Microstructural characterization reveals that the excellent TWSME originates from both the dislocation structures induced by martensite deformation and nanocrystalline strengthened matrix. On one hand, the former provides adequate oriented stress field. On the other hand, the latter guarantees the availability of high-volume fraction of preferentially oriented martensite variations in subsequent thermal cycles through suppressing the formation of deformation twins, which are frequently discussed in coarse-grain NiTi.</t>
  </si>
  <si>
    <t>[Chen, Peng; Liu, Yunfan; Wang, Meimei; Cai, Xiaorong; Jin, Mingjiang; Jin, Xuejun] Shanghai Jiao Tong Univ, Inst Phase Transformat &amp; Complex Microstruct, Sch Mat Sci &amp; Engn, Shanghai 200240, Peoples R China; [Chen, Peng; Cai, Xiaorong; Jin, Xuejun] Shanghai Jiao Tong Univ, Inst Med Robot, Sch Biomed Engn, Shanghai 200240, Peoples R China; [Min, Na] Shanghai Univ, Key Lab Microstruct, Shanghai 200444, Peoples R China</t>
  </si>
  <si>
    <t>Shanghai Jiao Tong University; Shanghai Jiao Tong University; Shanghai University</t>
  </si>
  <si>
    <t>Jin, MJ; Jin, XJ (corresponding author), Shanghai Jiao Tong Univ, Inst Phase Transformat &amp; Complex Microstruct, Sch Mat Sci &amp; Engn, Shanghai 200240, Peoples R China.</t>
  </si>
  <si>
    <t>jinmj@sjtu.edu.cn; jin@sjtu.edu.cn</t>
  </si>
  <si>
    <t>National Natural Science Foundation of China [51201100]</t>
  </si>
  <si>
    <t>Acknowledgments This work was financially supported by the National Natural Science Foundation of China (Grant No. 51201100) .</t>
  </si>
  <si>
    <t>1359-6462</t>
  </si>
  <si>
    <t>1872-8456</t>
  </si>
  <si>
    <t>SCRIPTA MATER</t>
  </si>
  <si>
    <t>Scr. Mater.</t>
  </si>
  <si>
    <t>10.1016/j.scriptamat.2023.115669</t>
  </si>
  <si>
    <t>Nanoscience &amp; Nanotechnology; Materials Science, Multidisciplinary; Metallurgy &amp; Metallurgical Engineering</t>
  </si>
  <si>
    <t>Science &amp; Technology - Other Topics; Materials Science; Metallurgy &amp; Metallurgical Engineering</t>
  </si>
  <si>
    <t>O9OB4</t>
  </si>
  <si>
    <t>WOS:001047028600001</t>
  </si>
  <si>
    <t>Chen, SH; Wang, T; Huang, ZT; Hou, XN</t>
  </si>
  <si>
    <t>Chen, Shouhong; Wang, Tao; Huang, Zhentao; Hou, Xingna</t>
  </si>
  <si>
    <t>Detection method of Golden Chip-Free Hardware Trojan based on the combination of ResNeXt structure and attention mechanism</t>
  </si>
  <si>
    <t>COMPUTERS &amp; SECURITY</t>
  </si>
  <si>
    <t>Hardware Trojan detection; ResNeXt; Attention mechanism; Golden Chip-Free; Side-channel analysis</t>
  </si>
  <si>
    <t>NETWORK</t>
  </si>
  <si>
    <t>Since 2007, the use of side-channel data to detect hardware Trojans (HT) has been widely studied. Machine learning methods are widely used in the detection of hardware Trojans, but with the development of integrated circuits (IC), machine learning methods are not able to obtain a higher accuracy rate compared to deep learning. In this paper, we propose to use an architecture inspired by the ResNeXt network architecture and combine it with an attention mechanism, referred to as the Attention-Res-Attention (ARA) network. Firstly, the side channel data are extracted by convolutional layer with features and focus on important points under the attention module; then, the feature map enters the ResNeXt architecture that achieves classification accuracy improvement by adding the attention module; finally, the data are classified by the fully connected layer. Our proposed solution is observable to natural variations that may occur in side-channel measurements, and can accurately detect abnormal behavior of the chip when HT is triggered. And using a self-referential method for HT detection eliminates the need for a golden chip. The effectiveness of the method proposed in this paper is evaluated based on the AES series hardware Trojans publicly provided by TrustHub. Experimental results show that the method proposed in this paper has a high accuracy rate when a single Trojan exists, and can effectively detect the existence of hardware Trojans. And when a variety of hardware Trojans exist at the same time, the method used in this paper can effectively distinguish the types of hardware Trojans, and the highest average accuracy rate reached 97% during the experiment. Compared with the existing deep learning methods, the network model in this paper has higher classification accuracy.</t>
  </si>
  <si>
    <t>[Hou, Xingna] Guilin Univ Elect Technol, Sch Architecture &amp; Transportat Engn, Guilin 541000, Peoples R China; [Chen, Shouhong; Wang, Tao; Huang, Zhentao; Hou, Xingna] Guilin Univ Elect Technol, Sch Elect Engn &amp; Automat, Guilin 541000, Peoples R China</t>
  </si>
  <si>
    <t>Guilin University of Electronic Technology; Guilin University of Electronic Technology</t>
  </si>
  <si>
    <t>Hou, XN (corresponding author), Guilin Univ Elect Technol, Sch Architecture &amp; Transportat Engn, Guilin 541000, Peoples R China.</t>
  </si>
  <si>
    <t>hxngl@guet.edu.cn</t>
  </si>
  <si>
    <t>National Natural Science Foundation of China [61661013]; Guangxi Natural Science Foundation [2018GXNSFBA281175]; Innovation Project of GUET Graduate Education [2022YCXS162]; Innovation Project of GUET Graduate Education [2023YCXS119]</t>
  </si>
  <si>
    <t>National Natural Science Foundation of China(National Natural Science Foundation of China (NSFC)); Guangxi Natural Science Foundation(National Natural Science Foundation of Guangxi Province); Innovation Project of GUET Graduate Education; Innovation Project of GUET Graduate Education</t>
  </si>
  <si>
    <t>This work was supported by the National Natural Science Foundation of China (No. 61661013), Guangxi Natural Science Foundation (No. 2018GXNSFBA281175), Innovation Project of GUET Graduate Education (No. 2022YCXS162) and Innovation Project of GUET Graduate Education (No. 2023YCXS119).</t>
  </si>
  <si>
    <t>ELSEVIER ADVANCED TECHNOLOGY</t>
  </si>
  <si>
    <t>OXFORD FULFILLMENT CENTRE THE BOULEVARD, LANGFORD LANE, KIDLINGTON, OXFORD OX5 1GB, OXON, ENGLAND</t>
  </si>
  <si>
    <t>0167-4048</t>
  </si>
  <si>
    <t>1872-6208</t>
  </si>
  <si>
    <t>COMPUT SECUR</t>
  </si>
  <si>
    <t>Comput. Secur.</t>
  </si>
  <si>
    <t>10.1016/j.cose.2023.103428</t>
  </si>
  <si>
    <t>Computer Science, Information Systems</t>
  </si>
  <si>
    <t>R2LA8</t>
  </si>
  <si>
    <t>WOS:001062701100001</t>
  </si>
  <si>
    <t>Cheng, T; Mao, X; Hao, L</t>
  </si>
  <si>
    <t>Cheng, Tao; Mao, Xin; Hao, Liang</t>
  </si>
  <si>
    <t>Multiple sclerosis is associated with adverse outcomes following hip and knee arthroplasty: A systematic review and meta-analysis of observational studies</t>
  </si>
  <si>
    <t>Multiple sclerosis; Total joint arthroplasty; Hip; Knee; Complication; Postoperative outcome</t>
  </si>
  <si>
    <t>SURVIVORSHIP; REPLACEMENT; PATIENT</t>
  </si>
  <si>
    <t>Background: The association of multiple sclerosis (MS) with joint diseases has been established. However, the impact of MS on postoperative outcomes following total joint arthroplasty (TJA) remains controversial. Therefore, a systematic review of the literature is warranted to ascertain the relationship between MS and adverse outcomes post-TJA.Methods: A systematic literature search of PubMed, Embase, Scopus, and the Cochrane Library from inception to 1 March 2023 was conducted to identify observational studies comparing post-TJA outcomes in MS and non-MS patients. Two investigators independently screened titles, abstracts, and full-text articles for eligibility. A random-effects model was used to calculate odds ratios (OR), mean differences (MD), and corresponding 95% confidence intervals (CI).Results: Seven retrospective cohort studies published between 2018 and 2022 met the inclusion criteria. Patients with MS had a higher risk of medical, surgical, and overall complications than patients without MS. Similarly, the MS group was more likely to experience an extended hospital stay, non-home discharge, and revision surgery compared to the control group. Joint infection and implant instability were also more common in patients with MS.Conclusion: Although TJA may benefit MS patients, current evidence suggests that their postoperative outcomes may be inferior to those of non-MS patients. Thus, orthopaedic surgeons should inform MS patients of potential risks and perform preoperative optimization individually when considering elective arthroplasty.</t>
  </si>
  <si>
    <t>[Cheng, Tao; Mao, Xin] Shanghai Jiao Tong Univ, Sch Med, Shanghai Peoples Hosp 6, Dept Orthopaed Surg, 600 Yishan Rd, Shanghai 200233, Peoples R China; [Hao, Liang] Nanchang Univ, Affiliated Hosp 2, Dept Orthopaed Surg, 1 Minde Rd, Nanchang 330006, Peoples R China</t>
  </si>
  <si>
    <t>Shanghai Jiao Tong University; Nanchang University</t>
  </si>
  <si>
    <t>Cheng, T (corresponding author), Shanghai Jiao Tong Univ, Sch Med, Shanghai Peoples Hosp 6, Dept Orthopaed Surg, 600 Yishan Rd, Shanghai 200233, Peoples R China.;Hao, L (corresponding author), Nanchang Univ, Affiliated Hosp 2, Dept Orthopaed Surg, 1 Minde Rd, Nanchang 330006, Peoples R China.</t>
  </si>
  <si>
    <t>dr_tao.cheng@hotmail.com; ndefy07018@ncu.edu.cn</t>
  </si>
  <si>
    <t>Shanghai Pujiang Talent Program [18PJD035]; Clinical Research Grant Program of Shanghai Sixth People's Hospital [2021-KY-022K]</t>
  </si>
  <si>
    <t>Shanghai Pujiang Talent Program; Clinical Research Grant Program of Shanghai Sixth People's Hospital</t>
  </si>
  <si>
    <t>Funding This research received support the Shanghai Pujiang Talent Program (18PJD035) and the Clinical Research Grant Program of Shanghai Sixth People's Hospital (2021-KY-022K) .</t>
  </si>
  <si>
    <t>10.1016/j.msard.2023.104956</t>
  </si>
  <si>
    <t>S4EC6</t>
  </si>
  <si>
    <t>WOS:001070706200001</t>
  </si>
  <si>
    <t>Chi, MS; Hu, JW; Wang, XY; He, RN; Wang, ZK; Li, SY; Hu, SQ; Sun, SQ</t>
  </si>
  <si>
    <t>Chi, Mingshuo; Hu, Jianwen; Wang, Xiaoyan; He, Runna; Wang, Zhikun; Li, Songyan; Hu, Songqing; Sun, Shuangqing</t>
  </si>
  <si>
    <t>Preparation and application of pH-Responsive and high salt-tolerant silica-based amphiphilic Janus nanosheets for enhanced heavy oil recovery</t>
  </si>
  <si>
    <t>GEOENERGY SCIENCE AND ENGINEERING</t>
  </si>
  <si>
    <t>Heavy oil recovery; Janus nanosheets; pH-response; Salt-tolerant</t>
  </si>
  <si>
    <t>POTENTIAL APPLICATIONS; WATER; NANOTECHNOLOGY; WETTABILITY; PERFORMANCE; PARTICLES; CHEMISTRY; EMULSIONS; NANOFLUID; BEHAVIOR</t>
  </si>
  <si>
    <t>Enhanced oil recovery and stimulate corresponding oil-water separation are crucial for the development of heavy oil resources. Herein, amphiphilic silica-based Janus (JNs) nanosheets with amino/phenyl groups on both sides (Ph-SiO2-NH2 JNs) are synthesized by sol-gel method. As a result, dynamic interfacial tension (IFT), particle size distribution and separation rate reveal that Ph-SiO2-NH2 JNs nanosheets (0.05 wt%) enable to effectively decrease the IFT between heavy oil and water (2.71 mN/m). Ph-SiO2-NH2 JNs nanosheets form a stable emulsion between heavy oil and water, which still maintains outstanding stability under the salinity of 1.55 x 104 mg/L. Meanwhile, it exhibits pH-response performance, which can stabilize heavy oil emulsion in acidic medium (pH = 2) and realize oil-water separation in neutral medium (pH = 7). And the oil recovery of 15.54% is obtained by an injection of 0.03 wt% Ph-SiO2-NH2 JNs nanosheets. Therefore, the construction of silica-based JNs nanosheets is potential for the development of heavy oil sources.</t>
  </si>
  <si>
    <t>[Chi, Mingshuo; Hu, Jianwen; Wang, Xiaoyan; He, Runna; Wang, Zhikun; Hu, Songqing; Sun, Shuangqing] China Univ Petr East China, Sch Mat Sci &amp; Engn, Qingdao 266580, Peoples R China; [Wang, Zhikun; Hu, Songqing; Sun, Shuangqing] China Univ Petr East China, Inst Adv Mat, Qingdao 266580, Peoples R China; [Li, Songyan] China Univ Petr East China, Key Lab Unconvent Oil &amp; Gas Dev, Minist Educ, Qingdao 266580, Peoples R China; [Li, Songyan] China Univ Petr East China, Sch Petr Engn, Qingdao 266580, Peoples R China</t>
  </si>
  <si>
    <t>China University of Petroleum; China University of Petroleum; China University of Petroleum; China University of Petroleum</t>
  </si>
  <si>
    <t>Hu, SQ; Sun, SQ (corresponding author), China Univ Petr East China, Sch Mat Sci &amp; Engn, Qingdao 266580, Peoples R China.</t>
  </si>
  <si>
    <t>songqinghu@upc.edu.cn; sunshuangqing@upc.edu.cn</t>
  </si>
  <si>
    <t>National Natural Science Foundation of China [51974345, 51874331, 52204066]; Taishan Scholar Program of Shandong Province in China [tsqn202211076]</t>
  </si>
  <si>
    <t>National Natural Science Foundation of China(National Natural Science Foundation of China (NSFC)); Taishan Scholar Program of Shandong Province in China</t>
  </si>
  <si>
    <t>This research was financially supported by the National Natural Science Foundation of China (51974345, 51874331 and 52204066), and the Taishan Scholar Program of Shandong Province in China (tsqn202211076).</t>
  </si>
  <si>
    <t>2949-8929</t>
  </si>
  <si>
    <t>2949-8910</t>
  </si>
  <si>
    <t>GEOENERGY SCI ENG</t>
  </si>
  <si>
    <t>Geoenergy Sci. Eng.</t>
  </si>
  <si>
    <t>10.1016/j.geoen.2023.212210</t>
  </si>
  <si>
    <t>Energy &amp; Fuels; Engineering, Petroleum</t>
  </si>
  <si>
    <t>R5IX1</t>
  </si>
  <si>
    <t>WOS:001064697200001</t>
  </si>
  <si>
    <t>Chien, MT; Nakazato, H</t>
  </si>
  <si>
    <t>Chien, Mao-Ting; Nakazato, Hiroshi</t>
  </si>
  <si>
    <t>Theta divisor and Abel map for 4-by-4 matrices</t>
  </si>
  <si>
    <t>LINEAR ALGEBRA AND ITS APPLICATIONS</t>
  </si>
  <si>
    <t>Period matrix; Abel-Jacobi map; Theta divisor; Riemann constant; Numerical range</t>
  </si>
  <si>
    <t>CURVES</t>
  </si>
  <si>
    <t>We consider a hyperbolic quartic curve F(x, y, z) = 0 associated with a 4-by-4 nilpotent matrix which has one ordinary double point satisfying F(x, y, z) = F(x, -y, z). Let 7Z be the Riemann surface determined as a non-singular model of the curve F(x, y, z) = 0. In this situation, the genus of 7Z is 2. We express the period matrix of 7Z using explicit line integrals depending on a simple symplectic transformation of the canonical cycles which Maple algcurves package provided, and determine the Riemann constant of the Riemann vanishing theorem. We also provide a pictorial visualization of the real parts of the image of an Abel map and theta divisor.&amp; COPY; 2023 Elsevier Inc. All rights reserved.</t>
  </si>
  <si>
    <t>[Chien, Mao-Ting] Soochow Univ, Dept Math, Taipei 11102, Taiwan; [Nakazato, Hiroshi] Hirosaki Univ, Hirosaki 0368561, Japan</t>
  </si>
  <si>
    <t>Soochow University; Hirosaki University</t>
  </si>
  <si>
    <t>Chien, MT (corresponding author), Soochow Univ, Dept Math, Taipei 11102, Taiwan.</t>
  </si>
  <si>
    <t>mtchien@scu.edu.tw; nakahr@cc.hirosaki-u.ac.jp</t>
  </si>
  <si>
    <t>0024-3795</t>
  </si>
  <si>
    <t>1873-1856</t>
  </si>
  <si>
    <t>LINEAR ALGEBRA APPL</t>
  </si>
  <si>
    <t>Linear Alg. Appl.</t>
  </si>
  <si>
    <t>10.1016/j.laa.2023.07.017</t>
  </si>
  <si>
    <t>P8CW7</t>
  </si>
  <si>
    <t>WOS:001052906200001</t>
  </si>
  <si>
    <t>Cleys, P; Panneel, L; Bombeke, J; Dumitrascu, C; Malarvannan, G; Poma, G; Mulder, A; Jorens, PG; Covaci, A</t>
  </si>
  <si>
    <t>Cleys, Paulien; Panneel, Lucas; Bombeke, Jasper; Dumitrascu, Catalina; Malarvannan, Govindan; Poma, Giulia; Mulder, Antonius; Jorens, Philippe G.; Covaci, Adrian</t>
  </si>
  <si>
    <t>Hair as an alternative matrix to assess exposure of premature neonates to phthalate and alternative plasticizers in the neonatal intensive care unit</t>
  </si>
  <si>
    <t>Harmful plastic additives; Biomonitoring; Hair sampling; DEHP; Plastic medical devices; Neonatal intensive care unit</t>
  </si>
  <si>
    <t>MEDICAL DEVICES; LIQUID-CHROMATOGRAPHY; INFANTS; HEALTH</t>
  </si>
  <si>
    <t>Due to adverse health effects, di-(2-ethylhexyl) phthalate (DEHP), a plasticizer used to soften plastic medical devices (PMDs), was restricted, and gradually replaced by alternative plasticizers (APs). Up to this date, urine was the sole matrix studied for plasticizer exposure in neonates hospitalized in the neonatal intensive care unit (NICU), a population highly vulnerable to toxic effects of plasticizers. The primary aim of this study was to assess simultaneous measurement of phthalate and AP metabolites in neonatal scalp hair. In addition, we aimed to use this matrix to investigate exposure of premature neonates to plasticizers during their stay in the NICU.Hair samples in this study were collected from premature neonates and their mothers included in a prospective birth cohort study in a tertiary NICU at the Antwerp University Hospital (UZA), Belgium. Samples from pre-mature neonates (n = 45) and their mothers (n = 107) as well as from control neonates (n = 24) and mothers (n = 29) were analyzed using liquid-chromatography coupled to tandem mass spectrometry.This is the first study reporting metabolites of phthalate and alternative plasticizers in neonatal hair samples as biomarkers for exposure to these plasticizers. Results showed that hair sampled from premature neonates after a NICU stay contained significantly higher metabolite concentrations of both phthalates (DEHP, DiBP, and DnBP; 9.0-2500, 9.3-2200, and 24.7-5300 ng/g), and alternative plasticizers (DEHA, DEHT, and TOTM; 38.8-3400, 127.5-5700, and 10.8-8700 ng/g) - when compared to healthy control neonates. Besides, DEHP and DEHT metabolite concentrations were significantly higher than in hair sampled from adult populations. In addition, prolonged NICU exposure to non-invasive respiratory support devices and gastric tubes was correlated with increased concentrations in hair samples, indicating accumulation of plasticizers in this alternative matrix.In conclusion, our data indicate that preterm neonates are still highly exposed to phthalate and alternative plasticizers during NICU stay, despite the EU Medical Devices Regulation.</t>
  </si>
  <si>
    <t>[Cleys, Paulien; Bombeke, Jasper; Dumitrascu, Catalina; Malarvannan, Govindan; Poma, Giulia; Covaci, Adrian] Univ Antwerp, Toxicol Ctr, Bldg S5,Univ Pl 1, B-2610 Antwerp, Belgium; [Panneel, Lucas; Mulder, Antonius] Antwerp Univ Hosp, Neonatal Intens Care Unit, Drie Eikenstraat 655, B-2650 Edegem, Belgium; [Panneel, Lucas; Mulder, Antonius; Jorens, Philippe G.] Univ Antwerp, Lab Expt Med &amp; Paediat, Bldg T3,Univ Pl 1, B-2610 Antwerp, Belgium; [Jorens, Philippe G.] Antwerp Univ Hosp, Dept Intens Care Med, Drie Eikenstraat 655, B-2650 Edegem, Belgium; [Cleys, Paulien; Covaci, Adrian] Univ Antwerp, Toxicol Ctr, Univ Pl 1, B-2610 Antwerp, Belgium</t>
  </si>
  <si>
    <t>University of Antwerp; University of Antwerp; University of Antwerp; University of Antwerp; University of Antwerp</t>
  </si>
  <si>
    <t>Cleys, P; Covaci, A (corresponding author), Univ Antwerp, Toxicol Ctr, Univ Pl 1, B-2610 Antwerp, Belgium.</t>
  </si>
  <si>
    <t>paulien.cleys@uantwerpen.be; lucas.panneel@uantwerpen.be; adrian.covaci@uantwerpen.be</t>
  </si>
  <si>
    <t>Mulder, Antonius/AAJ-5935-2021; Poma, Giulia/AAJ-2506-2020; Covaci, Adrian/A-9058-2008</t>
  </si>
  <si>
    <t>Mulder, Antonius/0000-0001-8625-4359; Poma, Giulia/0000-0003-0597-2653; Dumitrascu, Catalina/0000-0001-6252-4481; Covaci, Adrian/0000-0003-0527-1136; Panneel, Lucas/0000-0003-4073-110X</t>
  </si>
  <si>
    <t>Research Foundation - Flanders-Belgium (FWO) [G074421N, 41222]; Exposome Centre of Excellence of the University of Antwerp (BOF grant); University of Antwerp; Exposome Centre of Excellence of the University of Antwerp; [1S70820N]</t>
  </si>
  <si>
    <t>Research Foundation - Flanders-Belgium (FWO)(FWO); Exposome Centre of Excellence of the University of Antwerp (BOF grant); University of Antwerp; Exposome Centre of Excellence of the University of Antwerp;</t>
  </si>
  <si>
    <t>This work was supported by the Research Foundation - Flanders-Belgium (FWO) under Grant numbers 1S70820N and G074421N, providing Lucas Panneel and Paulien Cleys PhD fellowships at the University of Antwerp; and by the Exposome Centre of Excellence of the University of Antwerp (BOF grant, Antigoon database number 41222) .</t>
  </si>
  <si>
    <t>10.1016/j.envres.2023.116712</t>
  </si>
  <si>
    <t>P9CQ3</t>
  </si>
  <si>
    <t>WOS:001053585400001</t>
  </si>
  <si>
    <t>Cui, HW; Li, HY; Wu, Y; Hu, XJ</t>
  </si>
  <si>
    <t>Cui, Hongwei; Li, Hongyuan; Wu, Yue; Hu, Xujia</t>
  </si>
  <si>
    <t>Identification, flavor characteristics and molecular docking of umami taste peptides of Xuanwei ham</t>
  </si>
  <si>
    <t>FOOD RESEARCH INTERNATIONAL</t>
  </si>
  <si>
    <t>Xuanwei Ham; Sensory characteristics; Umami peptides; Molecular docking</t>
  </si>
  <si>
    <t>GLUTAMATE; SEQUENCE</t>
  </si>
  <si>
    <t>To better understand the palatable properties of Xuanwei ham, the aqueous extract was isolated, analyzed and combin with sensory evaluation. Of umami-tasting activity and umami-enhancing impact, four new peptides (MDAIKKMQ, RKYEEVAR, YVGDEAQSKRG, and VNVDEVGGEALGR) were extracted and identified by ultrafiltration, gel separation, reverse performance liquid chromatography, and nano-LC-MS / MS. Sensory evaluation results showed that all of them had umami activity and enhanced umami taste, among which VNVDEVGGEALGR had the best effect. These peptides' umami taste thresholds ranged from 0.25 to 0.8 mg/mL. The MSG solution's umami taste threshold ranged from 0.125 to 0.5 mg/mL. Molecular docking results showed that the four umami peptides could be embedded into the binding pocket of the T1R3 cavity of the umami taste receptor T1R1/T1R3, wherein the binding sites Asp219, Asp150, and Thr179 may play crucial roles, and Glu222, Asp108, Glu217 and Glu148 play auxiliary roles. Hydrogen bonding and hydrophobic interactions were the most prominent interaction forces. This study helps to clarify the flavor characteristics of Xuanwei ham and could improve new processing technology.</t>
  </si>
  <si>
    <t>[Cui, Hongwei; Li, Hongyuan; Wu, Yue; Hu, Xujia] Kunming Univ Sci &amp; Technol, Fac Life Sci &amp; Technol, 727 South Jingming Rd, Kunming 650500, Yunnan, Peoples R China</t>
  </si>
  <si>
    <t>Kunming University of Science &amp; Technology</t>
  </si>
  <si>
    <t>Hu, XJ (corresponding author), Kunming Univ Sci &amp; Technol, Fac Life Sci &amp; Technol, 727 South Jingming Rd, Kunming 650500, Yunnan, Peoples R China.</t>
  </si>
  <si>
    <t>huxj@kust.edu.cn</t>
  </si>
  <si>
    <t>National Natural Science Foundation of China [31660437]</t>
  </si>
  <si>
    <t>This work was supported by the National Natural Science Foundation of China (31660437) .</t>
  </si>
  <si>
    <t>0963-9969</t>
  </si>
  <si>
    <t>1873-7145</t>
  </si>
  <si>
    <t>FOOD RES INT</t>
  </si>
  <si>
    <t>Food Res. Int.</t>
  </si>
  <si>
    <t>10.1016/j.foodres.2023.113211</t>
  </si>
  <si>
    <t>O3PM6</t>
  </si>
  <si>
    <t>WOS:001042970500001</t>
  </si>
  <si>
    <t>de Carvalho, ALCB; de Carvalho, VA; Blannin, R; Escobar, AG; Frenzel, M; Rudolph, M; Silva, AC; Goldmann, D</t>
  </si>
  <si>
    <t>de Carvalho, Ana Luiza Coelho Braga; de Carvalho, Victor Albuquerque; Blannin, Rosie; Escobar, Alexandra Gomez; Frenzel, Max; Rudolph, Martin; Silva, Andre Carlos; Goldmann, Daniel</t>
  </si>
  <si>
    <t>A study on the desulfurization of sulfidic mine tailings for the production of a sulfur-poor residue</t>
  </si>
  <si>
    <t>MINERALS ENGINEERING</t>
  </si>
  <si>
    <t>Mine waste; Froth flotation; Sulfidic residues; Floc flotation; Ultrafine particles; Automated mineralogy</t>
  </si>
  <si>
    <t>SELECTIVE FLOCCULATION; NEVES-CORVO; FINE; MINERALOGY; FLOTATION; DEPORTMENT; PORTUGAL; QUARTZ; ORE</t>
  </si>
  <si>
    <t>The mining industry generates large amounts of tailings every year. The most common destination for the tailings is deposition in tailings storage facilities (TSFs), which can have enormous dimensions. The management and storage of such large volumes of material pose many challenges in terms of dam stability and immobilization of hazardous contaminants that represent human-health and environmental risks, particularly for sulfidecontaining materials. In addition, considerable amounts of precious and base metals can be lost in the tailings. Due to the economic value and growing industrial demand for precious and base metals, tailings may therefore be potential sources of secondary raw materials. This contribution investigates the flotation of pyriterich tailings, containing residual chalcopyrite, galena, and sphalerite, and high amounts of ultrafine particles. Flotation was used to recover the sulfide minerals and generate tailings with low sulfur content. The Cu-Pb-Znrich product could go to further treatment (e.g. (bio)hydrometallurgy) to recover the metals, while the low sulfur fraction could be used in the civil construction industry. Automated mineralogy (MLA) was used to provide quantitative mineralogical and textural data. Bench-scale experiments were performed by combining classic flotation and floc flotation (flotation of flocs of targeted minerals). Flotation of the material as received, as well as after classification into two fractions was performed. The samples as received and the coarser fraction (+37 &amp; mu;m) underwent classic flotation, while the finer fraction (-37 &amp; mu;m) was processed either by using the classic or the floc flotation approach. The flotation of the coarser particles provided higher sulfide recoveries, higher combined CuPb-Zn grades in the concentrate (3.66 %), cleaner residues (1.6 % S), faster flotation rates, and reduced reagent consumption. Likewise, the results from the fine particle flotation allowed lower S content in the residues (3.4 % S) as compared to the flotation of the original material. The results of the use of floc flotation for the finer fraction show an increase in the mass pull with a slight increase in the recovery of sulfides. Overall, the development of a route to process the tailings proved to be promising and the use of a two-route approach indicates advantages as compared to a single route.</t>
  </si>
  <si>
    <t>[de Carvalho, Ana Luiza Coelho Braga; de Carvalho, Victor Albuquerque; Goldmann, Daniel] Tech Univ Clausthal, Walther Nernst Str 9, D-38678 Clausthal Zellerfeld, Germany; [Blannin, Rosie; Frenzel, Max; Rudolph, Martin] Helmholtz Inst Freiberg Resource Technol HIF, Helmholtz Zent Dresden Rossendorf HZDR, Chemnitzer Str 40, D-09599 Freiberg, Germany; [Escobar, Alexandra Gomez] Univ Lisbon, Fac Ciencias, Inst Dom Luiz, Lisbon, Portugal; [Silva, Andre Carlos] Fed Univ Catalao UFCAT, Modelling &amp; Mineral Proc Res Lab LaMPPMin, 08 St 25, BR-75705321 Catalao, GO, Brazil</t>
  </si>
  <si>
    <t>TU Clausthal; Universidade de Lisboa</t>
  </si>
  <si>
    <t>de Carvalho, ALCB (corresponding author), Tech Univ Clausthal, Walther Nernst Str 9, D-38678 Clausthal Zellerfeld, Germany.</t>
  </si>
  <si>
    <t>alcbdc18@tu-clausthal.de; alcbdc18@tu-clausthal.de; r.blannin@hzdr.de; agescobar@fc.ul; m.frenzel@hzdr.de; m.rudolph@hzdr.de; ancarsil@ufcat.edu.br; daniel.goldmann@tu-clausthal.de</t>
  </si>
  <si>
    <t>Silva, André Carlos/H-8860-2013</t>
  </si>
  <si>
    <t>Silva, André Carlos/0000-0002-9760-0728; Rudolph, Martin/0000-0002-5374-6135</t>
  </si>
  <si>
    <t>European Union [812580]</t>
  </si>
  <si>
    <t>European Union(European Union (EU))</t>
  </si>
  <si>
    <t>We would like to acknowledge the anonymous reviewers for their constructive comments and valuable insight. The company SOMINCOR Lundin Mining and Mafalda Oliveira for providing the tailings sample. Kai Bachmann (HZDR) is thanked for his support during SEM-MLA data acquisition. Petra Sommer (TU Clausthal) , Heike Gro e (TU Clausthal) , and Maike Gamenik (TU Clausthal) are acknowledged for performing the ICP-OES analysis. Sarah Tuchtfeld (TU Clausthal) for performing the particle size measurement. This research has received funding from the European Union's EU Framework Programme for Research and Innovation H2020 under grant agreement no 812580 (MSCA-ETN SULTAN) .</t>
  </si>
  <si>
    <t>0892-6875</t>
  </si>
  <si>
    <t>MINER ENG</t>
  </si>
  <si>
    <t>Miner. Eng.</t>
  </si>
  <si>
    <t>10.1016/j.mineng.2023.108285</t>
  </si>
  <si>
    <t>Engineering, Chemical; Mineralogy; Mining &amp; Mineral Processing</t>
  </si>
  <si>
    <t>Engineering; Mineralogy; Mining &amp; Mineral Processing</t>
  </si>
  <si>
    <t>P9UI1</t>
  </si>
  <si>
    <t>WOS:001054054200001</t>
  </si>
  <si>
    <t>Demonceau, C; Buckinx, F; Reginster, JY; Bruyere, O</t>
  </si>
  <si>
    <t>Demonceau, Celine; Buckinx, Fanny; Reginster, Jean-Yves; Bruyere, Olivier</t>
  </si>
  <si>
    <t>Investigation of the relationships between frailty, nutritional status and muscle strength and the incidence and severity of Covid-19 among the residents of nursing homes. Results from the SENIOR cohort</t>
  </si>
  <si>
    <t>MATURITAS</t>
  </si>
  <si>
    <t>Covid-19; SENIOR; Frailty; Malnutrition; Muscle strength</t>
  </si>
  <si>
    <t>Few studies have investigated the factors associated with the incidence of Covid-19 in nursing homes. The aim of this study was to investigate the relationships between frailty, nutritional status, muscle strength and the Covid-19 incidence and severity in nursing home residents. Data from the last two years of follow-up of the SENIOR (Sample of Elderly Nursing homes individuals: an Observational Research) cohort were used. A total of 75 participants of the cohort were included, 56 % of whom had Covid-19. After adjustment for covariates, no as-sociation was found between frailty, nutritional status or grip strength and the incidence and severity of Covid-19.</t>
  </si>
  <si>
    <t>[Demonceau, Celine; Buckinx, Fanny; Reginster, Jean-Yves; Bruyere, Olivier] Univ Liege, WHO Collaborating Ctr Epidemiol Aspects Musculo Sk, Div Publ Hlth Epidemiol &amp; Hlth Econ, Ave Hippocrate 13,CHU Bat B23, B-4000 Liege, Belgium</t>
  </si>
  <si>
    <t>University of Liege</t>
  </si>
  <si>
    <t>Demonceau, C (corresponding author), Univ Liege, WHO Collaborating Ctr Epidemiol Aspects Musculo Sk, Div Publ Hlth Epidemiol &amp; Hlth Econ, Ave Hippocrate 13,CHU Bat B23, B-4000 Liege, Belgium.</t>
  </si>
  <si>
    <t>celine.demonceau@uliege.be</t>
  </si>
  <si>
    <t>Bruyere, Olivier/H-8302-2019</t>
  </si>
  <si>
    <t>Bruyere, Olivier/0000-0003-4269-9393; Demonceau, Celine/0000-0001-7089-6605</t>
  </si>
  <si>
    <t>0378-5122</t>
  </si>
  <si>
    <t>1873-4111</t>
  </si>
  <si>
    <t>Maturitas</t>
  </si>
  <si>
    <t>10.1016/j.maturitas.2023.107800</t>
  </si>
  <si>
    <t>Geriatrics &amp; Gerontology; Obstetrics &amp; Gynecology</t>
  </si>
  <si>
    <t>P2GQ5</t>
  </si>
  <si>
    <t>WOS:001048879800001</t>
  </si>
  <si>
    <t>Di Gregorio, R</t>
  </si>
  <si>
    <t>Di Gregorio, Raffaele</t>
  </si>
  <si>
    <t>Singularity analysis of spatial single-DOF mechanisms based on the locations of the instantaneous screw axes</t>
  </si>
  <si>
    <t>MECHANISM AND MACHINE THEORY</t>
  </si>
  <si>
    <t>Spatial mechanisms; Kinematics; Velocity analysis; Instantaneous screw axis</t>
  </si>
  <si>
    <t>PARALLEL MANIPULATORS; LIMIT POSITIONS; ROTATABILITY; DESIGN; RCCC; CONFIGURATIONS; CRITERION; REVOLUTE</t>
  </si>
  <si>
    <t>The instantaneous kinematics of a mechanism can be fully described through the instantaneous screw axes (ISAs) associated to the relative motions between mechanism's links. Characterizing the instantaneous kinematics of a mechanism includes its singularity analysis, which is the identification of mechanism configurations (singularities) where the instantaneous degrees-offreedom (DOFs) of the mechanism somehow change. In single-DOF mechanisms with timeindependent either holonomic or first-order non-holonomic constraints, the locations of the instantaneous screw axes only depend on the mechanism configuration. This property is fully exploited in planar single-DOF mechanisms where all the singularity conditions have been associated to the coincidence of particular instant centers (ICs), thus making the singularity identification possible with a simple analysis of the mechanism configuration. Differently, for single-DOF spatial mechanisms, the geometric conditions on ISAs that identify a singular configuration have not been enunciated for the general case, yet. This paper fills this lack by providing the explicit expressions of all the possible instantaneous input-output relationships, the exhaustive enumeration of the geometric conditions on the ISAs that identify singular configurations and a geometric and analytic technique for the singularity analysis of spatial single-DOF mechanisms, which is the natural extension of the IC-based ones conceived for planar single-DOF mechanisms.</t>
  </si>
  <si>
    <t>[Di Gregorio, Raffaele] Univ Ferrara, Dept Engn, Via Saragat 1, I-44122 Ferrara, Italy</t>
  </si>
  <si>
    <t>University of Ferrara</t>
  </si>
  <si>
    <t>Di Gregorio, R (corresponding author), Univ Ferrara, Dept Engn, Via Saragat 1, I-44122 Ferrara, Italy.</t>
  </si>
  <si>
    <t>raffaele.digregorio@unife.it</t>
  </si>
  <si>
    <t>FAR2021 UNIFE fund; FIRD2023 UNIFE fund</t>
  </si>
  <si>
    <t>&amp; nbsp;This work has been developed at the Laboratory of Mechatronics and Virtual Prototyping (LaMaViP) of Ferrara Technopole, supported by FAR2021 UNIFE and FIRD2023 UNIFE funds.</t>
  </si>
  <si>
    <t>0094-114X</t>
  </si>
  <si>
    <t>1873-3999</t>
  </si>
  <si>
    <t>MECH MACH THEORY</t>
  </si>
  <si>
    <t>Mech. Mach. Theory</t>
  </si>
  <si>
    <t>10.1016/j.mechmachtheory.2023.105438</t>
  </si>
  <si>
    <t>Engineering, Mechanical</t>
  </si>
  <si>
    <t>P0JT9</t>
  </si>
  <si>
    <t>WOS:001047596500001</t>
  </si>
  <si>
    <t>Dong, YY; Li, L; Liu, ST; Chen, YT; Jiao, J; Zhao, Y; Zou, XJ</t>
  </si>
  <si>
    <t>Dong, Yuying; Li, Le; Liu, Sitong; Chen, Yuting; Jiao, Jian; Zhao, Ying; Zou, Xuejun</t>
  </si>
  <si>
    <t>Application of molecular dynamic simulation on evaluating toxicity mechanisms of organophosphate esters to Photobacterium phosphoreum</t>
  </si>
  <si>
    <t>ENVIRONMENTAL TECHNOLOGY &amp; INNOVATION</t>
  </si>
  <si>
    <t>Organophosphate esters; Photobacterium phosphoreum; Molecular dynamics; Screen of toxicity mechanism; Alternative virtual biofilm</t>
  </si>
  <si>
    <t>JOINT TOXICITY; ADSORPTION; CHEMICALS; METALS; COPPER</t>
  </si>
  <si>
    <t>Organophosphate esters (OPEs) that are widely used as additives in industrial products have been monitored ubiquitously in environmental media. With the health hazards and ecological risks caused by OPEs being attracted more and more attention, screening toxicity mechanism was essential for risk assessment. In this study, Photobacterium phophorium was employed to test the acute toxicity of OPEs. Integrating toxicity test and molecular dynamics (MD) simulation, we calculated the binding affinity between OPEs and n-octanol (C8H18O)/ phospholipid bilayer (DPPC) to further explore the mechanism of toxicity. Good correlationship between the median effective concentration (EC50) of OPEs and binding affinity was found. Binding affinity of selected OPEs with the C8H18O/DPPC presented similar tendency. The mode of action (MOA) for OPEs to Pho-tobacterium phophorium was shown that tris (1, 3-dichloro-2-propyl) phosphate (TDCP) belonged to reactive mechanism, triphenyl phosphate (TPhP) and tris (2-butoxyethyl) phosphate (TBEP) belonged to narcosis mechanism. It was proposed a creative method to quickly evaluate toxicity mechanisms of organophosphate esters by integrating the toxicity test and MD simulation, which could be an alternative methodology to obtain toxicity mechanism without using model organisms.&amp; COPY; 2023 The Authors. Published by Elsevier B.V. This is an open access article under the CC BY license (http://creativecommons.org/licenses/by/4.0/).</t>
  </si>
  <si>
    <t>[Dong, Yuying; Li, Le; Liu, Sitong; Chen, Yuting; Jiao, Jian; Zou, Xuejun] Dalian Minzu Univ, Coll Environm &amp; Resource, Dalian 116600, Peoples R China; [Zhao, Ying] Dalian Minzu Univ, Coll Phys &amp; Mat Engn, Dalian 116600, Peoples R China</t>
  </si>
  <si>
    <t>Dalian Minzu University; Dalian Minzu University</t>
  </si>
  <si>
    <t>Dong, YY (corresponding author), Dalian Minzu Univ, Coll Environm &amp; Resource, Dalian 116600, Peoples R China.</t>
  </si>
  <si>
    <t>dong_yuying@163.com</t>
  </si>
  <si>
    <t>Liu, Si/JBJ-5042-2023; 陈, 钰婷/HNC-0515-2023</t>
  </si>
  <si>
    <t>National Natural Science Foundation of China [22176028]; Scientific Research Fund of Liaoning Provincial Education Department [LJKZ0019]</t>
  </si>
  <si>
    <t>National Natural Science Foundation of China(National Natural Science Foundation of China (NSFC)); Scientific Research Fund of Liaoning Provincial Education Department</t>
  </si>
  <si>
    <t>Thanks to Jingang Zhang, our long-term collaborator working in the US since 1996, who provided critical comments for the paper. This study was supported by the National Natural Science Foundation of China (No. 22176028) and Scientific Research Fund of Liaoning Provincial Education Department (No. LJKZ0019) .</t>
  </si>
  <si>
    <t>2352-1864</t>
  </si>
  <si>
    <t>ENVIRON TECHNOL INNO</t>
  </si>
  <si>
    <t>Environ. Technol. Innov.</t>
  </si>
  <si>
    <t>10.1016/j.eti.2023.103262</t>
  </si>
  <si>
    <t>Biotechnology &amp; Applied Microbiology; Engineering, Environmental; Environmental Sciences</t>
  </si>
  <si>
    <t>Biotechnology &amp; Applied Microbiology; Engineering; Environmental Sciences &amp; Ecology</t>
  </si>
  <si>
    <t>O7GG5</t>
  </si>
  <si>
    <t>WOS:001045444300001</t>
  </si>
  <si>
    <t>dos Santos, JS; Biduski, B; Colussi, R; Pinto, VZ; dos Santos, LR</t>
  </si>
  <si>
    <t>dos Santos, Jucilene Sena; Biduski, Barbara; Colussi, Rosana; Pinto, Vania Zanella; dos Santos, Luciana Ruschel</t>
  </si>
  <si>
    <t>Hydrogel properties of non-conventional starches from guabiju, pinha &amp; SIM;o, and uvaia seeds</t>
  </si>
  <si>
    <t>Myrcianthes pungens; Araucaria angustifolia; Eugenia pyriformis; Amylose; Non-conventional starches; Water absorption; Alternative raw material</t>
  </si>
  <si>
    <t>PHYSICOCHEMICAL PROPERTIES; THERMAL-PROPERTIES; PASTING PROPERTIES; CRYSTALLINITY; AEROGELS</t>
  </si>
  <si>
    <t>The physicochemical properties of starch vary depending on the botanical sources, thereby influencing the gelatinisation/retrogradation properties and subsequently affecting the hydrogels characteristics. This study aimed to assess the influence of botanical sources influence on starch and hydrogel properties using nonconventional starch derived from guabiju, pinha &amp; SIM;o, and uvaia seeds. Hydrogels were prepared by starch gelatinisation followed by 6 h ageing period at room temperature (20 &amp; PLUSMN; 2 degrees C) and subjected to five freeze-thaw cycles. Pinha &amp; SIM;o starch exhibited a higher viscosity peak and breakdown, along with a lower final viscosity and setback, compared to guabiju and uvaia starches. The significantly different pasting properties influenced the porous microstructure, water absorption (p-value: 0.01), and resistance of the hydrogels (p-value: 0.01). The guabiju starch hydrogels showed a uniform pore structure without cavities, whereas pinha &amp; SIM;o and uvaia starch hydrogels exhibited agglomerated and spongy pore structures. Furthermore, the guabiju starch hydrogel demonstrated the lowest water absorption (4.56 g/g) and the highest compression resistance (1448.50 g) among all the studied starch hydrogels. In contrast, the pinha &amp; SIM;o starch hydrogel showed the highest water absorption (7.43 g/; p-value: 0.01) among all studied starch hydrogels. The hardness of uvaia starch hydrogel did not differ significantly from the guabiju and pinha &amp; SIM;o starch hydrogel. The different non-conventional starches reveal important variations in the hydrogels characteristics. This provides insights into how amylose and amylopectin interact and present alternatives for using these unique starch-based hydrogels in diverse applications.</t>
  </si>
  <si>
    <t>[dos Santos, Jucilene Sena; Biduski, Barbara; dos Santos, Luciana Ruschel] Univ Passo Fundo, Grad Program Food Sci &amp; Technol, BR 285, BR-99052900 Passo Fundo, RS, Brazil; [Biduski, Barbara] Teagasc Food Res Ctr Ashtown, Food Qual &amp; Sensory Sci Dept, Dublin D15 KN3K, Ireland; [Colussi, Rosana] Univ Fed Pelotas, Ctr Chem Pharmaceut &amp; Food Sci CCQFA, BR-96010900 Pelotas, RS, Brazil; [Pinto, Vania Zanella] Univ Fed Fronteira, Grad Program Food Sci &amp; Technol, 970B, Laranjeiras Do Sul, PR, Brazil; [dos Santos, Luciana Ruschel] Univ Passo Fundo, Grad Program Bioexperimentat, BR 285, BR-99052900 Passo Fundo, RS, Brazil</t>
  </si>
  <si>
    <t>Universidade de Passo Fundo; Teagasc; Universidade Federal de Pelotas; Universidade de Passo Fundo</t>
  </si>
  <si>
    <t>Biduski, B (corresponding author), Teagasc Food Res Ctr Ashtown, Food Qual &amp; Sensory Sci Dept, Dublin D15 KN3K, Ireland.</t>
  </si>
  <si>
    <t>jucilenesennas@gmail.com; barbara.biduski@teagasc.ie; rosana_colussi@yahoo.com.br; vania_vzp@hotmail.com; luruschel@upf.br</t>
  </si>
  <si>
    <t>Biduski, Bárbara/AAG-7576-2021</t>
  </si>
  <si>
    <t>Biduski, Bárbara/0000-0002-9636-0910</t>
  </si>
  <si>
    <t>CAPES - Brazil [001]; FAPERGS [19/2551-0001886-0]</t>
  </si>
  <si>
    <t>CAPES - Brazil(Coordenacao de Aperfeicoamento de Pessoal de Nivel Superior (CAPES)); FAPERGS(Fundacao de Amparo a Ciencia e Tecnologia do Estado do Rio Grande do Sul (FAPERGS))</t>
  </si>
  <si>
    <t>This study was financed in part by CAPES - Brazil (Finance Code 001) . This study was also funded by FAPERGS (process #19/2551-0001886-0) .</t>
  </si>
  <si>
    <t>10.1016/j.foodres.2023.113243</t>
  </si>
  <si>
    <t>O9ON0</t>
  </si>
  <si>
    <t>WOS:001047040200001</t>
  </si>
  <si>
    <t>Du, SZ; Cao, JE</t>
  </si>
  <si>
    <t>Du, Shanzhong; Cao, June</t>
  </si>
  <si>
    <t>Non-family shareholder governance and green innovation of family firms: A socio-emotional wealth theory perspective</t>
  </si>
  <si>
    <t>Non -family shareholder governance; Family firms; Green innovation</t>
  </si>
  <si>
    <t>LONG-TERM ORIENTATION; CORPORATE RISK-TAKING; ENTREPRENEURIAL ORIENTATION; INSTITUTIONAL PRESSURES; CEO REPUTATION; UPPER ECHELONS; PERFORMANCE; OWNERSHIP; AGENCY; INVESTMENT</t>
  </si>
  <si>
    <t>We draw on socio-emotional wealth (SEW) theory to investigate the influence of non-family shareholder governance (NFSG) on green innovation in family firms. We find that non-family shareholder holding has no significant impact on green innovation, but the directors appointed by non-family shareholders (NFSDAs) significantly promote the implementation of green innovation strategies in family firms. The underlying mechanisms are characterized by NFSG bringing valuable resources and promoting the firm reputation, which further facilitates green innovation. The effect of NFSG is more pronounced for entrepreneurial family firms and family firms located in high institutional efficiency areas. The green professional backgrounds of NFSDAs and having excess NFSDAs also effectively promote green innovation. Finally, green innovation promotes the longterm orientation of family firms. Through this study, we draw on SEW theory to enrich research on NFSG and green innovation in family firms. Our findings can help family firms achieve a solid basis for long-term orientation.</t>
  </si>
  <si>
    <t>[Du, Shanzhong] Sun Yat Sen Univ, Int Sch Business &amp; Finance, Zhuhai, Peoples R China; [Du, Shanzhong] Sun Yat Sen Univ, Adv Inst Finance, Guangzhou, Peoples R China; [Cao, June] Curtin Univ, Sch Accounting Econ &amp; Finance, Perth, Australia</t>
  </si>
  <si>
    <t>Sun Yat Sen University; Sun Yat Sen University; Curtin University</t>
  </si>
  <si>
    <t>Cao, JE (corresponding author), Curtin Univ, Sch Accounting Econ &amp; Finance, Perth, Australia.</t>
  </si>
  <si>
    <t>dushzh@mail.sysu.edu.cn; june.cao@curtin.edu.au</t>
  </si>
  <si>
    <t>National Natural Science Foundation of China [72172063, 71772094]; National Social Science Foundation of China [22BGL078]; School of Accounting, Economics and Finance, Curtin University</t>
  </si>
  <si>
    <t>National Natural Science Foundation of China(National Natural Science Foundation of China (NSFC)); National Social Science Foundation of China(National Office of Philosophy and Social Sciences); School of Accounting, Economics and Finance, Curtin University</t>
  </si>
  <si>
    <t>The first author would like to acknowledge financial support from the National Natural Science Foundation of China (grant No.72172063, grant No. 71772094). The second author would like to acknowledge financial support from the National Social Science Foundation of China (grant No. 22BGL078) and School of Accounting, Economics and Finance, Curtin University. We thank invaluable comments from Millie Liew, Zijie Huang, Ari Budi Kristanto, Zhuo Li, Daniela Juric (the discussant) and all participants of 2023 annual conference of Accounting &amp; Finance Association of Australia and New Zealand.</t>
  </si>
  <si>
    <t>10.1016/j.irfa.2023.102857</t>
  </si>
  <si>
    <t>R2IB9</t>
  </si>
  <si>
    <t>WOS:001062622100001</t>
  </si>
  <si>
    <t>Ebrahimi, M; Nobahar, E; Mohammadi, RK; Farsangi, EN; Noori, M; Li, SF</t>
  </si>
  <si>
    <t>Ebrahimi, Mehrdad; Nobahar, Elnaz; Mohammadi, Reza Karami; Farsangi, Ehsan Noroozinejad; Noori, Mohammad; Li, Shaofan</t>
  </si>
  <si>
    <t>The influence of model and measurement uncertainties on damage detection of experimental structures through recursive algorithms</t>
  </si>
  <si>
    <t>Uncertainty; Extended Kalman filter; Unscented Kalman filter; Recursive algorithms; Damage detection; Information entropy; Sensors</t>
  </si>
  <si>
    <t>KALMAN FILTER; PARAMETRIC IDENTIFICATION; SYSTEM-IDENTIFICATION; NONLINEAR-SYSTEMS; RANDOM VIBRATION; TIME; COVARIANCES; PROPAGATION</t>
  </si>
  <si>
    <t>In this work, we developed a framework for identifying frame-type structures regarding the measurement uncertainty and the uncertainty involved in inherent and structural parameters. The identification process is illustrated and examined on a one-eight-scale four-story moment-resisting steel frame under seismic excitation using two well-known recursive schemes: the Extended Kalman filter (EKF) and Unscented Kalman Filter (UKF) methods. The nonlinear system equations were assessed by applying a first-order instantaneous linearization approach through the EKF method. In contrast, the UKF algorithm employs several sample points to estimate moments of random variables' nonlinear transformations. A nonlinear transformation is applied to distribute sample points to derive the precise mean and covariance up to the second order of any nonlinearity. Accordingly, it is theoretically expected that the UKF algorithm is more capable of identifying the nonlinear systems and determining the unknown parameters than the EKF algorithm. The capability of the EKF and UKF algorithms was assessed by considering a 4-story moment-resisting steel frame with several inherent uncertainties, including the material behavior model, boundary conditions, and constraints. In addition to these uncertainties, the combination of acceleration and displacement responses of different structural levels is employed to evaluate the capability of the algorithms. The information entropy measure is used to investigate further the uncertainty of a group of established model parameters. As highlighted, a good agreement is observed between the results using the information entropy measure criterion and those using the UKF and EKF algorithms. The results illustrate that using the responses of fewer levels placed in the proper positions may lead to improved outcomes than those of more improperly positioned levels.</t>
  </si>
  <si>
    <t>[Ebrahimi, Mehrdad; Nobahar, Elnaz; Mohammadi, Reza Karami] KN Toosi Univ Technol, Dept Civil Engn, Tehran, Iran; [Farsangi, Ehsan Noroozinejad] Western Sydney Univ, Urban Transformat Res Ctr UTRC, Penrith, NSW, Australia; [Noori, Mohammad] Calif Polytech State Univ San Luis Obispo, Dept Mech Engn, San Luis Obispo, CA USA; [Noori, Mohammad] Univ Leeds, Sch Civil Engn, Leeds LS2 9JT, England; [Li, Shaofan] Univ Calif Berkeley, Dept Civil &amp; Environm Engn, Berkeley, CA USA</t>
  </si>
  <si>
    <t>K. N. Toosi University of Technology; Western Sydney University; California State University System; California Polytechnic State University San Luis Obispo; University of Leeds; University of California System; University of California Berkeley</t>
  </si>
  <si>
    <t>Farsangi, EN (corresponding author), Western Sydney Univ, Urban Transformat Res Ctr UTRC, Penrith, NSW, Australia.</t>
  </si>
  <si>
    <t>ehsan.noroozinejad@westernsydney.edu.au</t>
  </si>
  <si>
    <t>Noroozinejad Farsangi, Ehsan/J-2922-2013</t>
  </si>
  <si>
    <t>Noroozinejad Farsangi, Ehsan/0000-0002-2790-526X; Karami Mohammadi, Reza/0000-0003-0077-6434; Ebrahimi, Mehrdad/0000-0001-6336-5670</t>
  </si>
  <si>
    <t>10.1016/j.ress.2023.109531</t>
  </si>
  <si>
    <t>P7QX4</t>
  </si>
  <si>
    <t>WOS:001052593500001</t>
  </si>
  <si>
    <t>Ejiri, S</t>
  </si>
  <si>
    <t>Ejiri, Sho</t>
  </si>
  <si>
    <t>Notes on Frobenius stable direct images</t>
  </si>
  <si>
    <t>JOURNAL OF ALGEBRA</t>
  </si>
  <si>
    <t>Positive characteristic; Generation theorems; Multiplier ideal sheaves; Non-lc ideal sheaves</t>
  </si>
  <si>
    <t>POSITIVITY</t>
  </si>
  <si>
    <t>In this note, we prove the coherence of Frobenius stable direct images in a new case. We also show a generation theorem regarding to it. Furthermore, we prove a corresponding theorem in characteristic zero.&amp; COPY; 2023 Elsevier Inc. All rights reserved.</t>
  </si>
  <si>
    <t>[Ejiri, Sho] Osaka Metropolitan Univ, Grad Sch Sci, Dept Math, Osaka, Osaka 5588585, Japan</t>
  </si>
  <si>
    <t>Osaka Metropolitan University</t>
  </si>
  <si>
    <t>Ejiri, S (corresponding author), Osaka Metropolitan Univ, Grad Sch Sci, Dept Math, Osaka, Osaka 5588585, Japan.</t>
  </si>
  <si>
    <t>shoejiri.math@gmail.com</t>
  </si>
  <si>
    <t>MEXT Promotion of Distinctive Joint Research Center Program [JPMXP0619217849]</t>
  </si>
  <si>
    <t>MEXT Promotion of Distinctive Joint Research Center Program</t>
  </si>
  <si>
    <t>Acknowledgment The author wises to express his thanks to Professors Osamu Fujino, Masataka Iwai and Shin-ichi Matsumura for helpful comments. He is grateful to Professor Shunsuke Takagi for a fruitful question. This work was partly supported by MEXT Promotion of Distinctive Joint Research Center Program JPMXP0619217849.</t>
  </si>
  <si>
    <t>0021-8693</t>
  </si>
  <si>
    <t>1090-266X</t>
  </si>
  <si>
    <t>J ALGEBRA</t>
  </si>
  <si>
    <t>J. Algebra</t>
  </si>
  <si>
    <t>10.1016/j.jalgebra.2023.06.027</t>
  </si>
  <si>
    <t>P1ZD5</t>
  </si>
  <si>
    <t>WOS:001048684500001</t>
  </si>
  <si>
    <t>El-Hadedy, M; Guo, XF; Yoshii, K; Cai, YC; Herndon, R; Banta, B; Hwu, WM</t>
  </si>
  <si>
    <t>El-Hadedy, Mohamed; Guo, Xinfei; Yoshii, Kazutomo; Cai, Yichen; Herndon, Robert; Banta, Bryan; Hwu, Wen-Mei</t>
  </si>
  <si>
    <t>RECO-ASCON: Reconfigurable ASCON hash functions for IoT applications</t>
  </si>
  <si>
    <t>INTEGRATION-THE VLSI JOURNAL</t>
  </si>
  <si>
    <t>Cryptography; IoT devices; ASIC; ASCON; Sponge-based hash functions</t>
  </si>
  <si>
    <t>SECURITY; CHISEL</t>
  </si>
  <si>
    <t>The need for reconfigurable lightweight cryptographic processors with low power consumption for securing the Internet of Things (IoT) with adaptive functionalities is getting attracted due to security properties, such as data fidelity, provenance, and privacy concerns. This paper presents RECO-ASCON, a reconfigurable security processor that supports both cryptographic Hash and Hasha ASCON algorithms. The proposed design is implemented in Chisel hardware construction language, an open-source hardware library. It has been evaluated in various hardware platforms such as FPGAs, embedded systems and ASICs with various technology nodes and design flows. In the PYNQ-Z1 board, RECO-ASCON can be mapped to five processors in total with a Micro-Blaze soft-core processor for streaming data to all of them while running at 200 MHz without producing any timing violations. Moreover, mapping the proposed RECO-ASCON processor on the Nexsys4-DDR Xilinx Kit (ARTIX-7 chip) would cost &amp; SIM; two times fewer resources and run 1.25 x faster than the existing implementation of just one of the ASCON hash functions on the same family of the chip. We implement the proposed processor in 28 nm industry technology with commercial design flow, it achieves a maximum frequency of 1.12 GHz while achieving highest energy efficiency compared to the state-of-the-art implementations. The total area is only 9170.82 um2 in 28 nm. To further evaluate the design, we also implement it with all open-source design tools and process technology libraries in 45 nm, it achieves 1 GHz maximum frequency and consumes only 18225 um2 in 45 nm. Overall, the proposed reconfigurable processor is compact and more energy efficient, making it a perfect candidate to be deployed in wide range of IoT systems.</t>
  </si>
  <si>
    <t>[El-Hadedy, Mohamed; Herndon, Robert; Banta, Bryan] Calif State Polytech Univ Pomona, Dept Elect &amp; Comp Engn, Pomona, CA USA; [Guo, Xinfei; Cai, Yichen] Shanghai Jiao Tong Univ, Univ Michigan, Shanghai Jiao Tong Univ Joint Inst, Shanghai, Peoples R China; [Yoshii, Kazutomo] Argonne Natl Lab, Lemont, IL USA; [Hwu, Wen-Mei] Univ Illinois, Champaign, IL USA</t>
  </si>
  <si>
    <t>California State University System; California State Polytechnic University Pomona; Shanghai Jiao Tong University; United States Department of Energy (DOE); Argonne National Laboratory; University of Illinois System; University of Illinois Urbana-Champaign</t>
  </si>
  <si>
    <t>Guo, XF (corresponding author), Shanghai Jiao Tong Univ, Univ Michigan, Shanghai Jiao Tong Univ Joint Inst, Shanghai, Peoples R China.</t>
  </si>
  <si>
    <t>mealy@cpp.edu; xinfei.guo@sjtu.edu.cn</t>
  </si>
  <si>
    <t>Air Force Research Laboratory Academy Center for Cyberspace Research (ACCR) Directorate through the Air Force Office of Scientific Research Summer Faculty Fellowship Program [FA8750-15-0-6003, FA9550-15-0001]; U.S. Department of Energy, Office of Science [DE-AC02-06CH11357]; National Science Foundation of China [62201340]; SJTU Explore-X Research [D6040004/038]; CCF-Tencent Open Fund [RAGR20220114]; Shanghai Jiao Tong University; AMD-Xilinx University Donation Program</t>
  </si>
  <si>
    <t>Air Force Research Laboratory Academy Center for Cyberspace Research (ACCR) Directorate through the Air Force Office of Scientific Research Summer Faculty Fellowship Program; U.S. Department of Energy, Office of Science(United States Department of Energy (DOE)); National Science Foundation of China(National Natural Science Foundation of China (NSFC)); SJTU Explore-X Research; CCF-Tencent Open Fund; Shanghai Jiao Tong University; AMD-Xilinx University Donation Program</t>
  </si>
  <si>
    <t>This work is funded by the Air Force Research Laboratory Academy Center for Cyberspace Research (ACCR) Directorate through the Air Force Office of Scientific Research Summer Faculty Fellowship Program (R) , Contract Numbers FA8750-15-0-6003 and FA9550-15-0001. Moreover, this work was partially supported by the U.S. Department of Energy, Office of Science, under contract DE-AC02-06CH11357. In addition, this work was partially supported by National Science Foundation of China under Grant No. 62201340, in part by a SJTU Explore-X Research Grant No. D6040004/038, in part by a CCF-Tencent Open Fund No. RAGR20220114, in part by a startup funding from Shanghai Jiao Tong University and an AMD-Xilinx University Donation Program. Authors would like to thank the anonymous reviewers for their valuable feedback.</t>
  </si>
  <si>
    <t>0167-9260</t>
  </si>
  <si>
    <t>1872-7522</t>
  </si>
  <si>
    <t>INTEGRATION</t>
  </si>
  <si>
    <t>Integration-VLSI J.</t>
  </si>
  <si>
    <t>10.1016/j.vlsi.2023.102061</t>
  </si>
  <si>
    <t>Computer Science, Hardware &amp; Architecture; Engineering, Electrical &amp; Electronic</t>
  </si>
  <si>
    <t>Q9GF2</t>
  </si>
  <si>
    <t>WOS:001060522000001</t>
  </si>
  <si>
    <t>Fan, T; Zhang, YL; Wang, XD; Zhao, YH; Shi, AD; Zhang, X</t>
  </si>
  <si>
    <t>Fan, Ting; Zhang, Yulin; Wang, Xudong; Zhao, Yonghua; Shi, Andong; Zhang, Xia</t>
  </si>
  <si>
    <t>Application of various high- density organic materials in soil promotes germination and increases nutrient content of wheat</t>
  </si>
  <si>
    <t>High-density organic matter; Granular wheat straw; Hardness; Germination rate; Decomposition</t>
  </si>
  <si>
    <t>SUBSOIL COMPACTION; BIOCHAR; RESIDUE; DECOMPOSITION; SULFUR; CARBON; YIELD; WATER; TRANSFORMATION; MECHANISMS</t>
  </si>
  <si>
    <t>In the arid and semi-arid areas in China, the emergence rate of crops is usually reduced by the undecomposed residues, as the areas are characterized in low temperature and insufficient soil moisture. Thus, an innovative method of straw returning is needed to solve the above problems. In this study, high-density organic matter (HDOM) was made of chopped wheat straw (CWS). The HDOM of wheat straw (HDOM-W) without exogenous addition is one treatment, the HDOM-W containing 10% wheat straw biochar (HDOM-WB) and elemental sulfur (HDOM-WS) in weight categorized as two other treatments. The effects of HDOM on soil and crop growth were systematically evaluated through field in situ and laboratory incubation experiments. The results showed that compared to CWS, wheat germination rate was not significantly decreased in the HDOM-W treatment; the biomass, total N and P concentrations of wheat in HDOM-WS were increased by 137.9%, 137.1%, and 141.8%, respectively (P &lt; 0.05); wheat K concentration in HDOM-WB was significantly increased by 39.7% (P &lt; 0.05). Therefore, application of HDOM in soils can improve seed bed, promote crop growth and increase nutrient content, which eventually elevating soil fertility. Organic materials like crop straws, tree branches, grasses off the farmland, abandoned wood furniture, etc. can be all returned to the field as HDOM to elevate soil fertility. The application of HDOM can be used as an innovative environmental protection technology to tackle the problem of organic waste disposal and sustainably maintain soil quality. (c) 2023 The Author(s). Published by Elsevier B.V. This is an open access article under the CC BY-NC-ND license (http://creativecommons.org/licenses/by-nc-nd/4.0/).</t>
  </si>
  <si>
    <t>[Fan, Ting; Zhang, Yulin; Wang, Xudong; Zhang, Xia] Northwest A&amp;F Univ, Coll Resources &amp; Environm, Yangling 712100, Shaanxi, Peoples R China; [Zhang, Yulin; Wang, Xudong] Minist Agr, Key Lab Plant Nutr &amp; Agrienvironm Northwest China, Yangling 712100, Shaanxi, Peoples R China; [Zhao, Yonghua] Shaanxi Key Lab Land Consolidat, Xian 710075, Shaanxi, Peoples R China; [Zhao, Yonghua] Changan Univ, Sch Land Engn, Xian 710064, Shaanxi, Peoples R China; [Shi, Andong] South Australian Res &amp; Dev Inst, Dept Primary Ind &amp; Reg, Urrbrae, SA 5064, Australia</t>
  </si>
  <si>
    <t>Northwest A&amp;F University - China; Ministry of Agriculture &amp; Rural Affairs; Chang'an University; South Australian Research &amp; Development Institute (SARDI)</t>
  </si>
  <si>
    <t>Zhang, YL; Wang, XD (corresponding author), Northwest A&amp;F Univ, Coll Resources &amp; Environm, Yangling 712100, Shaanxi, Peoples R China.</t>
  </si>
  <si>
    <t>yulinzhangbest@126.com; wangxd@nwafu.edu.cn</t>
  </si>
  <si>
    <t>Fund Project of Shaanxi Key Laboratory of Land Consolidation [2018-ZD08]; National Science Foundation of China (NSFC) [41601324]</t>
  </si>
  <si>
    <t>Fund Project of Shaanxi Key Laboratory of Land Consolidation; National Science Foundation of China (NSFC)(National Natural Science Foundation of China (NSFC))</t>
  </si>
  <si>
    <t>This research was supported by the Fund Project of Shaanxi Key Laboratory of Land Consolidation (2018-ZD08) and the National Science Foundation of China (NSFC, Project No. 41601324).</t>
  </si>
  <si>
    <t>10.1016/j.eti.2023.103298</t>
  </si>
  <si>
    <t>R1LG8</t>
  </si>
  <si>
    <t>WOS:001062020400001</t>
  </si>
  <si>
    <t>Fan, T; Li, Q; Shao, LY; Wu, ZS; Sun, A</t>
  </si>
  <si>
    <t>Fan, Ting; Li, Qi; Shao, Liyang; Wu, Zhishen; Sun, An</t>
  </si>
  <si>
    <t>Digital phase shift based simulated coherence phase demodulation technology for F-OTDR</t>
  </si>
  <si>
    <t>OPTICS COMMUNICATIONS</t>
  </si>
  <si>
    <t>&amp; phi;-OTDR; Heterodyne detection; Digital phase demodulation; Simulated coherence; Digital phase shift</t>
  </si>
  <si>
    <t>PHI-OTDR; FIBER; SYSTEM; CABLE</t>
  </si>
  <si>
    <t>In this paper, we propose a digital phase demodulation scheme for phase-sensitive optical time-domain reflectometer (F-OTDR) systems based on simulated coherence for digital phase shift, in which three-path signals with a phase interval of 120 can be obtained by employing digital simulated orthogonal coherence for phase shift instead of using a hardware 3x3 coupler and three detectors, while the high-frequency component can be eliminated through cross differential between simulated coherence signals. On this basis, the phase variation of Rayleigh backscattering (RBS) light can be analyzed by differential cross multiplication (DCM). The performance of the proposed scheme is evaluated through experiments by detecting a series of vibration signals with various sensing distances, vibration frequencies, and waveforms. The experimental results demonstrate that the phase variation caused by external vibration can be effectively reconstructed and a strain resolution of 0.5 ne and the SNR of 51.03 dB can be achieved through the proposed demodulation method, which significantly simplifies the system and effectively suppresses the deviation of phase interval and noise caused by hardware demodulation.</t>
  </si>
  <si>
    <t>[Fan, Ting; Sun, An] Northwest Univ, Sch Phys, Xian 710069, Peoples R China; [Li, Qi] Chinese Acad Sci, Inst Rock &amp; Soil Mech, State Key Lab Geomech &amp; Geotech Engn, Wuhan 430071, Peoples R China; [Shao, Liyang] Southern Univ Sci &amp; Technol, Sch Innovat &amp; Entrepreneurship, Shenzhen 518055, Peoples R China; [Wu, Zhishen; Sun, An] Southeast Univ, Int Inst Urban Syst Engn, Nanjing 210018, Peoples R China</t>
  </si>
  <si>
    <t>Northwest University Xi'an; Chinese Academy of Sciences; Wuhan Institute of Rock &amp; Soil Mechanics, CAS; Southern University of Science &amp; Technology; Southeast University - China</t>
  </si>
  <si>
    <t>Sun, A (corresponding author), Northwest Univ, Sch Phys, Xian 710069, Peoples R China.;Sun, A (corresponding author), Southeast Univ, Int Inst Urban Syst Engn, Nanjing 210018, Peoples R China.</t>
  </si>
  <si>
    <t>fanting@stumail.nwu.edu.cn; qli@whrsm.ac.cn; shaoly@sustech.edu.cn; fanting@stumail.nwu.edu.cn; fanting@stumail.nwu.edu.cn</t>
  </si>
  <si>
    <t>Natural Science Basic Re-search Program of Shaanxi, China [2021JZ-45]; Major Project of Inner Mongolia Science and Technology, China [2021ZD0034]</t>
  </si>
  <si>
    <t>Natural Science Basic Re-search Program of Shaanxi, China; Major Project of Inner Mongolia Science and Technology, China</t>
  </si>
  <si>
    <t>Acknowledgments This work was supported in part by Natural Science Basic Re-search Program of Shaanxi, China (Grant No. 2021JZ-45) , The Major Project of Inner Mongolia Science and Technology, China (Grant No. 2021ZD0034) .</t>
  </si>
  <si>
    <t>0030-4018</t>
  </si>
  <si>
    <t>1873-0310</t>
  </si>
  <si>
    <t>OPT COMMUN</t>
  </si>
  <si>
    <t>Opt. Commun.</t>
  </si>
  <si>
    <t>10.1016/j.optcom.2023.129746</t>
  </si>
  <si>
    <t>P0QF6</t>
  </si>
  <si>
    <t>WOS:001047765500001</t>
  </si>
  <si>
    <t>Farley, P; Abraham, P; Griffin, RL; Jansen, JO</t>
  </si>
  <si>
    <t>Farley, Paige; Abraham, Peter; Griffin, Russell L.; Jansen, Jan O.</t>
  </si>
  <si>
    <t>Pain in Trauma Patients: Measurement and Predisposing Factors</t>
  </si>
  <si>
    <t>JOURNAL OF SURGICAL RESEARCH</t>
  </si>
  <si>
    <t>Pain; Pain measurement; Substance abuse; Trauma</t>
  </si>
  <si>
    <t>UNDER-THE-CURVE; AREA; METAANALYSIS; MANAGEMENT; INJURY</t>
  </si>
  <si>
    <t>Introduction: Acute pain is common after injury. This study intended to evaluate the feasibility of quantifying pain experience over an entire admission using area under the pain curve and to identify factors associated with increased pain. Methods: This retrospective single-center study included all trauma patients admitted from 2013 to 2020. Maximum pain scores were extracted for each day. Pain was defined as area under the curve (AUC) of maximum pain scores/day plotted against time. Injury patterns were analyzed by dichotomizing Abbreviated Injury Scale (AIS) scores (AIS &lt; 3 versus AIS &gt; 3) for each body region. Urinary drug screen results were collected from admission data. A general linear model was used to determine which injury patterns, mechanisms, and age groups were predictive of increased AUC in all patients together and separate by operative and nonoperative groups. Results: We identified 21,640 patients, of which 70% were male and 83% had suffered blunt injury. Overall injury severity was associated with increased pain experience. Serious head injury, younger age, and older age (compared to 45-49 y) were associated with decreased pain. Spinal injuries, thoraco-abdominal injuries, and combined thoracic and lower extremity injuries were predictive of increased pain. Compared to patients with no positive test for illicit substances or documentation of prehospital narcotic medications, the pain experience was greater for both, those who had been administered a narcotic in the prehospital setting and those who tested positive for illicit substances. Conclusions: This study extends the concept of total pain experience using AUC methodology. Our results demonstrate associations between increased pain and certain patterns of injury, ages, and presence of drugs on admission. Measuring total pain experience could assist in comparing pain-management strategies. Future research should focus on validating pain experience against quality-of-life measurements. &amp; COPY; 2023 Elsevier Inc. All rights reserved.</t>
  </si>
  <si>
    <t>[Farley, Paige] Oregon Hlth &amp; Sci Univ, Portland, OR USA; [Abraham, Peter; Griffin, Russell L.; Jansen, Jan O.] Univ Alabama Birmingham, Ctr Injury Sci, Birmingham, AL USA; [Griffin, Russell L.] Univ Alabama Birmingham, Sch Publ Hlth, Dept Epidemiol, Birmingham, England; [Jansen, Jan O.] Univ Alabama Birmingham, Ctr Injury Sci, BDB 625, 1808 7th Ave S, Birmingham, AL 35233 USA</t>
  </si>
  <si>
    <t>Oregon Health &amp; Science University; University of Alabama System; University of Alabama Birmingham; University of Alabama System; University of Alabama Birmingham</t>
  </si>
  <si>
    <t>Jansen, JO (corresponding author), Univ Alabama Birmingham, Ctr Injury Sci, BDB 625, 1808 7th Ave S, Birmingham, AL 35233 USA.</t>
  </si>
  <si>
    <t>jjansen@uabmc.edu</t>
  </si>
  <si>
    <t>0022-4804</t>
  </si>
  <si>
    <t>1095-8673</t>
  </si>
  <si>
    <t>J SURG RES</t>
  </si>
  <si>
    <t>J. Surg. Res.</t>
  </si>
  <si>
    <t>10.1016/j.jss.2023.06.008</t>
  </si>
  <si>
    <t>Surgery</t>
  </si>
  <si>
    <t>P3KK9</t>
  </si>
  <si>
    <t>WOS:001049662800001</t>
  </si>
  <si>
    <t>Feng, Y; Wei, L; Liu, YX; Dai, HX; Zhao, ZX; Deng, JG</t>
  </si>
  <si>
    <t>Feng, Yuan; Wei, Lu; Liu, Yuxi; Dai, Hongxing; Zhao, Zhenxia; Deng, Jiguang</t>
  </si>
  <si>
    <t>Rapid supplement of active oxygen by constructing Pt-Fe alloy structure to improve catalytic stability for furniture paints industry VOCs removal</t>
  </si>
  <si>
    <t>Furniture paints industry; Catalytic stability of VOCs elimination; Pt-Fe alloy catalysts; Active oxygen supplement</t>
  </si>
  <si>
    <t>TOLUENE OXIDATION; HIGHLY EFFICIENT; PERFORMANCE; BENZENE</t>
  </si>
  <si>
    <t>To improve the air quality, volatile organic compounds (VOCs) elimination via a stable catalytic oxidation is important. The enhancement in the catalytic stability of toluene and iso-hexane removal is investigated by constructing the Pt-Fe alloy structure. The Pt-Fe alloy structure not only weakens the toluene adsorption, but also improves the lattice oxygen mobility. The Mars-van Krevelen mechanism is presented over the Pt1Fe1.5/M during toluene oxidation, instead of the initial Langmuir-Hinshelwood mechanism. For Pt1Fe1.5/M, the strong ability of O2 activation and the fast migration of lattice oxygen will provide sufficient surface lattice oxygen to ensure a continuous toluene oxidation. An excellent catalytic stability is detected over the catalysts with the high activity of lattice oxygen, which are accelerated by the weaker adsorption and higher temperature during iso-hexane oxidation. Generally, the crucial role of the replenishment speed of active oxygen species is clarified in a stable process of VOCs oxidation. It is valuable for the up-to-standard emission of VOCs from the furniture paints industry.</t>
  </si>
  <si>
    <t>[Feng, Yuan] Sinopec Catalyst Co Ltd, Inst Engn Technol, Beijing 100029, Peoples R China; [Feng, Yuan; Wei, Lu; Liu, Yuxi; Dai, Hongxing; Deng, Jiguang] Beijing Univ Technol, Beijing Key Lab Green Catalysis &amp; Separat, Key Lab Beijing Reg Air Pollut Control, Beijing 100124, Peoples R China; [Zhao, Zhenxia] Guangxi Univ, Key Lab New Low Carbon Green Chem Technol, Educ Dept Guangxi Zhuang Autonomous Reg, State Key Lab Featured Met Mat &amp; Life Cycle Safety, Nanning 530004, Peoples R China</t>
  </si>
  <si>
    <t>Sinopec; Beijing University of Technology; Guangxi University</t>
  </si>
  <si>
    <t>Deng, JG (corresponding author), Beijing Univ Technol, Beijing Key Lab Green Catalysis &amp; Separat, Key Lab Beijing Reg Air Pollut Control, Beijing 100124, Peoples R China.</t>
  </si>
  <si>
    <t>jgdeng@bjut.edu.cn</t>
  </si>
  <si>
    <t>Natural Science Foundation of China [22106007, 21961160743, 21622701]; Key Science and Technology Projects of Beijing Municipal Education Commission [KZ20 2210005011]; Natural Science Foundation of Hebei [B20212 08033]</t>
  </si>
  <si>
    <t>Natural Science Foundation of China(National Natural Science Foundation of China (NSFC)); Key Science and Technology Projects of Beijing Municipal Education Commission; Natural Science Foundation of Hebei(Natural Science Foundation of Hebei Province)</t>
  </si>
  <si>
    <t>This work was supported by the Natural Science Foundation of China (22106007, 21961160743 and 21622701) , Key Science and Technology Projects of Beijing Municipal Education Commission (KZ20 2210005011) , and Natural Science Foundation of Hebei (B20212 08033) .</t>
  </si>
  <si>
    <t>10.1016/j.seppur.2023.124621</t>
  </si>
  <si>
    <t>O9HX9</t>
  </si>
  <si>
    <t>WOS:001046868600001</t>
  </si>
  <si>
    <t>Feng, YQ; Hu, MG; Xu, CD; Zhou, L; Nie, J</t>
  </si>
  <si>
    <t>Feng, Yuqing; Hu, Maogui; Xu, Chengdong; Zhou, Ling; Nie, Juan</t>
  </si>
  <si>
    <t>Exploring the spatial pattern of house collapse rates caused by extreme rainfall in central China: The role of natural and social factors</t>
  </si>
  <si>
    <t>China; Extreme rainfall; House collapse rate; GeoDetector; Interactive effects</t>
  </si>
  <si>
    <t>DRAINAGE DENSITY; RISK-ASSESSMENT; FLOOD RISK; INTENSIFICATION; PRECIPITATION; BENEFITS</t>
  </si>
  <si>
    <t>The collapse of houses represents a prominent hazard associated with floods, mudslides, and other disastrous events resulting from extreme rainfall. Nevertheless, previous research in this area has been insufficiently dedicated to comprehending the factors that specifically contribute to house collapse triggered by extreme rainfall. This study endeavors to address this knowledge gap by proposing a hypothesis that the occurrence of house collapse, induced by extreme rainfall, demonstrates spatial heterogeneity and is subject to the interactive impacts of various factors. In the study, we investigate the relationship between house collapse rates and natural and social factors in the provinces of Henan, Shanxi, and Shaanxi provinces in 2021. These provinces are representative of flood-prone areas in central China. Spatial scan statistics and GeoDetector model were used to analyze spatial hotspot areas of house collapse rates and determinant power of natural and social factors on the spatial heterogeneity of house collapse rates, respectively. Our analysis reveals that the spatial hotspot areas predominantly concentrated in regions characterized by high rainfall, including areas along riverbanks and low-lying regions. Multiple factors contribute to the variations in house collapse rates. Among these factors, precipitation (q = 0.32) is the most significant, followed by the ratio of brickconcrete houses (q = 0.24), per capita GDP (q = 0.13), elevation (q = 0.13) and other factors. Notably, the interaction of precipitation and slope explains 63 % of the damage pattern, making it the strongest causal factor. The results substantiate our initial hypothesis and underscore the fact that the pattern of damage does not solely rely on a singular factor but rather on the interaction of multiple factors. These findings hold significance in advancing the formulation of more precise strategies aimed at bolstering safety measures and safeguarding properties within regions susceptible to flooding.</t>
  </si>
  <si>
    <t>[Feng, Yuqing; Hu, Maogui; Xu, Chengdong; Zhou, Ling] Chinese Acad Sci, Inst Geog Sci &amp; Nat Resources Res, State Key Lab Resources &amp; Environm Informat Syst, Beijing 100101, Peoples R China; [Nie, Juan] Minist Emergency Management, Natl Disaster Reduct Ctr China, Beijing 100124, Peoples R China; [Xu, Chengdong; Zhou, Ling] Univ Chinese Acad Sci, Coll Resources &amp; Environm, Beijing 100049, Peoples R China; [Xu, Chengdong] Chinese Acad Sci, Inst Geog Sci &amp; Nat Resources Res, State Key Lab Resources &amp; Environm Informat Syst, 11, Datun Rd, Beijing 100101, Peoples R China</t>
  </si>
  <si>
    <t>Chinese Academy of Sciences; Institute of Geographic Sciences &amp; Natural Resources Research, CAS; Chinese Academy of Sciences; University of Chinese Academy of Sciences, CAS; Chinese Academy of Sciences; Institute of Geographic Sciences &amp; Natural Resources Research, CAS</t>
  </si>
  <si>
    <t>Xu, CD (corresponding author), Chinese Acad Sci, Inst Geog Sci &amp; Nat Resources Res, State Key Lab Resources &amp; Environm Informat Syst, 11, Datun Rd, Beijing 100101, Peoples R China.</t>
  </si>
  <si>
    <t>xucd@lreis.ac.cn</t>
  </si>
  <si>
    <t>National Natural Science Foundation of China [41971357, 42130713]; Innovation Project of LREIS [O88RA205YA, O8R8B650YA]</t>
  </si>
  <si>
    <t>National Natural Science Foundation of China(National Natural Science Foundation of China (NSFC)); Innovation Project of LREIS</t>
  </si>
  <si>
    <t>Acknowledgments This work was supported by the National Natural Science Foundation of China (grant numbers 41971357, 42130713) , Innovation Project of LREIS (O88RA205YA, O8R8B650YA) .</t>
  </si>
  <si>
    <t>10.1016/j.scitotenv.2023.165411</t>
  </si>
  <si>
    <t>O9FX1</t>
  </si>
  <si>
    <t>WOS:001046815400001</t>
  </si>
  <si>
    <t>Fischer, T; Kohler, L; Engel, PD; Song, C; Gartner, W; Wachtveitl, J; Slavov, C</t>
  </si>
  <si>
    <t>Fischer, Tobias; Koehler, Lisa; Engel, Philipp D.; Song, Chen; Gartner, Wolfgang; Wachtveitl, Josef; Slavov, Chavdar</t>
  </si>
  <si>
    <t>Conserved tyrosine in phytochromes controls the photodynamics through steric demand and hydrogen bonding capabilities</t>
  </si>
  <si>
    <t>BIOCHIMICA ET BIOPHYSICA ACTA-MOLECULAR BASIS OF DISEASE</t>
  </si>
  <si>
    <t>Phytochromes; Site-specific mutant; Photochemistry; Time-resolved spectroscopy; Ultrafast dynamics</t>
  </si>
  <si>
    <t>CRYSTAL-STRUCTURE; FEMTOSECOND; BACTERIOPHYTOCHROME; PROTEIN; PHOTOCONVERSION; SPECTROSCOPY; CHROMOPHORE; DYNAMICS; DOMAIN; PHOTOCHEMISTRY</t>
  </si>
  <si>
    <t>Using ultrafast spectroscopy and site-specific mutagenesis, we demonstrate the central role of a conserved tyrosine within the chromophore binding pocket in the forward (P-r ? P-fr) photoconversion of phytochromes. Taking GAF1 of the knotless phytochrome All2699g1 from Nostoc as representative member of phytochromes, it was found that the mutations have no influence on the early (&lt;30 ps) dynamics associated with conformational changes of the chromophore in the excited state. Conversely, they drastically impact the extended proteincontrolled excited state decay (&gt;100 ps). Thus, the steric demand, position and H-bonding capabilities of the identified tyrosine control the chromophore photoisomerization while leaving the excited state chromophore dynamics unaffected. In effect, this residue operates as an isomerization-steric-gate that tunes the excited state lifetime and the photoreaction efficiency by modulating the available space of the chromophore and by stabilizing the primary intermediate Lumi-R. Understanding the role of such a conserved structural element sheds light on a key aspect of phytochrome functionality and provides a basis for rational design of optimized photoreceptors for biotechnological applications.</t>
  </si>
  <si>
    <t>[Fischer, Tobias; Engel, Philipp D.; Wachtveitl, Josef; Slavov, Chavdar] Goethe Univ Frankfurt Main, Inst Phys &amp; Theoret Chem, Max von Laue Str 7, D-60438 Frankfurt, Germany; [Koehler, Lisa; Song, Chen; Gartner, Wolfgang] Univ Leipzig, Inst Analyt Chem, Linnestr 3, D-04103 Leipzig, Germany; [Slavov, Chavdar] Univ S Florida, Dept Chem, 4202 E Fowler Ave, Tampa, FL 33620 USA</t>
  </si>
  <si>
    <t>Goethe University Frankfurt; Leipzig University; State University System of Florida; University of South Florida</t>
  </si>
  <si>
    <t>Wachtveitl, J; Slavov, C (corresponding author), Goethe Univ Frankfurt Main, Inst Phys &amp; Theoret Chem, Max von Laue Str 7, D-60438 Frankfurt, Germany.;Slavov, C (corresponding author), Univ S Florida, Dept Chem, 4202 E Fowler Ave, Tampa, FL 33620 USA.</t>
  </si>
  <si>
    <t>fischer@theochem.uni-frankfurt.de; l.koehler@uni-leipzig.de; p.engel@stud.uni-frankfurt.de; chen.song@uni-leipzig.de; wolfgang.gaertner@uni-leipzig.de; wveitl@theochem.uni-frankfurt.de; chslavov@usf.edu</t>
  </si>
  <si>
    <t>Song, Chen/E-7483-2017</t>
  </si>
  <si>
    <t>Song, Chen/0000-0003-1034-5881</t>
  </si>
  <si>
    <t>Deutsche Forschungsgemeinschaft [417685888, WA 1850/4-3]</t>
  </si>
  <si>
    <t>Lisa Khler and Chen Song acknowledge the Deutsche Forschungsgemeinschaft (417685888) . Josef Wachtveitl and Chavdar Slavov acknowledge the Deutsche Forschungsgemeinschaft (WA 1850/4-3) .</t>
  </si>
  <si>
    <t>0925-4439</t>
  </si>
  <si>
    <t>1879-260X</t>
  </si>
  <si>
    <t>BBA-MOL BASIS DIS</t>
  </si>
  <si>
    <t>Biochim. Biophys. Acta-Mol. Basis Dis.</t>
  </si>
  <si>
    <t>10.1016/j.bbabio.2023.148996</t>
  </si>
  <si>
    <t>Biochemistry &amp; Molecular Biology; Biophysics; Cell Biology</t>
  </si>
  <si>
    <t>Q8SS6</t>
  </si>
  <si>
    <t>WOS:001060170400001</t>
  </si>
  <si>
    <t>Fomin, A; Antonov, A; Kiselev, S</t>
  </si>
  <si>
    <t>Fomin, Alexey; Antonov, Anton; Kiselev, Sergey</t>
  </si>
  <si>
    <t>A new class of foldable mechanisms with a circular rail-FoldRail mechanisms</t>
  </si>
  <si>
    <t>Mechanism design; Parallel mechanism; Foldable mechanism; Circular rail; Mobility analysis; Screw theory; Line variety; Actuation scheme; Reconfigurable spherical motion; Singularity analysis</t>
  </si>
  <si>
    <t>PARALLEL MECHANISM; KINEMATICS; SINGULARITIES; MANIPULATORS; MOBILITY; ECLIPSE</t>
  </si>
  <si>
    <t>This article introduces a novel class of 6-DOF foldable parallel mechanisms with a circular rail- FoldRail mechanisms. The circular rail allows the mechanisms to perform an unlimited rotation around the rail axis, and the innovative design of the kinematic chains provides foldability to almost a planar configuration. First, the paper presents mechanisms with three to six kinematic chains and provides their mobility analysis using the instantaneous screw theory: this analysis allows determining the chain singularities and several inappropriate actuation schemes. Next, among the variety of different mechanisms with various actuation schemes, two mechanisms with three kinematic chains and identical actuation schemes in each chain are selected and compared. The rest of the article analyzes one of these two mechanisms, shows how its output link can achieve a reconfigurable spherical motion and a screw motion, and determines the singular configurations.</t>
  </si>
  <si>
    <t>[Fomin, Alexey; Antonov, Anton; Kiselev, Sergey] Russian Acad Sci IMASH RAN, Mech Engn Res Inst, M Kharitonyevskiy Pereulok 4, Moscow 101000, Russia</t>
  </si>
  <si>
    <t>Mechanical Engineering Research Institute of the Russian Academy of Sciences; Russian Academy of Sciences</t>
  </si>
  <si>
    <t>Fomin, A (corresponding author), Russian Acad Sci IMASH RAN, Mech Engn Res Inst, M Kharitonyevskiy Pereulok 4, Moscow 101000, Russia.</t>
  </si>
  <si>
    <t>alexey-nvkz@mail.ru; antonov.av@imash.ru; ksv01@mail.ru</t>
  </si>
  <si>
    <t>Antonov, Anton/V-6528-2019</t>
  </si>
  <si>
    <t>Antonov, Anton/0000-0002-3928-5440</t>
  </si>
  <si>
    <t>Russian Science Foundation (RSF) [21-79-10409]</t>
  </si>
  <si>
    <t>Russian Science Foundation (RSF)(Russian Science Foundation (RSF))</t>
  </si>
  <si>
    <t>Acknowledgments This research was supported by Russian Science Foundation (RSF) under grant No. 21-79-10409, https://rscf.ru/project/21-79-10409/.</t>
  </si>
  <si>
    <t>10.1016/j.mechmachtheory.2023.105425</t>
  </si>
  <si>
    <t>O8UG4</t>
  </si>
  <si>
    <t>WOS:001046508100001</t>
  </si>
  <si>
    <t>Freitas, NC; de Sa, EM; de Souza, SR</t>
  </si>
  <si>
    <t>Freitas, Nayane Carvalho; de Sa, Elisangela Martins; de Souza, Sergio Ricardo</t>
  </si>
  <si>
    <t>A GVNS algorithm applied to the single allocation hub location problem with heterogeneous economies of scale</t>
  </si>
  <si>
    <t>COMPUTERS &amp; OPERATIONS RESEARCH</t>
  </si>
  <si>
    <t>Hub location problem; Meta-heuristics; Single allocation; Heterogeneous economies of scale</t>
  </si>
  <si>
    <t>VARIABLE NEIGHBORHOOD SEARCH; BENDERS DECOMPOSITION; SPOKE NETWORK; DESIGN</t>
  </si>
  <si>
    <t>This paper addresses the single allocation hub location problem with heterogeneous economies of scale. This problem consists of selecting the nodes to establish the hubs in order to minimize the total cost of installing the hubs and routing demand flows, assuming that there is an economy of scale that depends on the amount of flow routed in each arc. We proposed a formulation to model the problem and an algorithm based on the General Variable Neighborhood Search (GVNS) meta-heuristic to handle the problem. Computational experiments were performed using instances from the literature with up to 500 nodes. The results show that the GVNS algorithm is effective for solving the instances in terms of runtime and solution quality. The results also show that the proposed formulation outperforms the literature formulation when activating the Benders decomposition method available in the CPLEX solver.</t>
  </si>
  <si>
    <t>[Freitas, Nayane Carvalho] Fed Univ Reconcavo Bahia UFRB, Rua Rui Barbosa 710,, BR-44380000 Cruz Das Almas, BA, Brazil; [de Sa, Elisangela Martins; de Souza, Sergio Ricardo] Fed Ctr Technol Educ Minas Gerais CEFET MG, Ave Amazonas 7675, BR-30510000 Belo Horizonte, MG, Brazil</t>
  </si>
  <si>
    <t>de Souza, SR (corresponding author), Fed Ctr Technol Educ Minas Gerais CEFET MG, Ave Amazonas 7675, BR-30510000 Belo Horizonte, MG, Brazil.</t>
  </si>
  <si>
    <t>nayane.freitas@ufrb.edu.br; elisangelamartins@cefetmg.br; sergio@cefetmg.br</t>
  </si>
  <si>
    <t>Coordenacao de Aperfeicoamento de Pessoal de Nivel Superior (CAPES), Brazil; Fundacao de Amparo a Pesquisa do Estado de Minas Gerais (FAPEMIG), Brazil; Conselho Nacional de Desenvolvimento Cientifico e Tecnologico (CNPq), Brazil; Centro Federal de Educacao Tecnologica de Minas Gerais (CEFET-MG); Universidade Federal do Recpncavo da Bahia (UFRB)</t>
  </si>
  <si>
    <t>Coordenacao de Aperfeicoamento de Pessoal de Nivel Superior (CAPES), Brazil(Coordenacao de Aperfeicoamento de Pessoal de Nivel Superior (CAPES)); Fundacao de Amparo a Pesquisa do Estado de Minas Gerais (FAPEMIG), Brazil(Fundacao de Amparo a Pesquisa do Estado de Minas Gerais (FAPEMIG)); Conselho Nacional de Desenvolvimento Cientifico e Tecnologico (CNPq), Brazil(Conselho Nacional de Desenvolvimento Cientifico e Tecnologico (CNPQ)); Centro Federal de Educacao Tecnologica de Minas Gerais (CEFET-MG); Universidade Federal do Recpncavo da Bahia (UFRB)</t>
  </si>
  <si>
    <t>The authors are grateful to the Coordenacao de Aperfeicoamento de Pessoal de Nivel Superior (CAPES), Brazil, Fundacao de Amparo a Pesquisa do Estado de Minas Gerais (FAPEMIG), Brazil, Conselho Nacional de Desenvolvimento Cientifico e Tecnologico (CNPq), Brazil, Centro Federal de Educacao Tecnologica de Minas Gerais (CEFET-MG), and Universidade Federal do Recpncavo da Bahia (UFRB) for supporting the development of the present study.</t>
  </si>
  <si>
    <t>0305-0548</t>
  </si>
  <si>
    <t>1873-765X</t>
  </si>
  <si>
    <t>COMPUT OPER RES</t>
  </si>
  <si>
    <t>Comput. Oper. Res.</t>
  </si>
  <si>
    <t>10.1016/j.cor.2023.106350</t>
  </si>
  <si>
    <t>Computer Science, Interdisciplinary Applications; Engineering, Industrial; Operations Research &amp; Management Science</t>
  </si>
  <si>
    <t>P2AC9</t>
  </si>
  <si>
    <t>WOS:001048709900001</t>
  </si>
  <si>
    <t>Galhoum, AA; Farahat, MM; Muhammad, SS; Sanad, MMS</t>
  </si>
  <si>
    <t>Galhoum, Ahmed A.; Farahat, Mohsen M.; Muhammad, Sally S.; Sanad, Moustafa M. S.</t>
  </si>
  <si>
    <t>Efficient trapping of neodymium ions from aqueous solutions via SnO2-decorated diatomite nanocomposite: Application to monazite leachate</t>
  </si>
  <si>
    <t>MesoporousSnO2-diatomite nanocomposite; Neodymium(III); Uptake kinetics; Sorption isotherms; XPS; Egyptian monazite</t>
  </si>
  <si>
    <t>RARE-EARTH-ELEMENTS; ADSORPTION PROPERTIES; SELECTIVE RECOVERY; DIATOMACEOUS-EARTH; EXTRACTION; SURFACE; EQUILIBRIUM; SORPTION; LANTHANUM(III); COMPOSITES</t>
  </si>
  <si>
    <t>Mesoporous SnO2-decorated diatomite nanocomposite was synthesized via a facile and cost-effective route as a promising candidate for neodymium(III) sorption. SnO2-diatomite structure was elucidated and characterized using FTIR, XRD, SEM-EDX, BET, DLS, and XPS. Maximum sorption capacity reaches 1.376 mmol g-1 at optimum pH0 4.7. Equilibrium occurred within 60 min and the half-sorption-time (tHST) was decreased from 4.97 min. Langmuir and pseudo-second-order equation adequately fits experimental data. Sorption is endothermic, spontaneous, and governed by entropy change. The sorption mechanism was discussed (via SEM-EDX, FTIR and XPS analyses). Mesoporous SnO2-diatomite has good durability and reproducibility over multiple-cycles with sorption and desorption efficiency (greater than 96 %) over six cycles using HCl. Finally, the sorbent was efficiently tested on ore leachate of Egyptian monazite.</t>
  </si>
  <si>
    <t>[Galhoum, Ahmed A.; Muhammad, Sally S.] Nucl Mat Author, POB 530, Cairo, Egypt; [Farahat, Mohsen M.; Sanad, Moustafa M. S.] Cent Met Res &amp; Dev Inst CMRDI, POB 87, Cairo 11421, Egypt</t>
  </si>
  <si>
    <t>Egyptian Knowledge Bank (EKB); Nuclear Materials Authority (NMA); Egyptian Knowledge Bank (EKB); Central Metallurgical Research &amp; Development Institute (CMRDI)</t>
  </si>
  <si>
    <t>Galhoum, AA (corresponding author), Nucl Mat Author, POB 530, Cairo, Egypt.;Sanad, MMS (corresponding author), Cent Met Res &amp; Dev Inst CMRDI, POB 87, Cairo 11421, Egypt.</t>
  </si>
  <si>
    <t>galhoum_nma@yahoo.com; mustafa_sanad2002@yahoo.com</t>
  </si>
  <si>
    <t>10.1016/j.mineng.2023.108314</t>
  </si>
  <si>
    <t>Q7CZ3</t>
  </si>
  <si>
    <t>WOS:001059078300001</t>
  </si>
  <si>
    <t>Galy, B; Giraud, L</t>
  </si>
  <si>
    <t>Galy, Bertrand; Giraud, Laurent</t>
  </si>
  <si>
    <t>Risk mitigation strategies for automated current and future mine hoists</t>
  </si>
  <si>
    <t>SAFETY SCIENCE</t>
  </si>
  <si>
    <t>Mining; Hoist; Fatal accidents; Fault tree; Risk analysis; PES</t>
  </si>
  <si>
    <t>US MINING OPERATIONS; ACCIDENTS</t>
  </si>
  <si>
    <t>In addition to extracting the ore from the mine, most mine hoists transport the miners from the surface to the various underground levels of the mine. When travelling downwards or upwards the mine shaft, miners are exposed to some risks: the conveyance could go down the shaft, crash in the headframe due to an out-of-control mine hoist or crash in a undetected obstacle. Mine hoists are not always commissioned with hundred percent new parts, and are sometimes retrofitted from old mechanical parts. This article presents a statistical review of mine hoists in use in the Province of Quebec, Canada, a quick review of the safety regulations and machinery safety standards applicable to mine hoists and a fault tree analysis (FTA) and risk analysis for a generic drum hoist. The risk analysis was conducted following the methodology prescribed by the IEC 62061 standard. From a practical standpoint, the main conclusion is that a SIL 3 (Safety Integrity Level) compliant command and supervision system should be used to safely cover all the hazardous situations that can happen in the day-to-day operation of a mine hoist. Based on the FTA and risk analysis findings, a proposed design of the command and supervision system for mine hoist is presented. Among the notable differences with the current mine hoist command and supervision system, the authors suggest a total separation of the command and supervision Programmable Electronic System (PES). Finally, the article proposes risk mitigation strategies to improve the safety of current and future mine hoists.</t>
  </si>
  <si>
    <t>[Galy, Bertrand; Giraud, Laurent] Quebec Occupat Hlth &amp; Safety Res Inst IRSST, Dept Res, 505 Maisonneuve Blvd West, Montreal, PQ H3A 3C2, Canada; [Galy, Bertrand] IRSST Inst Rech Robert Sauve Sante &amp; Secur Travail, 505 Boul Maisonneuve Ouest, Montreal, PQ H3A 3C2, Canada</t>
  </si>
  <si>
    <t>Galy, B (corresponding author), IRSST Inst Rech Robert Sauve Sante &amp; Secur Travail, 505 Boul Maisonneuve Ouest, Montreal, PQ H3A 3C2, Canada.</t>
  </si>
  <si>
    <t>bertrand.galy@irsst.qc.ca; Laurent.giraud@irsst.qc.ca</t>
  </si>
  <si>
    <t>IRSST [2014-0069]</t>
  </si>
  <si>
    <t>IRSST</t>
  </si>
  <si>
    <t>The financial support of IRSST through an operating grant (#2014-0069) is gratefully acknowledged. The views, opinions and recommendations expressed herein are solely those of the authors and do not imply any endorsement by IRSST.</t>
  </si>
  <si>
    <t>0925-7535</t>
  </si>
  <si>
    <t>1879-1042</t>
  </si>
  <si>
    <t>SAFETY SCI</t>
  </si>
  <si>
    <t>Saf. Sci.</t>
  </si>
  <si>
    <t>10.1016/j.ssci.2023.106267</t>
  </si>
  <si>
    <t>Q7PN2</t>
  </si>
  <si>
    <t>WOS:001059407700001</t>
  </si>
  <si>
    <t>Gao, B; Zhang, JL; Liu, XF</t>
  </si>
  <si>
    <t>Gao, Bin; Zhang, Jinlong; Liu, Xiaofeng</t>
  </si>
  <si>
    <t>Does carbon risk amplify environmental uncertainty?</t>
  </si>
  <si>
    <t>Carbon risk; Environmental uncertainty; Carbon emissions trading; Multiphase DID</t>
  </si>
  <si>
    <t>EMISSIONS; INVESTMENT; IMPACT</t>
  </si>
  <si>
    <t>This paper uses the Carbon Emissions Trading (CET) as a quasi-natural experiment to empirically test the impact of carbon risk on enterprise environmental uncertainty from the perspective of policy regulation in China. Using data from A-share listed enterprises from CET-covered enterprises, this paper uses multiphase difference-in-differences (DID) strategy and finds that carbon risk amplifies the uncertainty of the enterprise environment. The test of the intermediary effect indicates that institutional ownership and the change of the shareholding ratio of the largest shareholder play a partial intermediary role between carbon risk and environmental uncertainty. In addition, the analysis of industry and enterprise heterogeneity reveals that the impact is more significant on enterprises in the oil industry, enterprises with high financing constraints and insufficient investment, and non-state-owned enterprises.</t>
  </si>
  <si>
    <t>[Gao, Bin; Zhang, Jinlong] Guangxi Minzu Univ, Sch Econ, Nanning, Peoples R China; [Liu, Xiaofeng] Nanjing Univ Finance &amp; Econ, Sch Econ, Nanjing, Peoples R China</t>
  </si>
  <si>
    <t>Guangxi Minzu University; Nanjing University of Finance &amp; Economics</t>
  </si>
  <si>
    <t>Liu, XF (corresponding author), Nanjing Univ Finance &amp; Econ, Sch Econ, Nanjing, Peoples R China.</t>
  </si>
  <si>
    <t>lxf@nufe.edu.cn</t>
  </si>
  <si>
    <t>Key Projects of the National Social Science Foundation of China [22AZD095]</t>
  </si>
  <si>
    <t>Key Projects of the National Social Science Foundation of China(National Office of Philosophy and Social Sciences)</t>
  </si>
  <si>
    <t>Authors are grateful to the financial support from the Key Projects of the National Social Science Foundation of China [grant number 22AZD095] .</t>
  </si>
  <si>
    <t>10.1016/j.iref.2023.06.037</t>
  </si>
  <si>
    <t>O4CE0</t>
  </si>
  <si>
    <t>WOS:001043302500001</t>
  </si>
  <si>
    <t>Gao, KK; Wang, HX; Chen, Y; Chu, J; Zhang, JH</t>
  </si>
  <si>
    <t>Gao, Kaikai; Wang, Hanxing; Chen, Yu; Chu, Jie; Zhang, Junhua</t>
  </si>
  <si>
    <t>Combined iron (III) chloride/sodium citrate with enzymatic hydrolysis for xylo-oligosaccharides and monosaccharides production from poplar</t>
  </si>
  <si>
    <t>BIORESOURCE TECHNOLOGY</t>
  </si>
  <si>
    <t>Chelating system; Xylan; p -TsOH pretreatment; Delignification; Saccharification</t>
  </si>
  <si>
    <t>SUBCRITICAL WATER; PRETREATMENT; BIOMASS; BAGASSE</t>
  </si>
  <si>
    <t>Currently, the production of xylo-oligosaccharides (XOS) from lignocelluloses by chelating system hydrolysis has not been investigated. Herein, iron (III) chloride/sodium citrate (IC/SC) chelating system hydrolysis and xylanase hydrolysis were used to produce XOS from poplar. Then, the delignification of IC/SC-hydrolyzed poplar was performed by p-toluenesulfonic acid (p-TsOH) pretreatment to increase the accessibility of cellulase. The results demonstrated that 42.3% of XOS with an extremely low by-product (xylose/XOS = 0.11) was produced from poplar by 50 mM IC/SC hydrolysis (molar ratio of 1:1, 170 degrees C, 60 min) and xylanase hydrolysis. The second step IC/SC hydrolysis and xylanase hydrolysis of poplar increased the yield of XOS to 51.3%. Finally, the glucose yield of p-TsOH-pretreated poplar (60% p-TsOH, 70 degrees C, 30 min) was greatly increased from 37.5% to 83.8% by cellulase hydrolysis with Tween 80 addition. The novel strategy proposed in this work was feasible for XOS and monosaccharides production from poplar.</t>
  </si>
  <si>
    <t>[Gao, Kaikai; Wang, Hanxing; Chen, Yu; Chu, Jie; Zhang, Junhua] Northwest A&amp;F Univ, Coll Forestry, Yangling 712100, Peoples R China; [Zhang, Junhua] Nanjing Forestry Univ, Coll Chem Engn, Jiangsu Coinnovat Ctr Efficient Proc &amp; Utilizat Fo, Nanjing 210037, Peoples R China; [Zhang, Junhua] Nanjing Forestry Univ, Key Lab Forestry Genet &amp; Biotechnol, Minist Educ, Nanjing 210037, Peoples R China; [Zhang, Junhua] Jiangsu Key Lab Biomass Based Green Fuels &amp; Chem, Nanjing 210037, Peoples R China</t>
  </si>
  <si>
    <t>Northwest A&amp;F University - China; Nanjing Forestry University; Nanjing Forestry University</t>
  </si>
  <si>
    <t>Zhang, JH (corresponding author), Northwest A&amp;F Univ, Coll Forestry, Yangling 712100, Peoples R China.</t>
  </si>
  <si>
    <t>junhuazhang@nwafu.edu.cn</t>
  </si>
  <si>
    <t>National Natural Science Foundation of China, China; [31670598]</t>
  </si>
  <si>
    <t>National Natural Science Foundation of China, China(National Natural Science Foundation of China (NSFC));</t>
  </si>
  <si>
    <t>This work was supported by the National Natural Science Foundation of China, China (No. 31670598) .</t>
  </si>
  <si>
    <t>0960-8524</t>
  </si>
  <si>
    <t>1873-2976</t>
  </si>
  <si>
    <t>BIORESOURCE TECHNOL</t>
  </si>
  <si>
    <t>Bioresour. Technol.</t>
  </si>
  <si>
    <t>10.1016/j.biortech.2023.129597</t>
  </si>
  <si>
    <t>Agricultural Engineering; Biotechnology &amp; Applied Microbiology; Energy &amp; Fuels</t>
  </si>
  <si>
    <t>Agriculture; Biotechnology &amp; Applied Microbiology; Energy &amp; Fuels</t>
  </si>
  <si>
    <t>Q0QS7</t>
  </si>
  <si>
    <t>WOS:001054653700001</t>
  </si>
  <si>
    <t>Geng, KL; Zhu, BW; Cao, QH; Dai, CQ</t>
  </si>
  <si>
    <t>Geng, Kai -Li; Zhu, Bo -Wei; Cao, Qi-Hao; Dai, Chao-Qing</t>
  </si>
  <si>
    <t>Interference phenomenon of nondegenerate solitons for nonlocal CLL equation</t>
  </si>
  <si>
    <t>APPLIED MATHEMATICS LETTERS</t>
  </si>
  <si>
    <t>Hirota method; Nondegenerate soliton collision; Temporal and spatial interference</t>
  </si>
  <si>
    <t>DYNAMICS</t>
  </si>
  <si>
    <t>We derive nondegenerate one-soliton and two-soliton solutions of the nonlocal derivative nonlinear Schrodinger equation using Hirota method. We discuss in de-tail the temporal and spatial interference phenomena generated by the interaction between nondegenerate two-solitons. Moreover, we provide a detailed explanation and analysis of the conditions affecting the generation of the interference phenom-ena of nondegenerate soliton, and further compare the results of the interference phenomena of degenerate solitons. This provides potential applications for the interactions of degenerate and nondegenerate soliton, and related interference phenomena in nonlocal wave models. &amp; COPY; 2023 Elsevier Ltd. All rights reserved.</t>
  </si>
  <si>
    <t>[Geng, Kai -Li; Zhu, Bo -Wei; Cao, Qi-Hao; Dai, Chao-Qing] Zhejiang A&amp;F Univ, Coll Opt Mech &amp; Elect Engn, Linan 311300, Zhejiang, Peoples R China</t>
  </si>
  <si>
    <t>Zhejiang A&amp;F University</t>
  </si>
  <si>
    <t>Dai, CQ (corresponding author), Zhejiang A&amp;F Univ, Coll Opt Mech &amp; Elect Engn, Linan 311300, Zhejiang, Peoples R China.</t>
  </si>
  <si>
    <t>dcq424@126.com</t>
  </si>
  <si>
    <t>Zhejiang Provincial Natural Science Foundation of China [LR20A050001]; National Natural Science Foundation of China [12261131495, 12075210]; Scientific Research and Developed Fund of Zhejiang Aamp;F University [2021FR0009]</t>
  </si>
  <si>
    <t>Zhejiang Provincial Natural Science Foundation of China(Natural Science Foundation of Zhejiang Province); National Natural Science Foundation of China(National Natural Science Foundation of China (NSFC)); Scientific Research and Developed Fund of Zhejiang Aamp;F University</t>
  </si>
  <si>
    <t>Funding Zhejiang Provincial Natural Science Foundation of China (Grant No. LR20A050001) ; National Natural Science Foundation of China (Grant Nos. 12261131495 and 12075210) ; the Scientific Research and Developed Fund of Zhejiang A &amp; F University (Grant No. 2021FR0009) .</t>
  </si>
  <si>
    <t>0893-9659</t>
  </si>
  <si>
    <t>1873-5452</t>
  </si>
  <si>
    <t>APPL MATH LETT</t>
  </si>
  <si>
    <t>Appl. Math. Lett.</t>
  </si>
  <si>
    <t>10.1016/j.aml.2023.108793</t>
  </si>
  <si>
    <t>P4KA8</t>
  </si>
  <si>
    <t>WOS:001050339700001</t>
  </si>
  <si>
    <t>Gilmore, WB; Hultgren, NW; Chadha, A; Barocio, SB; Zhang, J; Kutsyr, O; Flores-Bellver, M; Canto-Soler, MV; Williams, DS</t>
  </si>
  <si>
    <t>Gilmore, W. Blake; Hultgren, Nan W.; Chadha, Abhishek; Barocio, Sonia B.; Zhang, Joyce; Kutsyr, Oksana; Flores-Bellver, Miguel; Canto-Soler, M. Valeria; Williams, David S.</t>
  </si>
  <si>
    <t>Expression of two major isoforms of MYO7A in the retina: Considerations for gene therapy of Usher syndrome type 1B</t>
  </si>
  <si>
    <t>VISION RESEARCH</t>
  </si>
  <si>
    <t>MYO7A; Usher syndrome; Retina; Isoforms; Gene therapy</t>
  </si>
  <si>
    <t>DISK MEMBRANE MORPHOGENESIS; MYOSIN-VIIA; MELANOSOME DISTRIBUTION; FERM DOMAIN; PIGMENT; PROTEIN; RPE; LOCALIZATION; DEGENERATION; MUTATIONS</t>
  </si>
  <si>
    <t>Usher syndrome type 1B (USH1B) is a deaf-blindness disorder, caused by mutations in the MYO7A gene, which encodes the heavy chain of an unconventional actin-based motor protein. Here, we examined the two retinal isoforms of MYO7A, IF1 and IF2. We compared 3D models of the two isoforms and noted that the 38-amino acid region that is present in IF1 but absent from IF2 affects the C lobe of the FERM1 domain and the opening of a cleft in this potentially important protein binding domain. Expression of each of the two isoforms of human MYO7A and pig and mouse Myo7a was detected in the RPE and neural retina. Quantification by qPCR showed that the expression of IF2 was typically similar to 7-fold greater than that of IF1. We discuss the implications of these findings for any USH1B gene therapy strategy. Given the current incomplete knowledge of the functions of each isoform, both isoforms should be considered for targeting both the RPE and the neural retina in gene augmentation therapies.</t>
  </si>
  <si>
    <t>[Gilmore, W. Blake; Hultgren, Nan W.; Chadha, Abhishek; Barocio, Sonia B.; Zhang, Joyce; Williams, David S.] UCLA, Dept Ophthalmol, Los Angeles, CA 90095 USA; [Gilmore, W. Blake; Hultgren, Nan W.; Chadha, Abhishek; Barocio, Sonia B.; Zhang, Joyce; Williams, David S.] UCLA, Stein Eye Inst, Dept Neurobiol, David Geffen Sch Med, Los Angeles, CA 90095 USA; [Kutsyr, Oksana; Flores-Bellver, Miguel; Canto-Soler, M. Valeria] Univ Colorado, Sue Anschutz Rodgers Eye Ctr, Sch Med, Dept Ophthalmol,CellSight Ocular Stem Cell &amp; Regen, Aurora, CO USA</t>
  </si>
  <si>
    <t>University of California System; University of California Los Angeles; University of California System; University of California Los Angeles; University of California Los Angeles Medical Center; David Geffen School of Medicine at UCLA; University of Colorado System; University of Colorado Anschutz Medical Campus</t>
  </si>
  <si>
    <t>Williams, DS (corresponding author), UCLA, Dept Ophthalmol, Los Angeles, CA 90095 USA.;Williams, DS (corresponding author), UCLA, Stein Eye Inst, Dept Neurobiol, David Geffen Sch Med, Los Angeles, CA 90095 USA.</t>
  </si>
  <si>
    <t>dswilliams@ucla.edu</t>
  </si>
  <si>
    <t>NIH NEI [R01EY027442, R01EY033035, R21EY031109, P30EY00333, F32EY031575]; Foundation Fighting Blindness; Gates Frontiers Fund; Solich Fund; CellSight Development Fund; Research to Prevent Blindness</t>
  </si>
  <si>
    <t>NIH NEI(United States Department of Health &amp; Human ServicesNational Institutes of Health (NIH) - USANIH National Eye Institute (NEI)); Foundation Fighting Blindness; Gates Frontiers Fund; Solich Fund; CellSight Development Fund; Research to Prevent Blindness(Research to Prevent Blindness (RPB))</t>
  </si>
  <si>
    <t>We thank Agrani Rump for initial work on this project, Barry Burgess for technical support, and Roni Hazim, Antonio Paniagua, and Simona Torriano for helpful comments on the project and manuscript. We are also grateful to Ariel Ben-Sasson for helpful discussions about the 3D modeling of MYO7A. The study was supported by NIH NEI grants R01EY027442, R01EY033035, R21EY031109 and P30EY00333, and a program project grant from the Foundation Fighting Blindness (DSW); by NIH NEI postdoctoral fellowship F32EY031575 (NWH); and by the Gates Frontiers Fund, The Solich Fund, CellSight Development Fund, and an unrestricted grant to the Department of Ophthalmology, University of Colorado from Research to Prevent Blindness (MVCS).</t>
  </si>
  <si>
    <t>0042-6989</t>
  </si>
  <si>
    <t>1878-5646</t>
  </si>
  <si>
    <t>VISION RES</t>
  </si>
  <si>
    <t>Vision Res.</t>
  </si>
  <si>
    <t>10.1016/j.visres.2023.108311</t>
  </si>
  <si>
    <t>Neurosciences; Ophthalmology; Psychology</t>
  </si>
  <si>
    <t>Neurosciences &amp; Neurology; Ophthalmology; Psychology</t>
  </si>
  <si>
    <t>R7ZF7</t>
  </si>
  <si>
    <t>WOS:001066494700001</t>
  </si>
  <si>
    <t>Giraldo, C; Giraldo, I; Gomez-Gonzalez, JE; Uribe, JM</t>
  </si>
  <si>
    <t>Giraldo, Carlos; Giraldo, Iader; Gomez-Gonzalez, Jose E.; Uribe, Jorge M.</t>
  </si>
  <si>
    <t>An explained extreme gradient boosting approach for identifying the time-varying determinants of sovereign risk</t>
  </si>
  <si>
    <t>Sovereign risk; Explainable AI; Extreme gradient boosting model; Macroeconomic and institutional factors</t>
  </si>
  <si>
    <t>DEFAULT RISK; SPREADS</t>
  </si>
  <si>
    <t>We use a combination of Extreme Gradient Boosting and SHAP Additive Explanations to uncover the determinants of sovereign risk across a wide range of countries from 2002 to 2021. By considering numerous variables established in existing literature within a single framework, we identify year-by-year determinants of sovereign credit risk. To gage the liquidity and solvency aspects of sovereign risk, we utilize 5- and 10-year yield spreads as proxies. Our findings show that the key variables driving sovereign risk have remained relatively stable over time and exhibit similarities in both liquidity and solvency components. Among the prominent variables, various macroeconomic fundamentals play a crucial role, including the current account, GDP growth, per capita GDP growth, and the real exchange rate. Prior to the Global Financial Crisis, macroeconomic variables, particularly the current account, held the highest importance in explaining sovereign risk. However, following the GFC, the relative importance of these variables diminished, giving way to institutional variables, especially the rule of law.</t>
  </si>
  <si>
    <t>[Giraldo, Carlos; Giraldo, Iader] Latin Amer Reserve Fund, Bogota, Colombia; [Gomez-Gonzalez, Jose E.] CUNY Lehman Coll, Dept Finance Informat Syst &amp; Econom, Bronx, NY 10468 USA; [Gomez-Gonzalez, Jose E.] Univ Sabana, Escuela Int Ciencias Econom &amp; Adm, Summer Sch, Chia, Colombia; [Uribe, Jorge M.] Univ Oberta Catalunya, Fac Econ &amp; Business, Barcelona, Spain</t>
  </si>
  <si>
    <t>City University of New York (CUNY) System; Universidad de La Sabana; UOC Universitat Oberta de Catalunya</t>
  </si>
  <si>
    <t>Gomez-Gonzalez, JE (corresponding author), CUNY Lehman Coll, Dept Finance Informat Syst &amp; Econom, Bronx, NY 10468 USA.</t>
  </si>
  <si>
    <t>jose.gomezgonzalez@lehman.cuny.edu</t>
  </si>
  <si>
    <t>Uribe, Jorge M./Q-5301-2018; Gomez-Gonzalez, Jose/D-2843-2016</t>
  </si>
  <si>
    <t>Uribe, Jorge M./0000-0002-5844-2771; Gomez-Gonzalez, Jose/0000-0002-7600-9699</t>
  </si>
  <si>
    <t>10.1016/j.frl.2023.104273</t>
  </si>
  <si>
    <t>P3HT3</t>
  </si>
  <si>
    <t>WOS:001049592000001</t>
  </si>
  <si>
    <t>Goncalves, TD; Sampaio-Junior, FD; Barrozo, PHM; de Farias, DM; Alves, LB; de Souza, EEG; Aguiar, ABD; Nery, BWB; Gering, AP; Linardi, PM; Martins, TF; Scofield, A</t>
  </si>
  <si>
    <t>Goncalves, Thamirys de Souza; Sampaio-Junior, Francisco Dantas; Barrozo, Pedro Henrique Marques; de Farias, Diana Maria; Alves, Larissa Borges; de Souza, Elda Ely Gomes; Aguiar, Adriano Bezerra de; Nery, Breno William Batista; Gering, Ana Paula; Linardi, Pedro Marcos; Martins, Thiago Fernandes; Scofield, Alessandra</t>
  </si>
  <si>
    <t>Tick and flea infestations in captive Tapirus terrestris and Tapirus kabomani (Perissodactyla: Tapiridae) in the Brazilian Amazon</t>
  </si>
  <si>
    <t>TICKS AND TICK-BORNE DISEASES</t>
  </si>
  <si>
    <t>Ectoparasites; Animal health; Public health; Amazon biome</t>
  </si>
  <si>
    <t>ACARI IXODIDAE; WILD</t>
  </si>
  <si>
    <t>The present study aimed to identify tick and flea species infesting captive tapirs (Tapirus terrestris and Tapirus kabomani) in the Brazilian Amazon. Ectoparasites were collected from tapirs chemically restrained in Zoobotanical Parks, breeding facilities, conservationists and, environmental compensation areas in the states of Amap &amp; PRIME;a, Amazonas, and Par &amp; PRIME;a. After collection, the tick and flea specimens were placed in plastic pots containing isopropanol and identified according to dichotomous keys. Ectoparasite infestations were observed in 55% (18/ 33) tapirs, of which 61% (11/18) were single infestations with ticks or fleas, and 39% (7/18) were mixed infestations with different species of ticks and/or fleas. In total, 227 ticks (15 larvae, 107 nymphs, 38 females and 67 males) and 14 fleas (eight females and six males) were collected, identifying four tick species (Amblyomma cajennense sensu stricto , Amblyomma naponense, Amblyomma oblongoguttatum, and Amblyomma pacae) and three flea species and/or subspecies (Ctenocephalides felis felis, Rhopalopsyllus australis australis, and Tunga penetrans). In conclusion, infestations with Ixodidae ticks and Rhopalopsyllidae, Pulicidae and Tungidae fleas were found in captive tapirs in the Brazilian Amazon, and A. cajennense s.s. was the most frequent species. Additionally, the present study reports new associations between A. pacae and R. a. australis with T. terrestris and between A. cajennense s.s. with T. kabomani.</t>
  </si>
  <si>
    <t>[Goncalves, Thamirys de Souza; Sampaio-Junior, Francisco Dantas; Barrozo, Pedro Henrique Marques; de Farias, Diana Maria; Alves, Larissa Borges; Scofield, Alessandra] Fed Univ Para UFPA, Inst Vet Med, Lab Anim Hlth, BR 316,Km 61,Saudade 1 Cristo Redentor, BR-68740970 Castanhal, Para, Brazil; [Goncalves, Thamirys de Souza; Sampaio-Junior, Francisco Dantas; Barrozo, Pedro Henrique Marques; de Farias, Diana Maria; de Souza, Elda Ely Gomes; Gering, Ana Paula; Scofield, Alessandra] Fed Univ Para, Inst Vet Med, Postgrad Program Anim Hlth Amazon, Castanhal, Brazil; [Aguiar, Adriano Bezerra de] Ctr Res &amp; Rehabil Wild Anim CEPRAS, Balbina Hydroelect Dam, Presidente Figueiredo, Amazonas, Brazil; [Nery, Breno William Batista] Amazon Biopk Arinaldo Gomes Barreto, Macapa, Amapa, Brazil; [Gering, Ana Paula] Fed Univ Tocantins North UFNT, Sch Vet Med &amp; Zootech, Dept Vet Clin, Araguaina, Tocantins, Brazil; [Linardi, Pedro Marcos] Fed Univ Minas Gerais UFMG, Inst Biol Sci, Dept Parasitol, Belo Horizonte, MG, Brazil; [Martins, Thiago Fernandes] Univ Sao Paulo, Sch Vet Med &amp; Anim Sci, Dept Prevent Vet Med &amp; Anim Hlth, Sao Paulo, Brazil; [Martins, Thiago Fernandes] Sao Paulo State Dept Hlth SES SP, Pasteur Inst IP, Sao Paulo, Brazil</t>
  </si>
  <si>
    <t>Universidade Federal do Para; Universidade Federal do Para; Universidade Federal de Minas Gerais; Universidade de Sao Paulo</t>
  </si>
  <si>
    <t>Scofield, A (corresponding author), Fed Univ Para UFPA, Inst Vet Med, Lab Anim Hlth, BR 316,Km 61,Saudade 1 Cristo Redentor, BR-68740970 Castanhal, Para, Brazil.</t>
  </si>
  <si>
    <t>ascofield@ufpa.br</t>
  </si>
  <si>
    <t>Coordination for the Improvement of Higher Education Personnel-Brazil (CAPES) [001]; National Council for Scientific and Technological Development (CNPq)-EraNet [3-400800/2019-5]</t>
  </si>
  <si>
    <t>Coordination for the Improvement of Higher Education Personnel-Brazil (CAPES)(Coordenacao de Aperfeicoamento de Pessoal de Nivel Superior (CAPES)); National Council for Scientific and Technological Development (CNPq)-EraNet(Conselho Nacional de Desenvolvimento Cientifico e Tecnologico (CNPQ)Fundacao de Apoio a Pesquisa do Distrito Federal (FAPDF))</t>
  </si>
  <si>
    <t>This study was financed in part by the Coordination for the Improvement of Higher Education Personnel-Brazil (CAPES) -Finance Code 001; and National Council for Scientific and Technological Development (CNPq)-EraNet 3-400800/2019-5.</t>
  </si>
  <si>
    <t>ELSEVIER GMBH</t>
  </si>
  <si>
    <t>MUNICH</t>
  </si>
  <si>
    <t>HACKERBRUCKE 6, 80335 MUNICH, GERMANY</t>
  </si>
  <si>
    <t>1877-959X</t>
  </si>
  <si>
    <t>1877-9603</t>
  </si>
  <si>
    <t>TICKS TICK-BORNE DIS</t>
  </si>
  <si>
    <t>Ticks Tick-Borne Dis.</t>
  </si>
  <si>
    <t>10.1016/j.ttbdis.2023.102234</t>
  </si>
  <si>
    <t>Infectious Diseases; Microbiology; Parasitology</t>
  </si>
  <si>
    <t>P0CF2</t>
  </si>
  <si>
    <t>WOS:001047397500001</t>
  </si>
  <si>
    <t>Gong, HS; Afrapoli, AM; Askari-Nasab, H</t>
  </si>
  <si>
    <t>Gong, Hongshuo; Afrapoli, A. Moradi; Askari-Nasab, H.</t>
  </si>
  <si>
    <t>Integrated simulation and optimization framework for quantitative analysis of near-face stockpile mining</t>
  </si>
  <si>
    <t>SIMULATION MODELLING PRACTICE AND THEORY</t>
  </si>
  <si>
    <t>Near-face stockpiling; Mixed integer linear programming; Simulation and optimization; Production planning</t>
  </si>
  <si>
    <t>LOCATION</t>
  </si>
  <si>
    <t>A new conceptual mining method called the near-face stockpile (NFS), which combines the in-pit crushing and conveying IPCC system with a pre-crusher stockpile, has recently been proposed for large open pits with sufficient pit bottom width. In the past, stockpiles mainly act as a buffer to improve the stability of the production system. However, in NFS ore will be dumped into the precrusher stockpile located at the bottom of the current pit and be fed into the crusher after blending to the desired head grade, instead of being dumped directly into the crusher. Theoretically, this design not only retains the high efficiency and high output of IPCC, but also endows the mining system with better quantity and quality stability. Verifying these advantages and objectively evaluating the NFS method has become a problem worth studying. Since the NFS method exhibits distinctive layout and feeding mechanisms, which distinguish it from other mining methods, a novel simulation model is required for the accurate modeling of the NFS method and quantitatively evaluating the performance of NFS methods. In addition, this paper also proposes an optimization model for short-term production scheduling for NFS method based on the mixed integer linear programming (MILP) method. An oil sands mine case study is implemented to verify the proposed simulation model. One year simulation results reveal that compared to the traditional mining method, the overall production increased by 5.06%, the transporting distance of minerals by trucks was reduced by 17.87%, and the shovels' and crusher's utilization increased by 4.96% and 4.85%, respectively, when using NFS method.</t>
  </si>
  <si>
    <t>[Gong, Hongshuo; Askari-Nasab, H.] Univ Alberta, Min Optimizat Lab MOL, 6-237 Donadeo Innovat Ctr Engn,9211-116 St NW, Edmonton, AB T6G 1H9, Canada; [Afrapoli, A. Moradi] Laval Univ, IntelMine Lab, Quebec City, PQ, Canada</t>
  </si>
  <si>
    <t>University of Alberta; Laval University</t>
  </si>
  <si>
    <t>Gong, HS (corresponding author), Univ Alberta, Min Optimizat Lab MOL, 6-237 Donadeo Innovat Ctr Engn,9211-116 St NW, Edmonton, AB T6G 1H9, Canada.</t>
  </si>
  <si>
    <t>hooman@ualberta.ca</t>
  </si>
  <si>
    <t>Moradi Afrapoli, Ali/DZT-3950-2022</t>
  </si>
  <si>
    <t>Moradi Afrapoli, Ali/0000-0002-2659-0112</t>
  </si>
  <si>
    <t>1569-190X</t>
  </si>
  <si>
    <t>1878-1462</t>
  </si>
  <si>
    <t>SIMUL MODEL PRACT TH</t>
  </si>
  <si>
    <t>Simul. Model. Pract. Theory</t>
  </si>
  <si>
    <t>10.1016/j.simpat.2023.102794</t>
  </si>
  <si>
    <t>Computer Science, Interdisciplinary Applications; Computer Science, Software Engineering</t>
  </si>
  <si>
    <t>O6OU3</t>
  </si>
  <si>
    <t>WOS:001044986300001</t>
  </si>
  <si>
    <t>Goto, A; Yukumatsu, K; Tsuchiya, Y; Miyazaki, E; Kimoto, Y</t>
  </si>
  <si>
    <t>Goto, Aki; Yukumatsu, Kazuki; Tsuchiya, Yuta; Miyazaki, Eiji; Kimoto, Yugo</t>
  </si>
  <si>
    <t>Changes in optical properties of polymeric materials due to atomic oxygen in very low Earth orbit</t>
  </si>
  <si>
    <t>ACTA ASTRONAUTICA</t>
  </si>
  <si>
    <t>Atomic oxygen; Very low earth orbit; Polymers; SLATS; MDM</t>
  </si>
  <si>
    <t>HYDROCARBON POLYMERS; HYPERTHERMAL O; VUV RADIATION; FEP TEFLON; POLYIMIDE; EROSION; SILVER; FILMS; SATELLITE; AR</t>
  </si>
  <si>
    <t>Atomic oxygen (AO) is the dominant constituent of the residual atmosphere in low Earth orbit (LEO). AO collides with spacecraft at a velocity of 8 km/s, causing oxidation and erosion of polymeric materials. Particularly in very low Earth orbit (VLEO) at altitudes below 300 km, the AO density is at least ten times that at 500-700 km, and the concentration of molecular nitrogen (N2) is 10% or more. Such high-flux AO and N2 can cause nonlinear processes and mass losses for polymers. This study aims to clarify the optical property changes for polymeric materials exposed to LEO and VLEO in the Material Degradation Monitor (MDM) mission onboard the SuperLow-Altitude Test Satellite (SLATS). The AO and N2 fluences and the UV irradiances were estimated using the NRLMSISE-00 atmospheric and solar radiation models. The relationships were investigated between the changes in CCD images and the estimated fluences of the samples. For silsesquioxane (SQ)-coated polyimide film, the diffuse reflection of visible light increased noticeably with an AO fluence above 1 x 1021 atoms/cm2. The formation of a silica layer on the coating induces cracks. For silver-coated FEP films, the diffuse reflection increased entirely at AO fluences above 3 x 1021 atoms/cm2. The AO and N2 collisions would erode and roughen the FEP surfaces. Visible transmission through silver-coated FEP films also increased locally with increasing AO fluence, indicating that some AO oxidized the silver layer despite the presence of an Inconel (Ni alloy) layer. The visible reflection from Beta Cloth was decreased by its reaction with UV. Further, the competitive reactions with UV and AO resulted in two-step changes in the visible reflection from the ETFE polymer (cable covering).</t>
  </si>
  <si>
    <t>[Goto, Aki; Yukumatsu, Kazuki; Tsuchiya, Yuta; Miyazaki, Eiji; Kimoto, Yugo] Japan Aerosp Explorat Agcy JAXA, Res &amp; Dev Directorate, 2-1-1 Sengen, Tsukuba, Ibaraki 3058505, Japan</t>
  </si>
  <si>
    <t>Japan Aerospace Exploration Agency (JAXA)</t>
  </si>
  <si>
    <t>Goto, A (corresponding author), Japan Aerosp Explorat Agcy JAXA, Res &amp; Dev Directorate, 2-1-1 Sengen, Tsukuba, Ibaraki 3058505, Japan.</t>
  </si>
  <si>
    <t>goto.aki@jaxa.jp; yukumatsu.kazuki@jaxa.jp; tsuchiya.yuta@jaxa.jp; miyazaki.eiji@jaxa.jp; kimoto.yugo@jaxa.jp</t>
  </si>
  <si>
    <t>Goto, Aki/0000-0003-2225-6990</t>
  </si>
  <si>
    <t>0094-5765</t>
  </si>
  <si>
    <t>1879-2030</t>
  </si>
  <si>
    <t>ACTA ASTRONAUT</t>
  </si>
  <si>
    <t>Acta Astronaut.</t>
  </si>
  <si>
    <t>10.1016/j.actaastro.2023.07.036</t>
  </si>
  <si>
    <t>Engineering, Aerospace</t>
  </si>
  <si>
    <t>P6IY7</t>
  </si>
  <si>
    <t>WOS:001051705100001</t>
  </si>
  <si>
    <t>Grabmann, S; Bernauer, C; Wach, L; Leeb, M; Zaeh, MF</t>
  </si>
  <si>
    <t>Grabmann, Sophie; Bernauer, Christian; Wach, Lovis; Leeb, Matthias; Zaeh, Michael F.</t>
  </si>
  <si>
    <t>A method for the reproducible and accurate determination of electrical resistances based on multi-layer joints in lithium-ion batteries</t>
  </si>
  <si>
    <t>Electro mobility; Battery production; Electrical resistance measurement; Metrology; Cell-internal joining; Laser beam welding</t>
  </si>
  <si>
    <t>IMPACT</t>
  </si>
  <si>
    <t>The transition from fossil fuels to renewable energy sources is significantly influenced by the development of energy storage systems such as batteries. One of the crucial steps in the production of lithium-ion batteries is the electrical connection of the individual electrodes by weld seams. Various joining processes, such as laser beam welding or ultrasonic metal welding, are used for this purpose. An important quality feature of the connections is a low electrical joint resistance, which is essential for reducing cell-internal energy losses and avoiding thermal inhomogeneities in the cells.The aim of this work was to determine the electrical resistance of the joint between a stack of foils and an arrester tab. For this purpose, a measuring method was developed and applied to different sample configurations. The influence of different probe tips on the measurement results was compared using single current collector foils and arrester tabs. The measurement of the electrical resistance was possible in the considered range with a maximum relative uncertainty of 2.38 %. Using the presented approach made it possible to evaluate the influence of the seam trajectory on the electrical resistance for cell-internal contacting. In addition, the measuring method is suitable for comparing different welding strategies and, thus, for designing the cell-internal joining processes regarding the resulting electrical joint resistances.</t>
  </si>
  <si>
    <t>[Grabmann, Sophie] Univ Munich, Munich, Germany; Inst Machine Tools &amp; Ind Management iwb, TUM Sch Engn &amp; Design, Boltzmannstr 15, D-85748 Garching, Germany</t>
  </si>
  <si>
    <t>University of Munich</t>
  </si>
  <si>
    <t>Grabmann, S (corresponding author), Univ Munich, Munich, Germany.</t>
  </si>
  <si>
    <t>sophie.grabmann@iwb.tum.de</t>
  </si>
  <si>
    <t>Grabmann, Sophie/0000-0001-8462-3405; Bernauer, Christian/0000-0001-5094-645X</t>
  </si>
  <si>
    <t>German Federal Ministry of Education and Research (BMBF) [03XP0342A]; BMBF</t>
  </si>
  <si>
    <t>German Federal Ministry of Education and Research (BMBF)(Federal Ministry of Education &amp; Research (BMBF)); BMBF(Federal Ministry of Education &amp; Research (BMBF))</t>
  </si>
  <si>
    <t>Acknowledgments The presented results were gathered within the research project InQuZell under Grant No. 03XP0342A, funded by the German Federal Ministry of Education and Research (BMBF) . We would like to thank the BMBF and the Project Management Organization Julich for the trustful cooperation and the financial support.</t>
  </si>
  <si>
    <t>10.1016/j.apenergy.2023.121613</t>
  </si>
  <si>
    <t>P4ZR6</t>
  </si>
  <si>
    <t>WOS:001050767500001</t>
  </si>
  <si>
    <t>Gu, JM; Zhang, XY; Yu, LY</t>
  </si>
  <si>
    <t>Gu, Junming; Zhang, Xinying; Yu, Liying</t>
  </si>
  <si>
    <t>Investigation on anodized 5052 aluminum alloy and its corrosion resistance in simulated acid rain</t>
  </si>
  <si>
    <t>INTERNATIONAL JOURNAL OF ELECTROCHEMICAL SCIENCE</t>
  </si>
  <si>
    <t>5052 Al alloy; Anodic oxidation; Citric acid; Simulated acid rain; Corrosion resistance</t>
  </si>
  <si>
    <t>CITRIC-ACID; PERFORMANCE; OXIDE; MICROSTRUCTURE; PROTECTION; EFFICIENCY; COATINGS; FILM</t>
  </si>
  <si>
    <t>5052 Al alloy commonly used for construction structures was anodized from the mixed acid electrolyte of citric acid and sulfuric acid to further improve the durability of Al alloy construction components. Different anodized aluminum alloys were prepared by changing the concentration of citric acid in the electrolyte. The surface morphology, structure, thickness and corrosion resistance of the anodized aluminum alloys were characterized and analyzed. The results show that adding appropriate amount of citric acid has a certain corrosion inhibition effect, which reduces the corrosion dissolution degree of the anodized aluminum alloy. At the same time, adding appropriate amount of citric acid in the electrolyte is beneficial to increase the thickness of anodized aluminum alloy, resulting in the enhancement of corrosion resistance in simulated acid rain. When the concentration of citric acid in the electrolyte is 70 g/L, the anodized aluminum alloy is uniform with higher thickness and better corrosion resistance in simulated acid rain.</t>
  </si>
  <si>
    <t>[Gu, Junming] Hebei Vocat Univ Ind &amp; Technol, Dept Architectural Engn, Shijiazhuang 050091, Peoples R China; [Zhang, Xinying; Yu, Liying] Hebei Polytech Inst, Coll Civil Engn, Shijiazhuang 050091, Peoples R China</t>
  </si>
  <si>
    <t>Hebei Vocational University of Industry &amp; Technology; Hebei Polytechnic Institute</t>
  </si>
  <si>
    <t>Zhang, XY (corresponding author), Hebei Polytech Inst, Coll Civil Engn, Shijiazhuang 050091, Peoples R China.</t>
  </si>
  <si>
    <t>Hebei_edu0091@126.com</t>
  </si>
  <si>
    <t>1452-3981</t>
  </si>
  <si>
    <t>INT J ELECTROCHEM SC</t>
  </si>
  <si>
    <t>Int. J. Electrochem. Sci.</t>
  </si>
  <si>
    <t>10.1016/j.ijoes.2023.100336</t>
  </si>
  <si>
    <t>S5TV4</t>
  </si>
  <si>
    <t>WOS:001071797600001</t>
  </si>
  <si>
    <t>Guo, WX; Yang, H; Hu, JW; Hong, FT; Ma, YC; Wang, HX</t>
  </si>
  <si>
    <t>Guo, Wenxian; Yang, Huan; Hu, Jianwen; Hong, Fengtian; Ma, Yinchu; Wang, Hongxiang</t>
  </si>
  <si>
    <t>Driving forces of hydrological health and multifractal response of fish habitat in regulated rivers</t>
  </si>
  <si>
    <t>JOURNAL OF ENVIRONMENTAL MANAGEMENT</t>
  </si>
  <si>
    <t>Joint multifractal model; River hydrological health; Fish habitat; Anthropogenic activities; Deep learning model</t>
  </si>
  <si>
    <t>YANGTZE-RIVER; ATTRIBUTION ANALYSIS; RUNOFF; PRECIPITATION; CLIMATE; MODEL; VARIABILITY; CHINA</t>
  </si>
  <si>
    <t>Climate change and anthropogenic activities are major influences on the hydrological cycle, further altering river hydrological health. However, the characteristics of the forces in driving the variations of hydrological health at long-short time scales (annual, seasonal, monthly), as well as the potential impacts of these variations on aquatic habitats, remain unclear. In this study, the flow threshold method was introduced to identify the inherent characteristics of river hydrological health degree (RHD) evolution in the upper reaches of the Yangtze River (URYR) through the extreme-point symmetric modal decomposition (ESMD) method and range of variation approach (RVA). The RHD under unregulated conditions was reconstructed to quantify the impacts of anthropogenic activities and climate change. Subsequently, a multifractal model was proposed to establish the relationship between RHD and habitat-weighted usage area (WUA) during the spawning period of the Four Famous Major Carps, aiming to analyze the response mechanisms of habitat conditions to RHD fluctuations. The results showed that the RHD in the URYR exhibited degradation characteristics, experiencing a moderate change with a value of 0.44. Climate change was identified as the dominant factor causing the annual-scale decline in RHD, with an average impact weight of 62.9%. At the annual scale, Anthropogenic activities exacerbate (-3.4), counteract (20.1), and counteract (20.5) the adverse climatic impacts at Yichang, Cuntan, and Zhutuo stations, respectively. Additionally, the effect of human activities during the flood season is slight, with the most favorable and unfavorable impacts occurring in December (50.7) at the Zhutuo station and in October (-27.2) at the Yichang station. Under the influence of driving forces, the multifractal correlation of the RHD-WUA system tended to homogenized as the time window increased, indicating the presence of potential nonlinear dependence, asymmetric fractal characteristics, and positive-to-negative persistence transitions. Therefore, modeling river health considering fish habitat cannot be limited to linear paradigms. The findings provide valuable insights for the management and restoration of aquatic ecosystems.</t>
  </si>
  <si>
    <t>[Guo, Wenxian; Yang, Huan; Hu, Jianwen; Hong, Fengtian; Ma, Yinchu; Wang, Hongxiang] North China Univ Water Resources &amp; Elect Power, Zhengzhou 450046, Peoples R China</t>
  </si>
  <si>
    <t>North China University of Water Resources &amp; Electric Power</t>
  </si>
  <si>
    <t>Yang, H (corresponding author), North China Univ Water Resources &amp; Elect Power, Zhengzhou 450046, Peoples R China.</t>
  </si>
  <si>
    <t>sci13273021948@163.com</t>
  </si>
  <si>
    <t>0301-4797</t>
  </si>
  <si>
    <t>1095-8630</t>
  </si>
  <si>
    <t>J ENVIRON MANAGE</t>
  </si>
  <si>
    <t>J. Environ. Manage.</t>
  </si>
  <si>
    <t>10.1016/j.jenvman.2023.118844</t>
  </si>
  <si>
    <t>R5NB2</t>
  </si>
  <si>
    <t>WOS:001064806800001</t>
  </si>
  <si>
    <t>Han, D; Chen, Y; Li, DH; Shi, JX; Wang, HT; He, XL; Zhao, L; Wang, WD; Sang, SB; Ji, JL</t>
  </si>
  <si>
    <t>Han, Dan; Chen, Yi; Li, Donghui; Shi, Jiexu; Wang, Hongtao; He, Xiuli; Zhao, Li; Wang, Weidong; Sang, Shengbo; Ji, Jianlong</t>
  </si>
  <si>
    <t>Au nanoparticles decorated GaN nanoflowers with enhanced NH3 sensing performance at room temperature</t>
  </si>
  <si>
    <t>SENSORS AND ACTUATORS B-CHEMICAL</t>
  </si>
  <si>
    <t>GaN nanoflowers; NH3 gas sensor; Low detection limit</t>
  </si>
  <si>
    <t>ZNO NANORODS; AMMONIA; SENSORS; NANOWIRES; NANOCOMPOSITE; FABRICATION; DIODE; FILMS</t>
  </si>
  <si>
    <t>Surface modification with noble metal is considered as an effective strategy to enhance sensing performance of semiconductor gas sensors. In this work, gold nanoparticles (Au NPs) decorated Gallium Nitride nanoflowers (Au-GaN NFs) have been synthesized successfully by a feasible hydrothermal method combined with high temperature nitridation and followed by in-situ reduction process. The characterizations of the structure and morphology of as-obtained Au-GaN NFs indicated that the Au NPs were successfully loaded on the surface of GaN. The excellent gas sensing performance was observed for GaN of 2 mol% Au loaded, including the high response (86.8 %) to 100 ppm NH3 with fast response/recovery time (41 s/169 s) at room temperature, low theoretical limit of detection (72 ppb), good stability and selectivity. Besides, the influence of humidity on the performance of sensors was explored, where the response can be reached 56.5 % towards 100 ppm NH3 under 70 % RH. The improvement of the sensing performance of Au-GaN NFs sensor can be attributed to the combined action of chemical and electronic sensitization of Au NPs. This work provides a candidate of Au-GaN NFs for the development of wireless sensing system in NH3 monitoring.</t>
  </si>
  <si>
    <t>[Han, Dan; Chen, Yi; Li, Donghui; Shi, Jiexu; Sang, Shengbo; Ji, Jianlong] Taiyuan Univ Technol, Coll Elect Informat &amp; Opt Engn, Shanxi Key Lab Micro Nano Sensors &amp; Artificial Int, Taiyuan 030024, Peoples R China; [Han, Dan; Li, Donghui; Shi, Jiexu; Sang, Shengbo; Ji, Jianlong] Taiyuan Univ Technol, Key Lab Adv Transducers &amp; Intelligent Control Syst, Minist Educ, Taiyuan 030024, Peoples R China; [He, Xiuli] Chinese Acad Sci, Aerosp Informat Res Inst, State Key Lab Transducer Technol, Beijing 100190, Peoples R China; [Zhao, Li; Wang, Weidong] Chinese Peoples Liberat Army Gen Hosp, Bioengn Res Ctr, Med Innovat Res Div, Beijing, Peoples R China; [Chen, Yi; Li, Donghui; Shi, Jiexu] Shanxi Res Inst 6D Artificial Intelligence Biomed, Taiyuan, Peoples R China</t>
  </si>
  <si>
    <t>Taiyuan University of Technology; Taiyuan University of Technology; Chinese Academy of Sciences; Chinese People's Liberation Army General Hospital</t>
  </si>
  <si>
    <t>Sang, SB; Ji, JL (corresponding author), Taiyuan Univ Technol, Coll Elect Informat &amp; Opt Engn, Shanxi Key Lab Micro Nano Sensors &amp; Artificial Int, Taiyuan 030024, Peoples R China.</t>
  </si>
  <si>
    <t>sunboa-sang@tyut.edu.cn; jijianlong@tyut.edu.cn</t>
  </si>
  <si>
    <t>National Natural Science Foundation of China [62031022, 52175542, 52275568]; Key Ramp;D Program of Shanxi Province [202102030201003, 202102150401011]; Natural Science Foundation of Shanxi Province [20210302123136]; Youth Science Fund program of Shanxi Province [202103021223066]; Shanxi-Zheda Institute of Advanced Materials and Chemical Engineering [2022SX-AT001]; Water Conservancy Science and Technology Research amp; Extension Project of Shanxi Province [2023GM16]</t>
  </si>
  <si>
    <t>National Natural Science Foundation of China(National Natural Science Foundation of China (NSFC)); Key Ramp;D Program of Shanxi Province; Natural Science Foundation of Shanxi Province(Natural Science Foundation of Shanxi Province); Youth Science Fund program of Shanxi Province; Shanxi-Zheda Institute of Advanced Materials and Chemical Engineering; Water Conservancy Science and Technology Research amp; Extension Project of Shanxi Province</t>
  </si>
  <si>
    <t>This study was financially supported by the National Natural Science Foundation of China (NO. 62031022), the National Natural Science Foundation of China (NO. 52175542), the National Natural Science Foundation of China (NO. 52275568), the Key R &amp; amp;D Program of Shanxi Province (202102030201003), the Key R &amp; amp;D Program of Shanxi Province (202102150401011), the Natural Science Foundation of Shanxi Province (No. 20210302123136), the Youth Science Fund program of Shanxi Province (202103021223066), Shanxi-Zheda Institute of Advanced Materials and Chemical Engineering (2022SX-AT001) and Water Conservancy Science and Technology Research &amp; amp; Extension Project of Shanxi Province (2023GM16).</t>
  </si>
  <si>
    <t>0925-4005</t>
  </si>
  <si>
    <t>SENSOR ACTUAT B-CHEM</t>
  </si>
  <si>
    <t>Sens. Actuator B-Chem.</t>
  </si>
  <si>
    <t>10.1016/j.snb.2023.134320</t>
  </si>
  <si>
    <t>Chemistry, Analytical; Electrochemistry; Instruments &amp; Instrumentation</t>
  </si>
  <si>
    <t>Chemistry; Electrochemistry; Instruments &amp; Instrumentation</t>
  </si>
  <si>
    <t>Q6LS9</t>
  </si>
  <si>
    <t>WOS:001058625800001</t>
  </si>
  <si>
    <t>Hassan, AB; Al-Dosky, AHA</t>
  </si>
  <si>
    <t>Hassan, Alan Bapeer; Al-Dosky, Ali Hussein Ahmad</t>
  </si>
  <si>
    <t>Vitamin D status and its association with inflammatory markers among Kurdish type 2 diabetic patients with painful diabetic peripheral neuropathy</t>
  </si>
  <si>
    <t>STEROIDS</t>
  </si>
  <si>
    <t>Painful diabetic peripheral neuropathy; T2DM; 25(OH) vitamin D; IL-6</t>
  </si>
  <si>
    <t>D DEFICIENCY; PREVENTION</t>
  </si>
  <si>
    <t>Several clinical studies have shown an association between vitamin D deficiency and painful diabetic peripheral neuropathy (DPN). However, it is still unclear whether vitamin D status and inflammatory markers correlate in patients with painful DPN. In this context, we aimed to investigate the associations between serum vitamin D levels and inflammatory status in Kurdish type 2 diabetes patients (T2DM) with painful DPN and without painful DPN. A clinical case-control study was conducted on 86 Kurdish patients with T2DM. The patients were divided into two groups: the case group consisted of 45 patients with painful DPN and the control group consisted of 41 age- and sex-matched diabetics without DPN. In T2DM patients with and without painful DPN, the prevalence of severe vitamin D deficiency was observed in 46.67% and 21.95% of the patients, respectively (p = 0.0283). The mean serum 25(OH)-vitamin D level in patients with painful DPN (mean = 12.00, SD = 5.78) was significantly lower than in patients without DPN (mean = 16.36, SD = 7.86; p = 0.0041). Regression analysis revealed that vitamin D deficiency (p = 0.0120) and higher glycated hemoglobin (HbA1c) (p = 0.00003) were identified as predictive risk factors for painful DPN. However, there was no significant association between inflammatory status and vitamin D levels. The duration of sun exposure was the only controlling factor for vitamin D in painful DPN patients. In the Kurdish population, lower vitamin D and high HbA1c levels were predictive factors for painful DPN.</t>
  </si>
  <si>
    <t>[Hassan, Alan Bapeer] Univ Duhok, Coll Nursing, Basic Med Sci Unit, Duhok, Iraq; [Al-Dosky, Ali Hussein Ahmad] Univ Duhok, Coll Med, Dept Med Chem, Duhok, Iraq</t>
  </si>
  <si>
    <t>University of Duhok; University of Duhok</t>
  </si>
  <si>
    <t>Hassan, AB (corresponding author), Univ Duhok, Coll Nursing, Basic Med Sci Unit, Duhok, Iraq.</t>
  </si>
  <si>
    <t>alanbap85@gmail.com</t>
  </si>
  <si>
    <t>Biochemistry Unit of the medical lab- oratory</t>
  </si>
  <si>
    <t>We would like to express our heartfelt thanks to the administration of Azadi Teaching Hospital and the Biochemistry Unit of the medical lab- oratory. In addition, I would like to express our sincere gratitude to Mr. Deldar Morad Abdulah for his kind assistance. No funding was received for conducting this investiagtion.</t>
  </si>
  <si>
    <t>0039-128X</t>
  </si>
  <si>
    <t>1878-5867</t>
  </si>
  <si>
    <t>Steroids</t>
  </si>
  <si>
    <t>10.1016/j.steroids.2023.109289</t>
  </si>
  <si>
    <t>Biochemistry &amp; Molecular Biology; Endocrinology &amp; Metabolism</t>
  </si>
  <si>
    <t>R2YN7</t>
  </si>
  <si>
    <t>WOS:001063058000001</t>
  </si>
  <si>
    <t>Hatta, SKM; Quinnell, RJ; Compton, SG</t>
  </si>
  <si>
    <t>Hatta, Siti Khairiyah Mohd; Quinnell, Rupert J.; Compton, Stephen G.</t>
  </si>
  <si>
    <t>Pollinator attraction in the Ficus deltoidea complex: Varietal specificity in a fig wasp that likes to stay close to home</t>
  </si>
  <si>
    <t>ACTA OECOLOGICA-INTERNATIONAL JOURNAL OF ECOLOGY</t>
  </si>
  <si>
    <t>Agaonidae; Blastophaga; Epiphytes; Fig wasps; Gene flow; Host specificity</t>
  </si>
  <si>
    <t>OLFACTORY SIGNALS; DIOECIOUS FIGS; CHALCIDOIDEA; HYMENOPTERA; DISPERSAL; AGAONIDAE; VOLATILES; MUTUALISM; MIMICRY</t>
  </si>
  <si>
    <t>Species boundaries are maintained by limitations on gene flow between taxa. In flowering plants pollinator specificity can strongly influence gene flow patterns and facilitate speciation. Fig trees are species rich and ecologically significant plants. It was once believed that each species had its own unique pollinator fig wasp, but numerous exceptions are now known. The dioecious Ficus deltoidea complex is distributed across southern SouthEast Asia with 13 recognised varieties of uncertain status, seven of which are found in Peninsular Malaysia. We investigated the host preferences of one of their Blastophaga pollinators, reared from the epiphytic F. deltoidea var. angustifolia. Our series of experimental manipulations using free-flying fig wasps and figs on host trees showed that male figs were preferred, that only their natal variety was attractive and that pollinators only dispersed from their natal trees if no suitable figs were present there. Fig wasps can only reproduce in male hosts, so preferred entry to male figs has clear advantages for them, as does their reluctance to disperse from natal trees. This behaviour is likely to reduce seed set on female plants, with potential consequences for host population dynamics. The extreme specificity of the Blastophaga sp. suggests gene flow between varieties of F. deltoidea is low or absent and that different varieties may be different biological species.</t>
  </si>
  <si>
    <t>[Hatta, Siti Khairiyah Mohd] Univ Teknol MARA, Fac Appl Sci, Shah Alam 40450, Malaysia; [Hatta, Siti Khairiyah Mohd; Quinnell, Rupert J.; Compton, Stephen G.] Univ Leeds, Fac Biol Sci, Leeds LS2 9JT, England</t>
  </si>
  <si>
    <t>Universiti Teknologi MARA; University of Leeds</t>
  </si>
  <si>
    <t>Hatta, SKM (corresponding author), Univ Teknol MARA, Fac Appl Sci, Shah Alam 40450, Malaysia.</t>
  </si>
  <si>
    <t>sitikhairiyah@uitm.edu.my</t>
  </si>
  <si>
    <t>Compton, Stephen/0000-0002-1247-8058</t>
  </si>
  <si>
    <t>Ministry of Higher Education, Malaysia [FRGS/1/2021/ WAB11/UITM/03/1]</t>
  </si>
  <si>
    <t>Ministry of Higher Education, Malaysia(Ministry of Education, Malaysia)</t>
  </si>
  <si>
    <t>The authors would like to express our gratitude to UniSZA for providing the potted plants for the experiments, to plantation owner, Madam Siti for giving the permission to conduct the research in the plantation and technical staffs in Universiti Kebangsaan Malaysia for the technical support. This research has been funded by the Ministry of Higher Education, Malaysia under grant number FRGS/1/2021/ WAB11/UITM/03/1.</t>
  </si>
  <si>
    <t>1146-609X</t>
  </si>
  <si>
    <t>1873-6238</t>
  </si>
  <si>
    <t>ACTA OECOL</t>
  </si>
  <si>
    <t>Acta Oecol.-Int. J. Ecol.</t>
  </si>
  <si>
    <t>10.1016/j.actao.2023.103939</t>
  </si>
  <si>
    <t>Ecology</t>
  </si>
  <si>
    <t>R2GN8</t>
  </si>
  <si>
    <t>WOS:001062581500001</t>
  </si>
  <si>
    <t>Hayes, NW; Benboudjema, F; Le Pape, Y; Ma, ZJ</t>
  </si>
  <si>
    <t>Hayes, Nolan W.; Benboudjema, Farid; Le Pape, Yann; Ma, Zhongguo John</t>
  </si>
  <si>
    <t>Alkali-silica reaction expansion model for confined concrete with stress-dependency and casting direction anisotropy</t>
  </si>
  <si>
    <t>CEMENT AND CONCRETE RESEARCH</t>
  </si>
  <si>
    <t>Concrete; Alkali-silica reaction; Expansion; Model; Anisotropy</t>
  </si>
  <si>
    <t>Alkali-silica reaction (ASR) is a deleterious chemical reaction between alkali hydroxyl ions and types of silica found in some aggregates of concrete. Owners and regulators of nuclear power plants aim to ensure the safety of the concrete structures with optimal maintenance strategies. A new model was developed for predicting the expansion of concrete structures affected by alkali-silica reaction. The model includes a novel combination of existing models as an alkali-silica reaction advancement model, a casting direction anisotropic expansion model, a stress-dependent anisotropic expansion model, and a material property evolution model dependent on the degree of ASR expansion. The model parameters were calibrated based on existing literature data and data generated by previous efforts of this study. The calibrated model was then validated with the experiments carried out in previous efforts of this study. The model was shown to accurately predict the ASR-expansion of large-scale reinforced concrete specimens with confinement.</t>
  </si>
  <si>
    <t>[Hayes, Nolan W.] Oak Ridge Natl Lab, Bldg &amp; Transportat Sci Div, POB 2008, Oak Ridge, TN 37831 USA; [Hayes, Nolan W.; Ma, Zhongguo John] Univ Tennessee, Tickle Coll Engn, 456 Zeanah Engn Complex, Knoxville, TN 37996 USA; [Benboudjema, Farid] LMPS ENS Paris Saclay, 4 Ave Sci, F-91190 Gif Sur Yvette, France; [Le Pape, Yann] Oak Ridge Natl Lab, Nucl Energy &amp; Fuel Cycle Div, POB 2008, Oak Ridge, TN 37831 USA</t>
  </si>
  <si>
    <t>United States Department of Energy (DOE); Oak Ridge National Laboratory; University of Tennessee System; University of Tennessee Knoxville; United States Department of Energy (DOE); Oak Ridge National Laboratory</t>
  </si>
  <si>
    <t>Hayes, NW (corresponding author), Oak Ridge Natl Lab, Bldg &amp; Transportat Sci Div, POB 2008, Oak Ridge, TN 37831 USA.</t>
  </si>
  <si>
    <t>hayesnw@ornl.gov</t>
  </si>
  <si>
    <t>Ma, Zhongguo John/J-8595-2014</t>
  </si>
  <si>
    <t>Ma, Zhongguo John/0000-0001-8246-7605</t>
  </si>
  <si>
    <t>UT-Battelle, LLC [DE-AC05-00OR22725]; U.S. Department of Energy</t>
  </si>
  <si>
    <t>UT-Battelle, LLC; U.S. Department of Energy(United States Department of Energy (DOE))</t>
  </si>
  <si>
    <t>Notice of Copyright This manuscript has been authored by UT-Battelle, LLC under Contract No. DE-AC05-00OR22725 with the U.S. Department of Energy. The United States Government retains and the publisher, by accepting the article for publication, acknowledges that the United States Government retains a non-exclusive, paid-up, irrevocable, world-wide license to publish or reproduce the published form of this manuscript, or allow others to do so, for United States Government purposes. The Department of Energy will provide public access to these results of federally sponsored research in accordance with the DOE Public Access Plan (http://energy.gov/downloads/doe-public-access-plan) .</t>
  </si>
  <si>
    <t>0008-8846</t>
  </si>
  <si>
    <t>1873-3948</t>
  </si>
  <si>
    <t>CEMENT CONCRETE RES</t>
  </si>
  <si>
    <t>Cem. Concr. Res.</t>
  </si>
  <si>
    <t>10.1016/j.cemconres.2023.107260</t>
  </si>
  <si>
    <t>Construction &amp; Building Technology; Materials Science, Multidisciplinary</t>
  </si>
  <si>
    <t>Construction &amp; Building Technology; Materials Science</t>
  </si>
  <si>
    <t>P9UL3</t>
  </si>
  <si>
    <t>WOS:001054057400001</t>
  </si>
  <si>
    <t>He, BF; Ismail, N; Leng, KKK; Chen, G; Ruan, XL; Lotfi, H</t>
  </si>
  <si>
    <t>He, Bofan; Ismail, Nurlida; Leng, Kimberley Khoo Kim; Chen, Gang; Ruan, Xiaolu; Lotfi, Hossein</t>
  </si>
  <si>
    <t>Four objective techno-economic generation expansion planning integrated with renewable sources using a novel power flow solution</t>
  </si>
  <si>
    <t>Renewable energy sources; Reliability; Uncertainties; Environmental index; Evolutionary algorithm</t>
  </si>
  <si>
    <t>PREDICTION; MODEL; UNCERTAINTY; SYSTEMS; ENERGY</t>
  </si>
  <si>
    <t>The use of renewable resources such as wind turbines, solar power, and fuel cells is prevalent in microgrids. However, the environmental constraints and uncertainties associated with renewable sources, along with the restructuring of the electricity industry, present challenges for planners and investors, particularly in economic dimension. This article focuses on investigating the impact of environmental pollution limits and system uncertainties in a restructured environment on the development planning of electric energy production. The aim is to address the economic aspects while considering environmental considerations and uncertainties related to renewable sources. Additionally, network renovation or reconfiguration is explored to balance the load on feeders and minimize areas without electricity, thereby improving service reliability. In this paper four objective function include cost, emission pollution, power losses and voltage profile are considered. In order to find the best solution a novel three-phase unbalanced power flow approach for planning the development of power systems' production using a two-layer iteration algorithm in microgrids with Distributed Generators (DGs) is introduced. The proposed method considers investment, maintenance, operation, and decommissioning costs of units, as well as environmental and economic indicators as objective functions. To select the best solution after multi-objective optimization, a fuzzy decision-making method is employed. The proposed methodology is tested on the IEEE 33-bus system in a restructured environment, considering uncertainties, and its efficiency is demonstrated. The results showcase the effectiveness of the approach in addressing the complexities of planning electric energy production, considering environmental factors, and achieving optimal solutions in the presence of uncertainties.</t>
  </si>
  <si>
    <t>[He, Bofan; Chen, Gang; Ruan, Xiaolu] Zhejiang Yuexiu Univ, Sch Int Business, Shaoxing 312000, Zhejiang, Peoples R China; [Ismail, Nurlida; Leng, Kimberley Khoo Kim] Taylors Univ, Sch Management &amp; Mkt, Subang Jaya 47500, Selangor, Malaysia; [Lotfi, Hossein] Sun Life Co, Elect Engn Dept, Baku, Azerbaijan</t>
  </si>
  <si>
    <t>Zhejiang Yuexiu University; Taylor's University</t>
  </si>
  <si>
    <t>Chen, G (corresponding author), Zhejiang Yuexiu Univ, Sch Int Business, Shaoxing 312000, Zhejiang, Peoples R China.</t>
  </si>
  <si>
    <t>20171017@zyufl.edu.cn; nurlida.ismail@taylors.edu.my; kimleng.khoo@taylors.edu.my; chengangzyufl@163.com; 18969537786@163.com</t>
  </si>
  <si>
    <t>10.1016/j.jobe.2023.107508</t>
  </si>
  <si>
    <t>S2RU4</t>
  </si>
  <si>
    <t>WOS:001069702000001</t>
  </si>
  <si>
    <t>He, HR; Xu, MZ; Li, WT; Chen, L; Chen, YA; Moorhead, DL; Brangari, AC; Liu, J; Cui, YX; Zeng, Y; Zhang, ZQ; Duan, CJ; Huang, M; Fang, LC</t>
  </si>
  <si>
    <t>He, Haoran; Xu, Mingzhe; Li, Wenting; Chen, Li; Chen, Yanan; Moorhead, Daryl L.; Brangari, Albert C.; Liu, Ji; Cui, Yongxing; Zeng, Yi; Zhang, Zhiqin; Duan, Chengjiao; Huang, Min; Fang, Linchuan</t>
  </si>
  <si>
    <t>Linking soil depth to aridity effects on soil microbial community composition, diversity and resource limitation</t>
  </si>
  <si>
    <t>CATENA</t>
  </si>
  <si>
    <t>Aridity; Soil microorganism; Metabolism limitation; Community structure; Depth profile; Climate change</t>
  </si>
  <si>
    <t>EXTRACELLULAR ENZYME-ACTIVITY; NORTHERN LOESS PLATEAU; ORGANIC-CARBON; ECOENZYMATIC STOICHIOMETRY; VEGETATION RESTORATION; PRECIPITATION GRADIENT; BACTERIAL COMMUNITIES; NUTRIENT LIMITATIONS; FUNGAL COMMUNITIES; EXTRACTION METHOD</t>
  </si>
  <si>
    <t>With ongoing climate change, aridity is increasing worldwide, affecting biodiversity and ecosystem function in drylands. However, how the depth-profile microbial community structure and metabolic limitations change along aridity gradients are still poorly explored. Here, 16S rRNA and ITS amplicon sequencing and ecoenzymatic stoichiometry analysis were used to investigate both bacterial and fungal diversities and resource limitations in 1 m depth profiles across a wide aridity gradient (0.51-0.78) in a semiarid region. Results showed a sharp decrease in microbial diversity with soil depth, accompanied by an increase in microbial phosphorus (P) vs. N (nitrogen) limitation and a decrease in microbial carbon (C) vs. nutrient limitation. Aridity led to a strong shift in microbial community composition, but aridity has a threshold effect on microbial resource limitation through impacts on soil pH and C/P or N/P. When the aridity threshold (1-precipitation/evapotranspiration) exceeds 0.65, relationship between aridity and microbial resource demand was decoupled; but at aridity threshold = 0.65, microbial relative C limitation and C-acquiring enzyme activity dropped. These results suggest that aridity might have a stronger influence on microbial community composition, than on diversity, shaped by inherent soil biotic factors (i.e., MBC:MBP or MBN:MBP). These findings suggest that soil microbial diversity or enzymatic stoichiometry may be not necessary to mirror changes in water availability in the drylands, while aridity would be well explained by microbial community composition.</t>
  </si>
  <si>
    <t>[He, Haoran; Li, Wenting; Chen, Li; Zhang, Zhiqin; Fang, Linchuan] Northwest A&amp;F Univ, Coll Nat Resources &amp; Environm, Yangling 712100, Peoples R China; [He, Haoran; Xu, Mingzhe; Li, Wenting; Chen, Li; Chen, Yanan; Zeng, Yi; Duan, Chengjiao; Fang, Linchuan] Northwest A&amp;F Univ, State Key Lab Soil Eros &amp; Dryland Farming Loess Pl, Yangling 712100, Shaanxi, Peoples R China; [Xu, Mingzhe; Chen, Yanan; Zeng, Yi; Duan, Chengjiao] Univ Chinese Acad Sci, Beijing 100049, Peoples R China; [Moorhead, Daryl L.] Univ Toledo, Dept Environm Sci, 2801 W Bancroft St, Toledo, OH 43606 USA; [Brangari, Albert C.] Lund Univ, Dept Biol, Microbial Ecol, Lund, Sweden; [Liu, Ji] Cent China Normal Univ, Coll Urban &amp; Environm Sci, Wuhan 430079, Peoples R China; [Cui, Yongxing] Peking Univ, Sino French Inst Earth Syst Sci, Coll Urban &amp; Environm Sci, Beijing 100871, Peoples R China; [Duan, Chengjiao] Shanxi Agr Univ, Coll Resources &amp; Environm, Taigu 030801, Shanxi, Peoples R China; [Huang, Min] Wuhan Univ Technol, Coll Resources &amp; Environm Engn, Wuhan 430070, Hubei, Peoples R China; [Fang, Linchuan] CAS Ctr Excellence Quaternary Sci &amp; Global Change, Xian 710061, Peoples R China</t>
  </si>
  <si>
    <t>Northwest A&amp;F University - China; Northwest A&amp;F University - China; Chinese Academy of Sciences; University of Chinese Academy of Sciences, CAS; University System of Ohio; University of Toledo; Lund University; Central China Normal University; Peking University; Shanxi Agricultural University; Wuhan University of Technology</t>
  </si>
  <si>
    <t>Fang, LC (corresponding author), Northwest A&amp;F Univ, Coll Nat Resources &amp; Environm, Yangling 712100, Peoples R China.</t>
  </si>
  <si>
    <t>flinc629@hotmail.com</t>
  </si>
  <si>
    <t>Liu, Ji/HSB-3434-2023</t>
  </si>
  <si>
    <t>Liu, Ji/0000-0003-2496-9521</t>
  </si>
  <si>
    <t>Joint Key Funds of the National Natural Science Foundation of China [U21A20237]; Strategic Priority Research Program of Chinese Academy of Sciences [XDB40020202]</t>
  </si>
  <si>
    <t>Joint Key Funds of the National Natural Science Foundation of China(National Natural Science Foundation of China (NSFC)); Strategic Priority Research Program of Chinese Academy of Sciences(Chinese Academy of Sciences)</t>
  </si>
  <si>
    <t>This work was supported by the Joint Key Funds of the National Natural Science Foundation of China (U21A20237) , the Strategic Priority Research Program of Chinese Academy of Sciences (XDB40020202) .</t>
  </si>
  <si>
    <t>0341-8162</t>
  </si>
  <si>
    <t>1872-6887</t>
  </si>
  <si>
    <t>Catena</t>
  </si>
  <si>
    <t>10.1016/j.catena.2023.107393</t>
  </si>
  <si>
    <t>Geosciences, Multidisciplinary; Soil Science; Water Resources</t>
  </si>
  <si>
    <t>Geology; Agriculture; Water Resources</t>
  </si>
  <si>
    <t>P2LC8</t>
  </si>
  <si>
    <t>WOS:001048996400001</t>
  </si>
  <si>
    <t>He, HJ; Hu, BT; Soomro, SA; Fu, S; Wan, DT; Bao, YW; Zhou, YC; Feng, QG; Grasso, S; Hu, CF</t>
  </si>
  <si>
    <t>He, Hongjiang; Hu, Baotong; Soomro, Sumair Ahmed; Fu, Shuai; Wan, Detian; Bao, Yiwang; Zhou, Yanchun; Feng, Qingguo; Grasso, Salvatore; Hu, Chunfeng</t>
  </si>
  <si>
    <t>Synthesis, microstructure, physical and mechanical properties of phase-pure entropy-enhanced (Nb0.8Ti0.05Ta0.05V0.05M0.05)(4)AlC3 (M = Hf, Zr) ceramics</t>
  </si>
  <si>
    <t>MAX phase; Entropy-enhanced ceramic; Microstructure; Physical properties; Mechanical properties</t>
  </si>
  <si>
    <t>SITU REACTION SYNTHESIS; MAX-PHASE; M(N+1)AX(N) PHASES; OXIDATION; NB4ALC3; CONDUCTIVITY; BEHAVIOR; CR2ALC; TI</t>
  </si>
  <si>
    <t>The first 413-phase entropy-enhanced (Nb0.8Ti0.05Ta0.05V0.05M0.05)(4)AlC3 (M = Hf, Zr) (EEMAX(Hf) and EEMAX(Zr)) ceramics were successfully consolidated by spark plasma sintering (SPS) using Nb, Ti, Ta, V, Zr, Hf, Al and graphite as initial materials. The formation of solid solution with five transition metals at the M sites of hexagonal M4AlC3 unit cell was confirmed by elemental analyses. Compared with pure Nb4AlC3, both the electrical and thermal conductivities of the entropy-enhanced ceramics showed a slight decrease, which is attributed to the lattice distortion and the increasing lattice defects that prevents the transfer of electrons and phonons. On the other hand, the mechanical properties of entropy-enhanced ceramics were greatly enhanced compared to pure Nb4AlC3. The measured fracture toughness of EEMAX(Hf) and EEMAX(Zr) ceramics were 8.2 MPa center dot m(1/2) and 10.0 MPa center dot m(1/2), respectively, which were increased by 18.8% and 44.9% compared to Nb4AlC3. The compressive strength of EEMAX(Hf) and EEMAX(Zr) ceramics were 987 MPa and 1187 MPa, respectively, being 92.0% and 130.9% higher than that of Nb4AlC3, respectively. EEMAX(Hf) and EEMAX(Zr) ceramics also possessed the higher Vickers hardness of 6.8 GPa and 7.4 GPa, respectively.</t>
  </si>
  <si>
    <t>[He, Hongjiang; Hu, Baotong; Soomro, Sumair Ahmed; Feng, Qingguo; Grasso, Salvatore; Hu, Chunfeng] Southwest Jiaotong Univ, Sch Mat Sci &amp; Engn, Key Lab Adv Technol Mat, Minist Educ, Chengdu 610031, Peoples R China; [Fu, Shuai; Wan, Detian; Bao, Yiwang] China Bldg Mat Acad, State Key Lab Green Bldg Mat, Beijing 100000, Peoples R China; [Zhou, Yanchun] Aerosp Res Inst Mat &amp; Proc Technol, Sci &amp; Technol Adv Funct Composite Lab, 1 South Dahongmen Rd, Beijing 100076, Peoples R China; [Zhou, Yanchun] Aerosp Res Inst Mat &amp; Proc Technol, Beijing 100076, Peoples R China; [Hu, Chunfeng] Southwest Jiaotong Univ, Sch Mat Sci &amp; Engn, Chengdu 610031, Peoples R China</t>
  </si>
  <si>
    <t>Southwest Jiaotong University; Southwest Jiaotong University</t>
  </si>
  <si>
    <t>Zhou, YC (corresponding author), Aerosp Res Inst Mat &amp; Proc Technol, Beijing 100076, Peoples R China.;Hu, CF (corresponding author), Southwest Jiaotong Univ, Sch Mat Sci &amp; Engn, Chengdu 610031, Peoples R China.</t>
  </si>
  <si>
    <t>yczhou@alum.imr.ac.cn; chfhu@live.cn</t>
  </si>
  <si>
    <t>Feng, Qingguo/E-7879-2011</t>
  </si>
  <si>
    <t>Feng, Qingguo/0000-0002-0242-8436; Hu, Chunfeng/0000-0003-0882-9916; Soomro, Sumair Ahmed/0000-0002-9933-9826</t>
  </si>
  <si>
    <t>Natural Sciences Foundation of China [52032011, 52072311]; Outstanding Young Scientific and Technical Talents in Sichuan Province [2019JDJQ0009]; Fundamental Research Funds for the Central Universities [2682020ZT61, 2682021GF013, XJ2021KJZK042]; State Key Laboratory of Environment-Friendly Energy Materials [20kfhg17]; Opening Project of State Key Laboratory of Green Building Materials</t>
  </si>
  <si>
    <t>Natural Sciences Foundation of China(National Natural Science Foundation of China (NSFC)); Outstanding Young Scientific and Technical Talents in Sichuan Province; Fundamental Research Funds for the Central Universities(Fundamental Research Funds for the Central Universities); State Key Laboratory of Environment-Friendly Energy Materials; Opening Project of State Key Laboratory of Green Building Materials</t>
  </si>
  <si>
    <t>This work was supported by the Natural Sciences Foundation of China (52032011 and 52072311), Outstanding Young Scientific and Technical Talents in Sichuan Province (2019JDJQ0009), the Fundamental Research Funds for the Central Universities (2682020ZT61, 2682021GF013, XJ2021KJZK042), the Opening Project of State Key Laboratory of Green Building Materials, and the Project of State Key Laboratory of Environment-Friendly Energy Materials (20kfhg17).</t>
  </si>
  <si>
    <t>10.1016/j.jeurceramsoc.2023.06.012</t>
  </si>
  <si>
    <t>O5TO0</t>
  </si>
  <si>
    <t>WOS:001044433600001</t>
  </si>
  <si>
    <t>He, YB; Gao, YH; Li, XY; Chen, JX; Yang, JD; Chen, JZ; Cai, CF</t>
  </si>
  <si>
    <t>He, Yangbo; Gao, Yuhao; Li, Xinyue; Chen, Junxi; Yang, Jingde; Chen, Jiazhou; Cai, Chongfa</t>
  </si>
  <si>
    <t>Influence of gully erosion on hydraulic properties of black soil-based farmland</t>
  </si>
  <si>
    <t>Black soil; Soil available water content; Gully vicinity; Penetration resistance; Bulk density</t>
  </si>
  <si>
    <t>WATER-RETENTION PROPERTIES; ORGANIC-MATTER; BULK-DENSITY; TEXTURE; DROUGHT; PREDICTION; QUALITY; CURVES</t>
  </si>
  <si>
    <t>Gully erosion is a severe form of water erosion worldwide. However, the influence of gully vicinity on the soil hydraulic properties has been poorly studied, hindering the understanding of their effect on crop yields. Therefore, this study hypothesizes that gully vicinity influences farmlands and aims to determine the mechanism of their influence on soil hydraulic properties and crop characteristics. The soil properties from nine gullies in cultivated lands inclined at1%, 2%, and 3% in three latitudinal regions were determined at the gully edge (EG0) and 50 m further the edge into the farmlands (EG50) at the following gully units: head, mid-upper, mid, midlower, and tail. Soil hydraulic properties (bulk density, saturated hydraulic conductivity, and water retention), soil penetration resistance, and soil organic matter were analyzed. The study findings indicate that the gully existence affected the soil properties at diverse range of intensities. The total-available water content (&amp; UTheta;30 - &amp; UTheta;1500), the ratio of more-available water to total-available water content (&amp; UTheta;30-&amp; UTheta;330)/(&amp; UTheta;30-&amp; UTheta;1500), saturated hydraulic conductivity, and soil organic matter were lower, but the bulk density and soil penetration resistance were higher at EG0 compared with those at EG50. The (&amp; UTheta;30-&amp; UTheta;330)/(&amp; UTheta;30-&amp; UTheta;1500) ratio in the gully vicinity was considerably lower in our study than in previous studies, indicating gully erosion substantially deteriorated the hydraulic properties. The differences in soil hydraulic properties between EG0 and EG50 were more evident in higher latitudinal region and in steeper farmlands. In addition, the lower soil organic matter and higher bulk density probably led to a 3-11% decrease in crop yield at EG0 than at EG50. In summary, this study indicates that gully erosion affects farmland not only at its boundaries but also further into its surroundings. Accordingly, managements suited to the hydraulic properties of the gully-surrounded areas may be implemented to maximize the crop yield of farmlands.</t>
  </si>
  <si>
    <t>[He, Yangbo; Gao, Yuhao; Li, Xinyue; Chen, Junxi; Yang, Jingde; Chen, Jiazhou; Cai, Chongfa] Huazhong Agr Univ, Coll Resources &amp; Environm, Key Lab Arable Land Conservat Middle &amp; Lower Reach, Minist Agr, Wuhan 430070, Hubei, Peoples R China</t>
  </si>
  <si>
    <t>Ministry of Agriculture &amp; Rural Affairs; Huazhong Agricultural University</t>
  </si>
  <si>
    <t>He, YB (corresponding author), Huazhong Agr Univ, Coll Resources &amp; Environm, Key Lab Arable Land Conservat Middle &amp; Lower Reach, Minist Agr, Wuhan 430070, Hubei, Peoples R China.</t>
  </si>
  <si>
    <t>kathy@mail.hzau.edu.cn</t>
  </si>
  <si>
    <t>National Key R amp; D Program of China [2021YFD1500703]</t>
  </si>
  <si>
    <t>National Key R amp; D Program of China</t>
  </si>
  <si>
    <t>Financial support for this research was provided by the National Key R &amp; D Program of China (2021YFD1500703) .</t>
  </si>
  <si>
    <t>10.1016/j.catena.2023.107372</t>
  </si>
  <si>
    <t>O3HK6</t>
  </si>
  <si>
    <t>WOS:001042760000001</t>
  </si>
  <si>
    <t>Hu, H; Dong, KJ; Yan, B; Mu, YQ; Liao, YW; Zhang, L; Guo, SC; Xiao, XJ; Wang, XY</t>
  </si>
  <si>
    <t>Hu, Hao; Dong, Kejun; Yan, Bei; Mu, Yaoqin; Liao, Yangwei; Zhang, Lei; Guo, Songcheng; Xiao, Xianjin; Wang, Xinyu</t>
  </si>
  <si>
    <t>Highly-sensitive and homogenous detection of 8-oxoguanine based DNA oxidative damage by a CRISPR-enhanced structure-switching aptamer assay</t>
  </si>
  <si>
    <t>BIOSENSORS &amp; BIOELECTRONICS</t>
  </si>
  <si>
    <t>CRISPR-Cas12a; Oxidative stress; 8-oxoguanine; Fluorescent biosensors</t>
  </si>
  <si>
    <t>HUMAN SPERMATOZOA; REPAIR; STRESS</t>
  </si>
  <si>
    <t>8-oxoguanine (8-oxoG) based DNA damage is the most common type of DNA damage which greatly affect gene expression. Therefore, accurate quantification of 8-oxoG based DNA damage is of high clinical significance. However, current methods for 8-oxoG detection struggle to balance convenience, low cost, and sensitivity. Herein, we have proposed and investigated the shortened crRNA mode of CRISPR-Cas12a system and greatly enhanced its signal-to-noise ratio. Taking advantages of the shortened crRNA mode, we further developed a CRISPR-enhanced structure-switching aptamer assay (CESA) for 8-oxoG. The analytical performance of CESA was thoroughly investigated via detecting free 8-oxoG and 8-oxoG on gDNA. The CESA displayed impressive sensitivity for free 8-oxoG, with detection and quantification limits of 32.3 pM and 0.107 nM. These limits modestly rose to 64.5 pM and 0.215 nM when examining 8-oxoG on gDNA. To demonstrate the clinical practicability and significance of the CESA system, we further applied it to measuring 8-oxoG levels in 7 plasma samples (Cervical carcinoma, 11.87 &amp; PLUSMN; 0.69 nM VS. Healthy control, 2.66 &amp; PLUSMN; 0.42 nM), 24 seminal plasma samples (Asthenospermia, 22.29 &amp; PLUSMN; 7.48 nM VS. Normal sperm, 9.75 &amp; PLUSMN; 3.59 nM), 10 breast-tissue gDNA samples (Breast cancer, 2.77 &amp; PLUSMN; 0.63 nM/&amp; mu;g VS. Healthy control, 0.41 &amp; PLUSMN; 0.09 nM/&amp; mu;g), and 24 sperm gDNA samples (Asthenospermia, 28.62 &amp; PLUSMN; 4.84 VS. Normal sperm, 16.67 &amp; PLUSMN; 3.31). This work not only proposes a novel design paradigm of shortened crRNA for developing CRISPR-Cas12a based biosensors but also offers a powerful tool for detecting 8-oxoG based DNA damage.</t>
  </si>
  <si>
    <t>[Hu, Hao; Xiao, Xianjin; Wang, Xinyu] Jilin Univ, Hosp 2, Dept Breast Surg, 4026 Yatai St, Changchun 130041, Peoples R China; [Yan, Bei] Ningxia Med Univ, Gen Hosp, Ningxia Human Sperm Bank, Yinchuan 750004, Peoples R China; [Hu, Hao; Dong, Kejun; Yan, Bei; Mu, Yaoqin; Liao, Yangwei; Zhang, Lei; Guo, Songcheng; Xiao, Xianjin] Huazhong Univ Sci &amp; Technol, Inst Reprod Hlth, Tongji Med Coll, Wuhan 430030, Peoples R China; [Dong, Kejun] Huazhong Univ Sci &amp; Technol, Union Hosp, Tongji Med Coll, Dept Obstet &amp; Gynecol, Wuhan 430022, Peoples R China; [Xiao, Xianjin] Wuhan Zhongyuan Elect Grp Co Ltd, Wuhan 430070, Peoples R China</t>
  </si>
  <si>
    <t>Jilin University; Ningxia Medical University; Huazhong University of Science &amp; Technology; Huazhong University of Science &amp; Technology</t>
  </si>
  <si>
    <t>Xiao, XJ; Wang, XY (corresponding author), Jilin Univ, Hosp 2, Dept Breast Surg, 4026 Yatai St, Changchun 130041, Peoples R China.</t>
  </si>
  <si>
    <t>xiaoxianjin@hust.edu.cn; xinyu_wang@jlu.edu.cn</t>
  </si>
  <si>
    <t>National Key Research and Development Program of China [2021YFC2701402]; Fundamental Research Funds for the Central Universities [YCJJ202201048]; National Natural Science Foundation of China [82260290]; Jilin Province Health Science and Technology Ability Improvement Plan Project [2022JC065]</t>
  </si>
  <si>
    <t>National Key Research and Development Program of China; Fundamental Research Funds for the Central Universities(Fundamental Research Funds for the Central Universities); National Natural Science Foundation of China(National Natural Science Foundation of China (NSFC)); Jilin Province Health Science and Technology Ability Improvement Plan Project</t>
  </si>
  <si>
    <t>This work was financially supported by the National Key Research and Development Program of China (Grant 2021YFC2701402), Fundamental Research Funds for the Central Universities (YCJJ202201048), National Natural Science Foundation of China (No. 82260290), and Jilin Province Health Science and Technology Ability Improvement Plan Project (2022JC065).</t>
  </si>
  <si>
    <t>0956-5663</t>
  </si>
  <si>
    <t>1873-4235</t>
  </si>
  <si>
    <t>BIOSENS BIOELECTRON</t>
  </si>
  <si>
    <t>Biosens. Bioelectron.</t>
  </si>
  <si>
    <t>10.1016/j.bios.2023.115588</t>
  </si>
  <si>
    <t>Biophysics; Biotechnology &amp; Applied Microbiology; Chemistry, Analytical; Electrochemistry; Nanoscience &amp; Nanotechnology</t>
  </si>
  <si>
    <t>Biophysics; Biotechnology &amp; Applied Microbiology; Chemistry; Electrochemistry; Science &amp; Technology - Other Topics</t>
  </si>
  <si>
    <t>R0WP4</t>
  </si>
  <si>
    <t>WOS:001061635400001</t>
  </si>
  <si>
    <t>Hu, MZ; Li, N; Fu, ZH; Yang, JY; Zhang, YZ; Li, WQ; Cai, H; Hu, HZ</t>
  </si>
  <si>
    <t>Hu, Mengzhu; Li, Nan; Fu, Zhenhai; Yang, Jianyu; Zhang, Yizhou; Li, Wenqiang; Cai, Han; Hu, Huizhu</t>
  </si>
  <si>
    <t>Understanding thermal induced escape mechanism of optically levitated sphere in low vacuum</t>
  </si>
  <si>
    <t>Optical levitation; Photophoretic force; Thermal effects; Brownian motion; Escape mechanism</t>
  </si>
  <si>
    <t>QUANTUM CONTROL; PHOTOPHORESIS; NANOPARTICLE; CALIBRATION; MIRROR; MOTION</t>
  </si>
  <si>
    <t>The escape phenomenon, mainly caused by thermal effects, is known as an obstacle to the further practical application of optical levitation system in vacuum. Even though thermal effects have been mentioned in many works, the escape mechanism of heated particle remains unclear. Irregular photophoresis induced by thermal effects can act as an amplifierof Brownian motion. Studies on this topic provide interpretation for particle escape phenomenon during vacuum pumping, as well as valuable insights into the micro-and nanoscale thermal effects in optical trap in vacuum. In this paper, we derive and test a dynamic model for the motion of an optically levitated particle in a non-equilibrium state and demonstrate the escape mechanism. The result of theoretical investigations is consistent with experimental escape at 0.1 mBar.</t>
  </si>
  <si>
    <t>[Hu, Mengzhu; Li, Nan; Yang, Jianyu; Li, Wenqiang; Cai, Han] Zhejiang Univ, Coll Opt Sci &amp; Engn, Hangzhou 310027, Peoples R China; [Fu, Zhenhai; Zhang, Yizhou; Hu, Huizhu] Quantum Sensing Ctr, Zhejiang Lab, Hangzhou 310000, Peoples R China; [Hu, Huizhu] Zhejiang Univ, State Key Lab Modern Opt Instrumentat, Hangzhou 310027, Peoples R China</t>
  </si>
  <si>
    <t>Zhejiang University; Zhejiang Laboratory; Zhejiang University</t>
  </si>
  <si>
    <t>Li, N (corresponding author), Zhejiang Univ, Coll Opt Sci &amp; Engn, Hangzhou 310027, Peoples R China.</t>
  </si>
  <si>
    <t>nanli@zju.edu.cn; huhuizhu2000@zju.edu</t>
  </si>
  <si>
    <t>sun, bo/JFA-9978-2023; xin, li/JCO-3925-2023; HU, Huizhu/D-8339-2016</t>
  </si>
  <si>
    <t>Li, Nan/0000-0003-3585-2273; HU, Huizhu/0000-0003-1690-9414</t>
  </si>
  <si>
    <t>Zhejiang Provincial Natural Science Foundation of China [LD22F050002]; National Natural Science Foundation of China [62205290, 62075193, 62005248]; Major Scientific Research Project of Zhejiang Lab, China [2019MB0AD01]; National Program for Special Support of Top-Notch Young Professionals, China [W02070390]; Centerinitiated Research Project of Zhejiang Lab, China [2022MB0AL02]</t>
  </si>
  <si>
    <t>Zhejiang Provincial Natural Science Foundation of China(Natural Science Foundation of Zhejiang Province); National Natural Science Foundation of China(National Natural Science Foundation of China (NSFC)); Major Scientific Research Project of Zhejiang Lab, China; National Program for Special Support of Top-Notch Young Professionals, China; Centerinitiated Research Project of Zhejiang Lab, China</t>
  </si>
  <si>
    <t>Funding Zhejiang Provincial Natural Science Foundation of China under Grant No. LD22F050002; National Natural Science Foundation of China (No. 62205290, No. 62075193, No. 62005248) ; Major Scientific Research Project of Zhejiang Lab, China (No. 2019MB0AD01) and National Program for Special Support of Top-Notch Young Professionals, China (No. W02070390) , Centeri-nitiated Research Project of Zhejiang Lab, China (2022MB0AL02) .</t>
  </si>
  <si>
    <t>10.1016/j.optcom.2023.129784</t>
  </si>
  <si>
    <t>P8HU0</t>
  </si>
  <si>
    <t>WOS:001053034200001</t>
  </si>
  <si>
    <t>Huang, IS; Cheung, YWY; Hoorn, JF</t>
  </si>
  <si>
    <t>Huang, Ivy S.; Cheung, Yoyo W. Y.; Hoorn, Johan F.</t>
  </si>
  <si>
    <t>Loving-kindness and walking meditation with a robot: Countering negative mood by stimulating creativity</t>
  </si>
  <si>
    <t>INTERNATIONAL JOURNAL OF HUMAN-COMPUTER STUDIES</t>
  </si>
  <si>
    <t>Social robot; Daily creativity; Meditation; Mental health; State openness</t>
  </si>
  <si>
    <t>POSITIVE EMOTIONS; DIVERGENT-THINKING; EVERYDAY CREATIVITY; COGNITIVE MODEL; MENTAL-HEALTH; OPENNESS; EXPERIENCE; PERSONALITY; MINDFULNESS; INTELLIGENCE</t>
  </si>
  <si>
    <t>Young adults undergoing psychological changes are particularly vulnerable. Recent social isolation impedes interpersonal help while stress from family, school, work, and society has brought negative effects on mental health, even in otherwise healthy young adults. Recent research has shown that daily creativity contributes to well-being. To circumvent issues of contamination, we tried a NAO robot guiding a Loving-kindness Meditation (LKM) and Walking Meditation (WM). By improving mental states (i.e. positive valence and state openness), we stimulated creative behavior to reduce negative mood. Participants (N = 142) were healthy individuals, aged between 18 and 34, joining a one-time laboratory experiment. They responded to two rounds of questionnaires, with a 10 min intervention guided by audio or a NAO robot in between each round. A control group with participants with no treatment (i.e. taking a 10 min rest) was added for comparison. Both audio-guided LKM and WM successfully evoked state openness, with the former also exerting a positive effect on valence. Valence and state openness were positively correlated, and both were associated with a higher willingness to create. With positive valence, young adults likely perform better on convergent thinking. The result may potentially lead to negative mood reduction. The discussion emphasizes the importance of designing specific characteristics of social robots in accordance with the task's context.</t>
  </si>
  <si>
    <t>[Huang, Ivy S.; Hoorn, Johan F.] Hong Kong Polytech Univ, Sch Design, Hung Hom, Hong Kong, Peoples R China; [Huang, Ivy S.; Cheung, Yoyo W. Y.; Hoorn, Johan F.] Lab Artificial Intelligence Design, Hong Kong Sci Pk, Hong Kong, Peoples R China</t>
  </si>
  <si>
    <t>Hong Kong Polytechnic University</t>
  </si>
  <si>
    <t>Huang, IS (corresponding author), Hong Kong Polytech Univ, Sch Design, Hung Hom, Hong Kong, Peoples R China.</t>
  </si>
  <si>
    <t>20113754R@connect.polyu.hk</t>
  </si>
  <si>
    <t>Huang, Shiming/0000-0002-4834-3630</t>
  </si>
  <si>
    <t>Laboratory for Artificial Intelligence in Design [R2P3]; Innovation and Technology Fund, Hong Kong Special Administrative Region</t>
  </si>
  <si>
    <t>Laboratory for Artificial Intelligence in Design; Innovation and Technology Fund, Hong Kong Special Administrative Region</t>
  </si>
  <si>
    <t>This research is funded by the Laboratory for Artificial Intelligence in Design (Project Code: R2P3), Innovation and Technology Fund, Hong Kong Special Administrative Region.</t>
  </si>
  <si>
    <t>1071-5819</t>
  </si>
  <si>
    <t>1095-9300</t>
  </si>
  <si>
    <t>INT J HUM-COMPUT ST</t>
  </si>
  <si>
    <t>Int. J. Hum.-Comput. Stud.</t>
  </si>
  <si>
    <t>10.1016/j.ijhcs.2023.103107</t>
  </si>
  <si>
    <t>Computer Science, Cybernetics; Ergonomics; Psychology, Multidisciplinary</t>
  </si>
  <si>
    <t>Computer Science; Engineering; Psychology</t>
  </si>
  <si>
    <t>Q5WT5</t>
  </si>
  <si>
    <t>WOS:001058231900001</t>
  </si>
  <si>
    <t>Huang, K; Yao, KX; Guo, YF; Lv, ZT</t>
  </si>
  <si>
    <t>Huang, Kai; Yao, Kaixin; Guo, Yongfang; Lv, Ziteng</t>
  </si>
  <si>
    <t>State of health estimation of lithium-ion batteries based on fine-tuning or rebuilding transfer learning strategies combined with new features mining</t>
  </si>
  <si>
    <t>Health feature mining; Lithium -ion batteries; Long short-term memory neural network; State of health estimation; Transfer learning</t>
  </si>
  <si>
    <t>OF-HEALTH; PERFORMANCE; PROGNOSTICS</t>
  </si>
  <si>
    <t>Accurate state of health (SOH) estimation of lithium-ion batteries is essential to ensure the reliability of power equipment. However, the degradation trajectory of different cells and different types of batteries is not repeatable. At present, there is no unified model or method to effectively predict SOH for all batteries. Therefore, a new SOH estimation method is proposed in the paper. Firstly, two types of new features are proposed in this paper. One is the voltage features extracted from the constant-current charging stage, and the other is the capacity recovery feature. They are used to reflect the nonlinear degradation process of the battery. Secondly, the relationship between features and SOH is established by using the LSTM model, which can prevent the problem of gradient vanishing and gradient explosion during model learning. Finally, for the inconsistencies between the same type or different types of batteries, two different transfer learning strategies (fine-tuning and rebuilding) are proposed in this paper, and the effectiveness of the proposed features and transfer learning strategies is verified on three open-source battery data sets (NASA, Oxford, and CALCE). Experimental results show that the SOH estimation method proposed in the paper has good universality, robustness, and accuracy.</t>
  </si>
  <si>
    <t>[Huang, Kai; Yao, Kaixin; Lv, Ziteng] Hebei Univ Technol, State Key Lab Reliabil &amp; Intelligence Elect Equipm, Tianjin 300130, Peoples R China; [Huang, Kai; Yao, Kaixin; Lv, Ziteng] Hebei Univ Technol, Key Lab Electromagnet Field &amp; Elect Apparat Reliab, Tianjin 300130, Peoples R China; [Guo, Yongfang] Hebei Univ Technol, Sch Artificial Intelligence, Tianjin 300130, Peoples R China</t>
  </si>
  <si>
    <t>Hebei University of Technology; Hebei University of Technology; Hebei University of Technology</t>
  </si>
  <si>
    <t>Guo, YF (corresponding author), Hebei Univ Technol, Sch Artificial Intelligence, Tianjin 300130, Peoples R China.</t>
  </si>
  <si>
    <t>guoyongfang@hebut.edu.cn</t>
  </si>
  <si>
    <t>Natural Science Foundation of Hebei Province, China [E2019202328]</t>
  </si>
  <si>
    <t>Natural Science Foundation of Hebei Province, China(Natural Science Foundation of Hebei Province)</t>
  </si>
  <si>
    <t>This research work was funded by the Natural Science Foundation of Hebei Province, China [Project No. E2019202328] .</t>
  </si>
  <si>
    <t>10.1016/j.energy.2023.128739</t>
  </si>
  <si>
    <t>Q7JD3</t>
  </si>
  <si>
    <t>WOS:001059240500001</t>
  </si>
  <si>
    <t>Huang, XL; Zhang, MM; Su, X</t>
  </si>
  <si>
    <t>Huang, Xiaoling; Zhang, Mingmin; Su, Xin</t>
  </si>
  <si>
    <t>Carbomer/arginine intelligent viscoelastic fluid with adjustable CO2-responsive viscosity</t>
  </si>
  <si>
    <t>JOURNAL OF MOLECULAR LIQUIDS</t>
  </si>
  <si>
    <t>Viscoelastic fluid; CO 2-responsive; Viscosity decrease; Carbomer; Arginine</t>
  </si>
  <si>
    <t>RESPONSIVE HYDROGELS; CARBON-DIOXIDE; CO2; POLYMERS; VESICLES</t>
  </si>
  <si>
    <t>Environmentally responsive intelligent viscoelastic fluids have been used in many fields in recent years. The rheological behavior of different intelligent viscoelastic fluids can be changed by different stimulation methods. Among them, CO2, as a non-toxic green and abundant stimulus method, has attracted much attention. Therefore, CO2-responsive intelligent viscoelastic fluids have been continuously reported, in which viscoelastic fluids with CO2-responsive viscosity increase have been more reported, while those with CO2-responsive viscosity decrease have been less reported. Herein, carbomer (CBM), as a pH-responsive polymer with potential CO2-responsive-ness, is applied to CO2-responsive viscosity decreasing viscoelastic fluids. CBM and arginine (Arg) formed a new CO2-responsive viscoelastic fluid, which achieved a significant decrease in viscosity after CO2-response. Firstly, by comparing the effects of NaOH and Arg on the rheological behavior of CBM solution, it is demonstrated that Arg can extend the viscosity variation range of CBM solution before and after CO2-response, and Arg can switch between physical crosslinking agent and viscosity reducing agent, and it is verified from the microscopic perspective. Then, the effects of Arg concentration and CBM concentration on the CO2-responsiveness and rheological behavior of CBM/Arg viscoelastic fluid were investigated. The multiple reversible CO2-responsive viscosity of CBM/Arg viscoelastic fluid was verified. Finally, the viscoelastic variations of CBM/Arg viscoelastic fluid before and after the response were investigated by dynamic rheology.</t>
  </si>
  <si>
    <t>[Huang, Xiaoling; Su, Xin] Sichuan Univ, Polymer Res Inst, State Key Lab Polymer Mat Engn, Chengdu 610065, Peoples R China; [Zhang, Mingmin] Tianjin Univ, Zhejiang Inst, Shaoxing 312369, Peoples R China</t>
  </si>
  <si>
    <t>Sichuan University; Tianjin University</t>
  </si>
  <si>
    <t>Su, X (corresponding author), Sichuan Univ, Polymer Res Inst, State Key Lab Polymer Mat Engn, Chengdu 610065, Peoples R China.</t>
  </si>
  <si>
    <t>xinsu@scu.edu.cn</t>
  </si>
  <si>
    <t>State Key Laboratory of Polymer Materials Engineering [sklpme2022-2-09]; Opening Project of Oil amp; Gas Field Applied Chem-istry Key Laboratory of Sichuan Province [YQKF202003]; Opening Project of State Key Laboratory of Oil and Gas Reservoir Geology and Exploitation (Southwest Petroleum University) [PLN2021-05]</t>
  </si>
  <si>
    <t>State Key Laboratory of Polymer Materials Engineering; Opening Project of Oil amp; Gas Field Applied Chem-istry Key Laboratory of Sichuan Province; Opening Project of State Key Laboratory of Oil and Gas Reservoir Geology and Exploitation (Southwest Petroleum University)</t>
  </si>
  <si>
    <t>This work was supported by Natural Science Foundation of Sichuan Province (2022NSFSC0197). The authors also would like to express their gratitude to State Key Laboratory of Polymer Materials Engineering (sklpme2022-2-09), Opening Project of Oil &amp; amp; Gas Field Applied Chemistry Key Laboratory of Sichuan Province (YQKF202003). X.S. also appreciates the Opening Project of State Key Laboratory of Oil and Gas Reservoir Geology and Exploitation (Southwest Petroleum University, PLN2021-05).r gratitude to State Key Laboratory of Polymer Materials Engineering (sklpme2022-2-09) , Opening Project of Oil &amp; Gas Field Applied Chem-istry Key Laboratory of Sichuan Province (YQKF202003) . X.S. also ap-preciates the Opening Project of State Key Laboratory of Oil and Gas Reservoir Geology and Exploitation (Southwest Petroleum University, PLN2021-05) .</t>
  </si>
  <si>
    <t>0167-7322</t>
  </si>
  <si>
    <t>1873-3166</t>
  </si>
  <si>
    <t>J MOL LIQ</t>
  </si>
  <si>
    <t>J. Mol. Liq.</t>
  </si>
  <si>
    <t>10.1016/j.molliq.2023.122842</t>
  </si>
  <si>
    <t>Chemistry, Physical; Physics, Atomic, Molecular &amp; Chemical</t>
  </si>
  <si>
    <t>Chemistry; Physics</t>
  </si>
  <si>
    <t>S4OM3</t>
  </si>
  <si>
    <t>WOS:001070977000001</t>
  </si>
  <si>
    <t>Ikehata, N; Nakai, T; Ikehata, M; Sugisaki, R; Kaneko, K; Chikazu, D</t>
  </si>
  <si>
    <t>Ikehata, Naoki; Nakai, Takayuki; Ikehata, Mikiko; Sugisaki, Risa; Kaneko, Kotaro; Chikazu, Daichi</t>
  </si>
  <si>
    <t>A case of extraction of supernumerary tooth in patient with glutaric acidemia type1</t>
  </si>
  <si>
    <t>JOURNAL OF ORAL AND MAXILLOFACIAL SURGERY MEDICINE AND PATHOLOGY</t>
  </si>
  <si>
    <t>Glutaric acidemia type 1; Newborn mass screening; Supernumerary tooth extraction; Perioperative management</t>
  </si>
  <si>
    <t>ACIDURIA; MANAGEMENT</t>
  </si>
  <si>
    <t>Glutaric acidemia type 1 (GA1) is an autosomal recessive disorder of organic acid metabolism that is caused by a defect in glutaryl CoA dehydrogenase. The frequency of this disease is estimated to be approximately 1 in 100,000 births globally. This disease is the primary target of newborn mass screening (MS). Neurological sequelae and treatment must be continued throughout life. We performed extraction of a supernumerary tooth in a patient with GA1. Tooth extraction in GA1 patients has not been reported earlier.A 7-year-old Japanese boy was referred to our department for maxillary supernumerary tooth extraction. A diagnosis of GA1 was made based on the high serum C5-DC and urinary glutaric acid levels, and analysis of the GCDH gene revealed a mutation. The patient was treated with carnitine and lysine restriction and was in good general condition, with no neurological abnormalities. Further, supernumerary tooth extraction was performed under local anesthesia. Preoperatively, we confirmed the absence of hyperammonemia and metabolic acidosis, and the patient was treated with glucose infusion in consultation with a pediatrician. No abnormal findings were observed intraoperatively or postoperatively and wound healing was satisfactory one month later.</t>
  </si>
  <si>
    <t>[Ikehata, Naoki; Nakai, Takayuki; Ikehata, Mikiko; Sugisaki, Risa; Kaneko, Kotaro; Chikazu, Daichi] Tokyo Med Univ, Dept Oral &amp; Maxillofacial Surg, 6-7-1 Nishishinjuku,Shinjuku Ku, Tokyo 1600023, Japan</t>
  </si>
  <si>
    <t>Tokyo Medical University</t>
  </si>
  <si>
    <t>Ikehata, N (corresponding author), Tokyo Med Univ, Dept Oral &amp; Maxillofacial Surg, 6-7-1 Nishishinjuku,Shinjuku Ku, Tokyo 1600023, Japan.</t>
  </si>
  <si>
    <t>nok-ike@tokyo-med.ac.jp</t>
  </si>
  <si>
    <t>2212-5558</t>
  </si>
  <si>
    <t>2212-5566</t>
  </si>
  <si>
    <t>J ORAL MAXILLOFAC SU</t>
  </si>
  <si>
    <t>J. Oral Maxillofac. Surg. Med. Pathol.</t>
  </si>
  <si>
    <t>10.1016/j.ajoms.2023.03.003</t>
  </si>
  <si>
    <t>P8QD1</t>
  </si>
  <si>
    <t>WOS:001053252200001</t>
  </si>
  <si>
    <t>Illescas, A; Zhong, HY; Cozowicz, C; Poeran, J; Memtsoudis, SG; Liu, JB</t>
  </si>
  <si>
    <t>Illescas, Alex; Zhong, Haoyan; Cozowicz, Crispiana; Poeran, Jashvant; Memtsoudis, Stavros G.; Liu, Jiabin</t>
  </si>
  <si>
    <t>Anesthesia practice among joint arthroplasty patients with a previous lumbar spine surgery</t>
  </si>
  <si>
    <t>JOURNAL OF CLINICAL ANESTHESIA</t>
  </si>
  <si>
    <t>Anesthesia; Lumbar surgery; Total knee arthroplasty; Total hip arthroplasty</t>
  </si>
  <si>
    <t>TOTAL HIP-ARTHROPLASTY; OUTCOMES; COMPLICATIONS; STENOSIS; DISEASE; TRENDS</t>
  </si>
  <si>
    <t>Study objective: To analyze the use of neuraxial techniques in total hip or knee arthroplasty patients who pre-viously underwent lumbar spine surgeries.Design: Retrospective analysis of a national database.Setting: U.S. hospitals.Patients: Patients undergoing a total hip or knee arthroplasty, stratified by those with a previous lumbar fusion or decompression procedure.Measurements: Our primary outcome was the use of neuraxial anesthesia; secondary outcomes included combined complications, cardio-pulmonary complications, and prolonged length of stay. Patients with and without a history of a lumbar procedure were compared using mixed-effects regression. Main results: Among 758,857 THAs 8961 had a history of lumbar fusion and 8599 of decompression. Among 1,387,335 TKAs 15,827 had a history of lumbar fusion and 13,652 of decompression. History of a lumbar fusion was associated with lower odds of neuraxial anesthesia use in THA (OR: 0.74 CI: 0.70-0.79, p &amp; LE;0.0001) and TKA (OR: 0.80 CI: 0.77-0.84, p &amp; LE;0.0001).Conclusions: Previous lumbar fusion-but not decompression-surgery is associated with lower neuraxial anes-thesia in THA/TKA patients, despite its use being universally associated with decreased length of stay. More research is needed to address the importance of neuraxial techniques in patients with prior spine surgery.</t>
  </si>
  <si>
    <t>[Illescas, Alex; Zhong, Haoyan; Memtsoudis, Stavros G.; Liu, Jiabin] Hosp Special Surg, Dept Anesthesiol Crit Care &amp; Pain Management, New York, NY 10021 USA; [Cozowicz, Crispiana] Paracelsus Med Univ, Dept Anesthesiol Perioperat Med &amp; Intens Care Med, Salzburg, Austria; [Poeran, Jashvant] Icahn Sch Med Mt Sinai, Inst Healthcare Delivery Sci, Dept Populat Hlth Sci &amp; Policy, Dept Orthoped, New York, NY USA; [Memtsoudis, Stavros G.; Liu, Jiabin] Weill Cornell Med, Dept Anesthesiol, New York, NY USA; [Memtsoudis, Stavros G.] Weill Cornell Med Coll, Dept Hlth Policy &amp; Res, New York, NY USA; [Memtsoudis, Stavros G.; Liu, Jiabin] Hosp Special Surg, Dept Anesthesiol, 535 East 70th St, New York, NY 10021 USA</t>
  </si>
  <si>
    <t>Paracelsus Private Medical University; Icahn School of Medicine at Mount Sinai; Cornell University; Weill Cornell Medicine; Cornell University; Weill Cornell Medicine</t>
  </si>
  <si>
    <t>Memtsoudis, SG; Liu, JB (corresponding author), Hosp Special Surg, Dept Anesthesiol, 535 East 70th St, New York, NY 10021 USA.</t>
  </si>
  <si>
    <t>MemtsoudisS@HSS.EDU; liuji@HSS.EDU</t>
  </si>
  <si>
    <t>0952-8180</t>
  </si>
  <si>
    <t>1873-4529</t>
  </si>
  <si>
    <t>J CLIN ANESTH</t>
  </si>
  <si>
    <t>J. Clin. Anesth.</t>
  </si>
  <si>
    <t>10.1016/j.jclinane.2023.111222</t>
  </si>
  <si>
    <t>Anesthesiology</t>
  </si>
  <si>
    <t>P4AP8</t>
  </si>
  <si>
    <t>WOS:001050093100001</t>
  </si>
  <si>
    <t>Ilovaisky, AI; Scherbakov, AM; Chernoburova, EI; Povarov, AA; Shchetinina, MA; Merkulova, VM; Salnikova, DI; Sorokin, D; Bozhenko, EI; Zavarzin, I; Terent'ev, AO</t>
  </si>
  <si>
    <t>Ilovaisky, Alexey I.; Scherbakov, Alexander M.; Chernoburova, Elena I.; Povarov, Andrey A.; Shchetinina, Marina A.; Merkulova, Valentina M.; Salnikova, Diana I.; Sorokin, Danila, V; Bozhenko, Eugene I.; Zavarzin, Igor, V; Terent'ev, Alexander O.</t>
  </si>
  <si>
    <t>Secosteroid thiosemicarbazides and secosteroid-1,2,4-triazoles as antiproliferative agents targeting breast cancer cells: Synthesis and biological evaluation</t>
  </si>
  <si>
    <t>JOURNAL OF STEROID BIOCHEMISTRY AND MOLECULAR BIOLOGY</t>
  </si>
  <si>
    <t>Secosteroids; Hydrazides; Thiosemicarbazides; 4-Triazoles; Breast cancer; Cytotoxicity; 1; 2</t>
  </si>
  <si>
    <t>STEROID SULFATASE INHIBITORS; NONSTEROIDAL AROMATASE INHIBITORS; IN-VITRO; CYTOTOXICITY EVALUATION; ANTICANCER ACTIVITY; D-HOMO; DERIVATIVES; ESTROGEN; LETROZOLE; APOPTOSIS</t>
  </si>
  <si>
    <t>A convenient and selective approach to 13,17-secoestra-1,3,5(10)-trien-17-oic acid [N'-arylcarbothioamido] hydrazides and hybrid molecules containing secosteroid and 1,2,4-triazole fragments was disclosed and these novel types of secosteroids were screened for cytotoxicity against hormone-dependent human breast cancer cell line MCF-7. Most of secosteroid-1,2,4-triazole hybrids showed significant cytotoxic effect comparable or superior to that of the reference drug cisplatin. Hit secosteroid-1,2,4-triazole hybrids 4b and 4h were characterized by high cytotoxicity and good selectivity towards MCF-7 breast cancer cells. PARP cleavage (marker of apoptosis) and ER &amp; alpha; and cyclin D1 downregulation were discovered in MCF-7 cells treated with lead secosteroid-1,2,4-triazole hybrid 4b. The synthesized secosteroids may be considered as new promising anticancer agents.</t>
  </si>
  <si>
    <t>[Ilovaisky, Alexey I.; Chernoburova, Elena I.; Povarov, Andrey A.; Shchetinina, Marina A.; Merkulova, Valentina M.; Bozhenko, Eugene I.; Zavarzin, Igor, V; Terent'ev, Alexander O.] Russian Acad Sci, ND Zelinsky Inst Organ Chem, Leninsky Prospect 47, Moscow 119991, Russia; [Scherbakov, Alexander M.; Salnikova, Diana I.; Sorokin, Danila, V] NN Blokhin Natl Med Res Ctr Oncol, Kashirskoye Shosse 24, Moscow 115522, Russia</t>
  </si>
  <si>
    <t>Russian Academy of Sciences; Zelinsky Institute of Organic Chemistry</t>
  </si>
  <si>
    <t>Terent'ev, AO (corresponding author), Russian Acad Sci, ND Zelinsky Inst Organ Chem, Leninsky Prospect 47, Moscow 119991, Russia.</t>
  </si>
  <si>
    <t>alterex@yandex.ru</t>
  </si>
  <si>
    <t>0960-0760</t>
  </si>
  <si>
    <t>1879-1220</t>
  </si>
  <si>
    <t>J STEROID BIOCHEM</t>
  </si>
  <si>
    <t>J. Steroid Biochem. Mol. Biol.</t>
  </si>
  <si>
    <t>10.1016/j.jsbmb.2023.106386</t>
  </si>
  <si>
    <t>S8VH1</t>
  </si>
  <si>
    <t>WOS:001073885100001</t>
  </si>
  <si>
    <t>Inkawhich, M; Shingler, J; Ketchum, RS; Pan, W; Norwood, RA; Hickenbottom, KL</t>
  </si>
  <si>
    <t>Inkawhich, Mikah; Shingler, Jeb; Ketchum, Remington S.; Pan, Wei; Norwood, Robert A.; Hickenbottom, Kerri L.</t>
  </si>
  <si>
    <t>Temporal performance indicators for an integrated pilot-scale membrane distillation-concentrated solar power/photovoltaic system</t>
  </si>
  <si>
    <t>Solar -thermal desalination; Membrane distillation; Inland concentrate management; Process intensification</t>
  </si>
  <si>
    <t>SEAWATER DESALINATION; TECHNOECONOMIC ASSESSMENT; ENERGY; EFFICIENCY; PLANT; OPTIMIZATION; CHALLENGES; OPERATION; BRINES</t>
  </si>
  <si>
    <t>Management of concentrate streams in inland applications has uncertain long-term environmental impacts. This study investigates an intensified solar-energy capture desalination system that integrates membrane distillation (MD) with a hybrid concentrated solar power (CSP)/photovoltaic (PV) collector to realize self-sustained zerowaste discharge for effective management of concentrate streams in inland and off-grid applications. The demonstration-scale CSP/PV system can produce up to 178 kWh of thermal energy and 4 kWh of electrical energy per day. The thermal and electrical energy from the CSP/PV system is directly supplied to the air gap MD (AGMD) pilot-scale system producing up to 288 L of distilled water per day. Experiments were performed on the hybrid AGMD-CSP/PV system to evaluate system performance under various operating conditions including AGMD and CSP flow rates, CSP system pre-heating, and AGMD vacuum pressure. Experimental results indicate that doubling the AGMD flow rate results in a 119% increase in thermal energy utilization and a 71% increase in distillate production. Compared to the winter months, operating the system in summer months when direct normal irradiance (DNI) is highest results in nearly double the distillate production (88 L in winter , 168 L in summer) and nearly three times the amount of thermal energy consumption (15 kWh in winter and 43 kWh in summer). Operating with vacuum resulted in a 34% increase in distillate production and allowing the thermal storage reservoir to preheat in the winter resulted in a 61% increase in distillate production. Overall, experi-mental results highlight the tradeoff between distillate production and thermal and electrical energy production and consumption under various environmental conditions and the potential for AGMD-CSP/PV to be a stand-alone desalination system.</t>
  </si>
  <si>
    <t>[Inkawhich, Mikah; Shingler, Jeb; Hickenbottom, Kerri L.] Univ Arizona, Dept Chem &amp; Environm Engn, Tucson, AZ 85721 USA; [Inkawhich, Mikah; Shingler, Jeb; Hickenbottom, Kerri L.] Univ Arizona, Water &amp; Energy Sustainable Technol WEST Ctr, Tucson, AZ 85745 USA; [Ketchum, Remington S.; Norwood, Robert A.] Univ Arizona, Wyant Coll Opt Sci, Tucson, AZ 85721 USA; [Pan, Wei] DWP Energy Solut, Vancouver, WA 98683 USA</t>
  </si>
  <si>
    <t>University of Arizona; University of Arizona; University of Arizona</t>
  </si>
  <si>
    <t>Hickenbottom, KL (corresponding author), Univ Arizona, Dept Chem &amp; Environm Engn, Tucson, AZ 85721 USA.</t>
  </si>
  <si>
    <t>klh15@arizona.edu</t>
  </si>
  <si>
    <t>U.S. Department of Energy's Office of Energy Efficiency and Renewable Energy (EERE) under the Advanced Manufacturing Office [DE-EE0007888]; U.S. Department of Education Graduate Assistance in Areas of National Need (GAANN) Fellowship; Hickenbottom Environmental Research lab</t>
  </si>
  <si>
    <t>U.S. Department of Energy's Office of Energy Efficiency and Renewable Energy (EERE) under the Advanced Manufacturing Office(United States Department of Energy (DOE)); U.S. Department of Education Graduate Assistance in Areas of National Need (GAANN) Fellowship; Hickenbottom Environmental Research lab</t>
  </si>
  <si>
    <t>This material is based upon work supported by the U.S. Department of Energy's Office of Energy Efficiency and Renewable Energy (EERE) under the Advanced Manufacturing Office Award Number DE-EE0007888, the Hickenbottom Environmental Research lab, and the U.S. Department of Education Graduate Assistance in Areas of National Need (GAANN) Fellowship (Mikah Inkawhich Fellowship recipient) . The authors would like to acknowledge Aquastill for providing mem-brane modules and technical support, and Mike Fraser and Jeff Bliznick for their engineering support.</t>
  </si>
  <si>
    <t>10.1016/j.apenergy.2023.121675</t>
  </si>
  <si>
    <t>P7UY2</t>
  </si>
  <si>
    <t>WOS:001052698500001</t>
  </si>
  <si>
    <t>Izquierdo, A; Dolz-Del-Castellar, B; Miret, M; Olaya, B; Haro, JM; Ayuso-Mateos, JL; Lara, E</t>
  </si>
  <si>
    <t>Izquierdo, Ana; Dolz-Del-Castellar, Blanca; Miret, Marta; Olaya, Beatriz; Haro, Josep Maria; Ayuso-Mateos, Jose Luis; Lara, Elvira</t>
  </si>
  <si>
    <t>Sex differences in the symptom network structure of depression: Findings from a nationwide sample of the Spanish adult population</t>
  </si>
  <si>
    <t>JOURNAL OF AFFECTIVE DISORDERS</t>
  </si>
  <si>
    <t>Sex; Network analysis; Depressive symptoms; Spain</t>
  </si>
  <si>
    <t>GENDER-DIFFERENCES; MAJOR DEPRESSION; ALZHEIMERS-DISEASE; MENTAL-DISORDERS; HEALTH; LIFE; DETERMINANTS; ASSOCIATION; DYSFUNCTION; PREVALENCE</t>
  </si>
  <si>
    <t>Background: Sex differences in the prevalence and clinical features of depression have been widely described. However, some authors argue that categorical diagnostic systems do not adequately capture the complexity of depression. The aim of this study was to examine sex differences in the symptom network structure of depressive symptoms among individuals with a major depressive episode. Methods: The study sample consisted of 510 participants (age 62.17 &amp; PLUSMN; 14.43, 71.96 % women) from a nationwide study of the Spanish non-institutionalised adult population (Edad con Salud). To estimate the presence of a 12month major depressive episode according to DSM-IV criteria, participants were administered an adapted version of the Composite International Diagnostic Interview (CIDI 3.0). A network analysis was carried out to determine possible interrelationships between different depressive symptoms by sex. Results: Men and women showed a similar overall structure and network strength. However, sex-specific variations emerged in relation to individual symptom associations and symptom centrality. Specifically, for individual symptom associations loss of confidence and suicide attempts were more strongly related in women, and suicidal ideation and impaired thinking in men. For symptom centrality, anxiety played a central role in men's symptomatology, whereas hopelessness, loss of confidence, distress and slowness of movement were the most central symptoms in the women's group. Limitations: Reliance on cross-sectional data precludes us from determining the direction and temporality of the association between different symptoms. Conclusions: This study suggests that specific symptoms should be prioritised in the prevention, diagnosis assessment and treatment of depressed patients based on sex.</t>
  </si>
  <si>
    <t>[Izquierdo, Ana; Dolz-Del-Castellar, Blanca; Miret, Marta; Ayuso-Mateos, Jose Luis] Univ Autonoma Madrid, Dept Psychiat, Madrid, Spain; [Izquierdo, Ana; Dolz-Del-Castellar, Blanca; Miret, Marta; Olaya, Beatriz; Haro, Josep Maria; Ayuso-Mateos, Jose Luis; Lara, Elvira] Inst Salud Carlos III, Ctr Invest Biomed Red Salud Mental, CIBERSAM, Madrid, Spain; [Izquierdo, Ana; Dolz-Del-Castellar, Blanca; Ayuso-Mateos, Jose Luis; Lara, Elvira] Hosp Univ La Princesa, Inst Invest Sanitaria, IIS Princesa, Madrid, Spain; [Olaya, Beatriz; Haro, Josep Maria] St Joan de Deu Res Inst, Epidemiol Mental Hlth Disorders &amp; Ageing Res Grp, Esplugas de Llobregat, Spain; [Olaya, Beatriz; Haro, Josep Maria] Univ Barcelona, Res Innovat &amp; Teaching Unit, Parc Sanitaria St Joan Deu, St Boi De Llobregat, Barcelona, Spain; [Lara, Elvira] Univ Complutense Madrid, Dept Personal Evaluat &amp; Clin Psychol, Madrid, Spain</t>
  </si>
  <si>
    <t>Autonomous University of Madrid; CIBER - Centro de Investigacion Biomedica en Red; CIBERSAM; Instituto de Salud Carlos III; Hospital de La Princesa; University of Barcelona; Complutense University of Madrid</t>
  </si>
  <si>
    <t>Izquierdo, A (corresponding author), Univ Autonoma Madrid, Dept Psychiat, Madrid, Spain.;Izquierdo, A (corresponding author), Inst Salud Carlos III, Ctr Invest Biomed Red Salud Mental, CIBERSAM, Madrid, Spain.;Izquierdo, A (corresponding author), Hosp Univ La Princesa, Inst Invest Sanitaria, IIS Princesa, Madrid, Spain.</t>
  </si>
  <si>
    <t>ana.izquierdo@uam.es</t>
  </si>
  <si>
    <t>Lara, Elvira/0000-0002-7424-2198; Izquierdo Zarzo, Ana/0000-0002-4016-2296</t>
  </si>
  <si>
    <t>European Community's Seventh Framework Programme (FP7/2007-2013) [223071]; Spanish Ministry of Science and Innovation ACI-Promociona [ACI2009-1010]; Instituto de Salud Carlos III-FIS [PS09/00295, PS09/01845]</t>
  </si>
  <si>
    <t>European Community's Seventh Framework Programme (FP7/2007-2013)(European Union (EU)); Spanish Ministry of Science and Innovation ACI-Promociona(Spanish Government); Instituto de Salud Carlos III-FIS(Instituto de Salud Carlos III)</t>
  </si>
  <si>
    <t>This work was supported by the European Community's Seventh Framework Programme (FP7/2007-2013) (grant agreement number 223071, COURAGE in Europe); from the Spanish Ministry of Science and Innovation ACI-Promociona (grant number ACI2009-1010); and the Instituto de Salud Carlos III-FIS (research grant numbers PS09/00295 and PS09/01845).</t>
  </si>
  <si>
    <t>0165-0327</t>
  </si>
  <si>
    <t>1573-2517</t>
  </si>
  <si>
    <t>J AFFECT DISORDERS</t>
  </si>
  <si>
    <t>J. Affect. Disord.</t>
  </si>
  <si>
    <t>10.1016/j.jad.2023.08.081</t>
  </si>
  <si>
    <t>Clinical Neurology; Psychiatry</t>
  </si>
  <si>
    <t>Neurosciences &amp; Neurology; Psychiatry</t>
  </si>
  <si>
    <t>R5MT6</t>
  </si>
  <si>
    <t>WOS:001064799000001</t>
  </si>
  <si>
    <t>Jamil, S; Khan, A; Ansari, H</t>
  </si>
  <si>
    <t>Jamil, Saifullah; Khan, Ayesha; Ansari, Hamza</t>
  </si>
  <si>
    <t>Comment on Severe Sleep Apnea as a Predictor of Failure to Respond to Cardiac Resynchronization Therapy</t>
  </si>
  <si>
    <t>CURRENT PROBLEMS IN CARDIOLOGY</t>
  </si>
  <si>
    <t>[Jamil, Saifullah] DUHS, Dow Med Coll, Karachi, Pakistan; [Khan, Ayesha] Dow Univ Hlth Sci, Karachi, Pakistan; [Ansari, Hamza] Dow Univ Hlth Sci, North Karachi, Pakistan; [Jamil, Saifullah] Askari 5, Karachi, Pakistan</t>
  </si>
  <si>
    <t>Dow University of Health Sciences; Dow University of Health Sciences</t>
  </si>
  <si>
    <t>Jamil, S (corresponding author), Askari 5, Karachi, Pakistan.</t>
  </si>
  <si>
    <t>saifullah.jamil90@gmail.com</t>
  </si>
  <si>
    <t>Jamil, Saifullah/0009-0000-7408-7098</t>
  </si>
  <si>
    <t>MOSBY-ELSEVIER</t>
  </si>
  <si>
    <t>360 PARK AVENUE SOUTH, NEW YORK, NY 10010-1710 USA</t>
  </si>
  <si>
    <t>0146-2806</t>
  </si>
  <si>
    <t>1535-6280</t>
  </si>
  <si>
    <t>CURR PROB CARDIOLOGY</t>
  </si>
  <si>
    <t>Curr. Probl. Cardiol.</t>
  </si>
  <si>
    <t>10.1016/j.cpcardiol.2023.101971</t>
  </si>
  <si>
    <t>Cardiac &amp; Cardiovascular Systems</t>
  </si>
  <si>
    <t>Cardiovascular System &amp; Cardiology</t>
  </si>
  <si>
    <t>P3VF3</t>
  </si>
  <si>
    <t>WOS:001049946600001</t>
  </si>
  <si>
    <t>Jelsch, M; Roggo, Y; Brewer, M; Geczi, ZA; Heger, P; Kleinebudde, P; Krumme, M</t>
  </si>
  <si>
    <t>Jelsch, Morgane; Roggo, Yves; Brewer, Mark; Geczi, Zsolt-Adam; Heger, Philipp; Kleinebudde, Peter; Krumme, Markus</t>
  </si>
  <si>
    <t>Advanced process automation of a pharmaceutical continuous wet granulation line: Perspectives on the application of a model predictive control from solid feeders to dryer</t>
  </si>
  <si>
    <t>POWDER TECHNOLOGY</t>
  </si>
  <si>
    <t>Model predictive control; Pharmaceutical continuous manufacturing; Wet granulation; Control structure design and implementation; Process analytical technology; Advanced automation</t>
  </si>
  <si>
    <t>CONTROL-SYSTEM; IMPLEMENTATION; TECHNOLOGY</t>
  </si>
  <si>
    <t>Pharmaceutical continuous manufacturing provides the appropriate tools (e.g. the understanding of process dynamics and appropriate and adaptable control strategy) in order to deal with Quality-by-Design expectations and even to the future smart manufacturing described by Quality-by-Control. Those tools form part of the given framework of the regulatory agencies led by an effective quality risk management. Soft sensors and control algorithms such as model predictive control are stepping stones for more agile processes and increased robustness by keeping the quality attributes of the final drug product in their acceptable ranges and by mitigating undesired events. The implementation of a model predictive control (MPC) system on a pharmaceutical continuous manufacturing plant for the wet granulation process is described. The control objectives and strategy are presented as well as the selected variables, the process dynamics identification, the MPC performance and its specific tuning where a commercial software has been used, setting the framework of this study. MPCs have been applied successfully on two pharmaceutical drug products (Diclofenac and Paracetamol): an accurate control of the API content and of the LOD was achieved in order to produce a constant quality of tablets on both drug products. In addition, some of the process parameters have been identified as mandatory to be step tested for each change of drug product, leading to a simplified MPC implementation.</t>
  </si>
  <si>
    <t>[Jelsch, Morgane; Roggo, Yves; Geczi, Zsolt-Adam; Heger, Philipp; Krumme, Markus] Novartis Pharm AG, Basel, Switzerland; [Brewer, Mark] Northshore One, Emerson Automation Solut, North Shore Rd, Stockton On Tees TS18 2NB, England; [Geczi, Zsolt-Adam] Emerson Automation Solut, POB 1461, CH-6340 Baar, Switzerland; [Kleinebudde, Peter] Heinrich Heine Univ, Dusseldorf, Germany; [Krumme, Markus] Novartis Pharm AG, Fabrikstr 2,WSJ 027-1-015, CH-4056 Basel, Switzerland</t>
  </si>
  <si>
    <t>Novartis; Heinrich Heine University Dusseldorf; Novartis</t>
  </si>
  <si>
    <t>Krumme, M (corresponding author), Novartis Pharm AG, Fabrikstr 2,WSJ 027-1-015, CH-4056 Basel, Switzerland.</t>
  </si>
  <si>
    <t>markus.krumme@novartis.com</t>
  </si>
  <si>
    <t>Novartis Pharma AG</t>
  </si>
  <si>
    <t>The authors declare the following financial interests/personal re-lationships which may be considered as potential competing interests: Markus Krumme reports financial support was provided by Novartis Pharma AG. Morgane Jelsch reports financial support was provided by Novartis Pharma AG. Yves Roggo reports financial support was provided by Novartis Pharma AG. Philipp Heger reports financial support was provided by Novartis Pharma AG. Mark Brewer reports financial support was provided by Novartis Pharma AG. Zsolt-Adam Geczi reports finan-cial support was provided by Novartis Pharma AG. Markus Krumme reports a relationship with Novartis Pharma AG that includes: employment. Morgane Jelsch, Philipp Heger, Yves Roggo are employed by Novartis Pharma AG. Mark Brewer, Zsolt-Adam Geczi are employed by Emerson, but under contract to Novartis Pharma AG, who is the sole funding source.</t>
  </si>
  <si>
    <t>0032-5910</t>
  </si>
  <si>
    <t>1873-328X</t>
  </si>
  <si>
    <t>POWDER TECHNOL</t>
  </si>
  <si>
    <t>Powder Technol.</t>
  </si>
  <si>
    <t>10.1016/j.powtec.2023.118936</t>
  </si>
  <si>
    <t>S7SQ2</t>
  </si>
  <si>
    <t>WOS:001073135200001</t>
  </si>
  <si>
    <t>Jiang, H; Deng, JH; Chen, QS</t>
  </si>
  <si>
    <t>Jiang, Hui; Deng, Jihong; Chen, Quansheng</t>
  </si>
  <si>
    <t>Olfactory sensor combined with chemometrics analysis to determine fatty acid in stored wheat</t>
  </si>
  <si>
    <t>Wheat; Fatty acid value; Olfactory sensor; Dung beetle optimizer; Feature optimization</t>
  </si>
  <si>
    <t>TVB-N CONTENT; ARRAY</t>
  </si>
  <si>
    <t>Fatty acids are a key index for measuring wheat storage quality. This study provides a quantitative method for determining fatty acids in stored wheat using an olfactory sensor technique. A 4 x 3 olfactory sensor array was prepared using 12 chemical dyes (porphyrins) to collect volatile odor information from stored wheat. A dung beetle optimizer (DBO) algorithm was used to determine the best characteristic color variable combination for the olfactory sensor, and a wheat fatty acid value detection model based on support vector regression (SVR) was established. The results showed that the DBO algorithm can effectively screen out characteristic color variables that are closely related to the wheat fatty acid value. The SVR detection model built on the 11 characteristic color variables selected by the DBO algorithm exhibited the best performance. The root mean square error of prediction was 3.0384 mg/100 g, and the coefficient of correlation (RP) was 0.9413. These results demonstrate that the olfactory sensor prepared by our team has a promising application potential in the quality inspection of stored grains.</t>
  </si>
  <si>
    <t>[Jiang, Hui; Deng, Jihong] Jiangsu Univ, Sch Elect &amp; Informat Engn, Zhenjiang 212013, Peoples R China; [Chen, Quansheng] Jimei Univ, Coll Ocean Food &amp; Biol Engn, Xiamen 361021, Peoples R China</t>
  </si>
  <si>
    <t>Jiangsu University; Jimei University</t>
  </si>
  <si>
    <t>Jiang, H (corresponding author), Jiangsu Univ, Sch Elect &amp; Informat Engn, Zhenjiang 212013, Peoples R China.;Chen, QS (corresponding author), Jimei Univ, Coll Ocean Food &amp; Biol Engn, Xiamen 361021, Peoples R China.</t>
  </si>
  <si>
    <t>h.v.jiang@ujs.edu.cn; chenqs@jmu.edu.cn</t>
  </si>
  <si>
    <t>Chen, Quansheng/S-7064-2016</t>
  </si>
  <si>
    <t>Chen, Quansheng/0000-0003-2498-3278</t>
  </si>
  <si>
    <t>National Natural Science Foundation of China; [32172291]</t>
  </si>
  <si>
    <t>Acknowledgements The authors gratefully acknowledge the financial support provided by the National Natural Science Foundation of China (grant number 32172291) .</t>
  </si>
  <si>
    <t>10.1016/j.foodcont.2023.109942</t>
  </si>
  <si>
    <t>Q5WR3</t>
  </si>
  <si>
    <t>WOS:001058229700001</t>
  </si>
  <si>
    <t>Jiang, QZ; Zhu, YX; Du, YJ; Lei, J; Zhang, YY; Xue, XW; Dong, HR; Liu, YY; Yang, JX; Wang, MH; Sun, Y; Xu, HY; Feng, D; Liu, A; Liu, J; Cao, J; Wang, YW; Sun, QH; Meng, X; Fang, JL; Chen, RJ; Li, TT; Kan, HD</t>
  </si>
  <si>
    <t>Jiang, Qizheng; Zhu, Yixiang; Du, Yanjun; Lei, Jian; Zhang, Yingying; Xue, Xiaowei; Dong, Haoran; Liu, Yuanyuan; Yang, Jinxia; Wang, Minghao; Sun, Yue; Xu, Huaiyue; Feng, Da; Liu, An; Liu, Jing; Cao, Jing; Wang, Yanwen; Sun, Qinghua; Meng, Xia; Fang, Jianlong; Chen, Renjie; Li, Tiantian; Kan, Haidong</t>
  </si>
  <si>
    <t>Evaluating the effectiveness of air purification in the real-world living and learning environment for pupils: A randomized, double-blind, crossover intervention trial</t>
  </si>
  <si>
    <t>PM2; 5; Air purification interventions; PersonalPM2; 5 exposure; Determinants; Pupils</t>
  </si>
  <si>
    <t>FINE PARTICULATE MATTER; PERSONAL PM2.5 EXPOSURE; AMBIENT PM2.5; INDOOR; POLLUTION; HOUSEHOLDS; PARTICLES; CHILDREN; CLEANERS; PURIFIER</t>
  </si>
  <si>
    <t>Air purification has been proven to be an effective method for reducing personal fine particulate matte (PM2.5) exposure. A randomized, double-blind, crossover intervention trial involving 105 elementary school pupils in Mengzhou, China was conducted to investigate the effects of air purification interventions in living rooms and classrooms and evaluate the personal PM2.5 exposure determinants. Real-time PM2.5 samplers were used to monitor PM2.5 concentrations and questionnaires were used to collect basic information about pupils and their parents. The time-weighted method was applied to calculate personal PM2.5 concentrations and the mixed-effects model was used to examine the personal PM2.5 exposure determinants. The purification efficiencies of air devices were 32.5%-54.8% and 81.6%-92.4% in the living rooms and classrooms, respec-tively. Personal PM2.5 concentrations in the intervention group were lower than that in the control group. Air purification interventions, ambient PM2.5, indoor humidity, indoor temperature, temperature difference, and environmental tobacco smoke exposure were significant determinants of personal PM2.5 exposure. The living room and classroom interventions contributed to 42.31% [95% confidence interval (CI): 45.28%, 39.17%] and 21.34% (95% CI: 24.89%, 17.61%) reductions in personal PM2.5 exposure, respectively. These findings suggest that air purification interventions were effective in reducing personal PM2.5 exposure of pupils and living rooms intervention was the effective intervention method.&amp; COPY; 2023 Published by Elsevier B.V. This is an open access article under the CC BY-NC-ND license (http://creativecommons.org/licenses/by-nc-nd/4.0/).</t>
  </si>
  <si>
    <t>[Jiang, Qizheng; Du, Yanjun; Zhang, Yingying; Dong, Haoran; Liu, Yuanyuan; Yang, Jinxia; Wang, Minghao; Sun, Yue; Xu, Huaiyue; Feng, Da; Liu, An; Liu, Jing; Cao, Jing; Wang, Yanwen; Sun, Qinghua; Fang, Jianlong; Li, Tiantian] Chinese Ctr Dis Control &amp; Prevent, Natl Inst Environm Hlth, China CDC Key Lab Environm &amp; Human Hlth, Beijing 100021, Peoples R China; [Zhu, Yixiang; Lei, Jian; Xue, Xiaowei; Meng, Xia; Chen, Renjie; Kan, Haidong] Fudan Univ, Key Lab Hlth Technol Assessment, Minist Hlth, Shanghai 200032, Peoples R China; [Zhu, Yixiang; Lei, Jian; Xue, Xiaowei; Meng, Xia; Chen, Renjie; Kan, Haidong] Fudan Univ, Sch Publ Hlth, Key Lab Publ Hlth Safety, Minist Educ, Shanghai 200032, Peoples R China; [Li, Tiantian] Nanjing Med Univ, Ctr Global Hlth, Sch Publ Hlth, Nanjing 211166, Jiangsu, Peoples R China</t>
  </si>
  <si>
    <t>Chinese Center for Disease Control &amp; Prevention; National Institute of Environmental Health, Chinese Center for Disease Control &amp; Prevention; Fudan University; Fudan University; Nanjing Medical University</t>
  </si>
  <si>
    <t>Fang, JL (corresponding author), Chinese Ctr Dis Control &amp; Prevent, Natl Inst Environm Hlth, China CDC Key Lab Environm &amp; Human Hlth, Beijing 100021, Peoples R China.;Meng, X (corresponding author), Fudan Univ, Key Lab Hlth Technol Assessment, Minist Hlth, Shanghai 200032, Peoples R China.;Meng, X (corresponding author), Fudan Univ, Sch Publ Hlth, Key Lab Publ Hlth Safety, Minist Educ, Shanghai 200032, Peoples R China.</t>
  </si>
  <si>
    <t>fangjianlong@nieh.chinacdc.cn; mengxia@fudan.edu.cn</t>
  </si>
  <si>
    <t>National Natural Science Foundation of China [92043301]</t>
  </si>
  <si>
    <t>Acknowledgments This study was funded by the National Natural Science Foundation of China (NO. 92043301) . The authors appreciated the contributions of all participants in this study.</t>
  </si>
  <si>
    <t>10.1016/j.eti.2023.103294</t>
  </si>
  <si>
    <t>P6ID0</t>
  </si>
  <si>
    <t>WOS:001051682300001</t>
  </si>
  <si>
    <t>Jiang, YY; Li, L; Hu, YJ</t>
  </si>
  <si>
    <t>Jiang, Yiyuan; Li, Li; Hu, Yujin</t>
  </si>
  <si>
    <t>Strain gradient viscoelasticity theory of polymer networks</t>
  </si>
  <si>
    <t>INTERNATIONAL JOURNAL OF ENGINEERING SCIENCE</t>
  </si>
  <si>
    <t>Strain gradient; Viscoelasticity; Polymer network</t>
  </si>
  <si>
    <t>ELASTICITY; MODEL; NANOCOMPOSITES; FORMULATION</t>
  </si>
  <si>
    <t>A physically-based strain gradient viscoelasticity theory is proposed specially for polymer networks, accounting for the strain gradient effect and the history-dependent behavior, where the microstructure-dependence and history-dependence of stress and hyperstress are interpreted physically and quantitatively. The chain representation of the Helmholtz free energy density is transferred to the strain gradient continuum field representation through the geometric (spatial) connection between the chain stretch ratio and the continuum deformation measure. The necessity of using strain gradients to characterize asymmetric deformation of the microstructure of polymer networks serves as the origin of microstructure-dependent hyperstress, which is work-conjugated to the strain gradient field. The free energy per chain is assumed history -dependent to account for chain-environment interactions (e.g., friction between segments), which ultimately results in the history-dependent behavior of polymeric solids. A general constitutive relation is provided, which together with the assumed network structure, gives a concrete one. It is shown that independent of the assumed network structure, the stress, and the hyperstress share the same dimensionless relaxation function. A strain gradient viscoelastic constitutive relation based on the eight-chain network is applied to the analysis of polymer nanocomposites, where the complex moduli are rationally defined and calculated numerically. It is found that the strain gradient effect can be viewed as an amplifier that transforms the strain-induced stress into the effective stress.</t>
  </si>
  <si>
    <t>[Jiang, Yiyuan; Li, Li; Hu, Yujin] Huazhong Univ Sci &amp; Technol, Sch Mech Sci &amp; Engn, State Key Lab Intelligent Mfg Equipment &amp; Technol, Wuhan 430074, Peoples R China</t>
  </si>
  <si>
    <t>Huazhong University of Science &amp; Technology</t>
  </si>
  <si>
    <t>Li, L (corresponding author), Huazhong Univ Sci &amp; Technol, Sch Mech Sci &amp; Engn, State Key Lab Intelligent Mfg Equipment &amp; Technol, Wuhan 430074, Peoples R China.</t>
  </si>
  <si>
    <t>lili_em@hust.edu.cn</t>
  </si>
  <si>
    <t>Li, Li/J-1564-2014</t>
  </si>
  <si>
    <t>Li, Li/0000-0002-9805-3957</t>
  </si>
  <si>
    <t>National Natural Science Foundation of China [2022AAA0102]; Science and Technology Project of Liuzhou China; Young Top-notch Talent Cultivation Program of Hubei Province; [52175095]</t>
  </si>
  <si>
    <t>National Natural Science Foundation of China(National Natural Science Foundation of China (NSFC)); Science and Technology Project of Liuzhou China; Young Top-notch Talent Cultivation Program of Hubei Province;</t>
  </si>
  <si>
    <t>Acknowledgments This work is supported by the National Natural Science Foundation of China (Grant No. 52175095) , the Science and Technology Project of Liuzhou China (Grant No. 2022AAA0102) and the Young Top-notch Talent Cultivation Program of Hubei Province.</t>
  </si>
  <si>
    <t>0020-7225</t>
  </si>
  <si>
    <t>1879-2197</t>
  </si>
  <si>
    <t>INT J ENG SCI</t>
  </si>
  <si>
    <t>Int. J. Eng. Sci.</t>
  </si>
  <si>
    <t>10.1016/j.ijengsci.2023.103937</t>
  </si>
  <si>
    <t>Engineering, Multidisciplinary</t>
  </si>
  <si>
    <t>Q7SO2</t>
  </si>
  <si>
    <t>WOS:001059487000001</t>
  </si>
  <si>
    <t>Jiang, ZQ; Yang, XF; Zhang, AL; Hua, XS; Liu, XC</t>
  </si>
  <si>
    <t>Jiang, Zi-Qin; Yang, Xiao-Feng; Zhang, Ai-Lin; Hua, Xing-Shang; Liu, Xue-Chun</t>
  </si>
  <si>
    <t>Simplified restoring force model of earthquake-resilient prefabricated column foot joint with lateral force-resisting energy-consuming device</t>
  </si>
  <si>
    <t>Restoring force model; Earthquake-resilience; Prefabricated column foot joint; Lateral force-resisting energy-consuming de; vice; Simplified skeleton model; Numerical simulation</t>
  </si>
  <si>
    <t>STEEL; BEHAVIOR</t>
  </si>
  <si>
    <t>Achieving controlled damage and earthquake resilience of column foot joints is the key to improving the overall performance of the structure. Besides, the restoring force model of the joint is the basis of seismic analysis of the structural system. Based on the new type of earthquake-resilient prefabricated column foot joint (PCFJ) with lateral force-resisting energy-consuming device (LRECD) previously proposed by the authors, the seismic performance of PCFJ is demonstrated by means of finite element (FE) simulation, and a total of eight groups of 42 FE models are designed to establish the corresponding restoring force model of PCFJ in this paper. The critical data, such as skeleton curves and hysteresis curves, are obtained. Then, based on the curve development law and the test data of full-scale specimen, a tri-linear simplified skeleton curve model and a three-stage simplified restoring force model are proposed and the key parameters are determined. The research shows that the new prefabricated column foot joint has good seismic performance, energy dissipation capacity, and it can be used as a damper. In the absence of sufficient test data samples, the established modified simplified restoring force model is in good agreement with the simulation results and test results, which can reflect the hysteresis performance of this new joint and provide a theoretical basis for the seismic analysis of PCFJs.</t>
  </si>
  <si>
    <t>[Jiang, Zi-Qin; Yang, Xiao-Feng; Zhang, Ai-Lin; Hua, Xing-Shang; Liu, Xue-Chun] Beijing Univ Technol, Key Lab Urban Secur &amp; Disaster Engn, Minist Educ, Beijing 100124, Peoples R China; [Jiang, Zi-Qin; Zhang, Ai-Lin] Beijing Adv Innovat Ctr Future Urban Design, Beijing 100044, Peoples R China; [Yang, Xiao-Feng] Tsinghua Univ, Dept Civil Engn, Beijing 100084, Peoples R China</t>
  </si>
  <si>
    <t>Beijing University of Technology; Tsinghua University</t>
  </si>
  <si>
    <t>Zhang, AL (corresponding author), Beijing Univ Technol, Key Lab Urban Secur &amp; Disaster Engn, Minist Educ, Beijing 100124, Peoples R China.;Zhang, AL (corresponding author), Beijing Adv Innovat Ctr Future Urban Design, Beijing 100044, Peoples R China.</t>
  </si>
  <si>
    <t>zhangal@bjut.edu.cn</t>
  </si>
  <si>
    <t>National Natural Science Foundation of China [52078013]</t>
  </si>
  <si>
    <t>Acknowledgements It is supported by the National Natural Science Foundation of China (Grant No. 52078013) .</t>
  </si>
  <si>
    <t>10.1016/j.istruc.2023.105027</t>
  </si>
  <si>
    <t>S4AR4</t>
  </si>
  <si>
    <t>WOS:001070616500001</t>
  </si>
  <si>
    <t>Joshi, A; Pradhan, B; Chakraborty, S; Behera, MD</t>
  </si>
  <si>
    <t>Joshi, Abhasha; Pradhan, Biswajeet; Chakraborty, Subrata; Behera, Mukunda Dev</t>
  </si>
  <si>
    <t>Winter wheat yield prediction in the conterminous United States using solar-induced chlorophyll fluorescence data and XGBoost and random forest algorithm</t>
  </si>
  <si>
    <t>ECOLOGICAL INFORMATICS</t>
  </si>
  <si>
    <t>Crop yield prediction; Solar-induced chlorophyll fluorescence (SIF); Machine learning; Variable importance; Climate data</t>
  </si>
  <si>
    <t>REMOTELY-SENSED DATA; VEGETATION INDEXES; CROP; SYSTEMS; RICE; PRODUCTIVITY; ASSIMILATION; PERFORMANCE; SATELLITE; STRESS</t>
  </si>
  <si>
    <t>Predicting crop yield before harvest and understanding the factors determining yield at a regional scale is vital for global food security, supply chain management in agribusiness, crop and insurance pricing and optimising crop production. Often satellite remote sensing data, environmental data or their combinations are used to model crop yield at a regional scale. However, their contribution, including that of recently developed remote sensing data like solar-induced chlorophyll fluorescence (SIF) and near-infrared reflectance of vegetation (NIRv), are not explored sufficiently. This study aims to assess the contribution of weather, soil and remote sensing data to estimate wheat yield prediction at a regional scale. For this, we employed four types of remote sensing data, thirteen climatic variables, four soil variables, and nationwide yield data of 14 years combined with statistical learning methods to predict winter wheat yield in the Conterminous United States (CONUS) and access the role of predicting variables. Machine-learning algorithms were used to build yield prediction models in different experimental settings, and predictive performance was evaluated. Further, the relative importance of predictor variables for the models was assessed to gain insight into the model's behaviour. NIRv and SIF data are found to be promising for crop yield prediction. The model with only NIRv data explained up to 64% of the variability in yield, and adding SIF data improved it to 69%. We also found that vegetation indices, SIF, climate and soil data all contribute unique and overlapping information to crop yield prediction. The study also identified important variables and the time of the growing period when these variables have higher explanatory power for winter wheat yield prediction. This study enhanced our knowledge of yield-predicting variables, which will contribute to optimising the yield and developing better yield prediction models.</t>
  </si>
  <si>
    <t>[Joshi, Abhasha; Pradhan, Biswajeet; Chakraborty, Subrata] Univ Technol Sydney, Fac Engn &amp; IT, Ctr Adv Modelling &amp; Geospatial Informat Syst CAMGI, Sch Civil &amp; Environm Engn, Ultimo, NSW 2007, Australia; [Pradhan, Biswajeet] Univ Kebangsaan Malaysia, Inst Climate Change, Earth Observat Ctr, Bangi 43600, Selangor, Malaysia; [Chakraborty, Subrata] Univ New England, Fac Sci Agr Business &amp; Law, Sch Sci &amp; Technol, Armidale, NSW 2351, Australia; [Behera, Mukunda Dev] Indian Inst Technol Kharagpur, Ctr Ocean River Atmosphere &amp; Land Sci CORAL, Kharagpur 721302, India</t>
  </si>
  <si>
    <t>University of Technology Sydney; Universiti Kebangsaan Malaysia; University of New England; Indian Institute of Technology System (IIT System); Indian Institute of Technology (IIT) - Kharagpur</t>
  </si>
  <si>
    <t>Pradhan, B (corresponding author), Univ Technol Sydney, Fac Engn &amp; IT, Ctr Adv Modelling &amp; Geospatial Informat Syst CAMGI, Sch Civil &amp; Environm Engn, Ultimo, NSW 2007, Australia.</t>
  </si>
  <si>
    <t>Biswajeet.Pradhan@uts.edu.au</t>
  </si>
  <si>
    <t>Chakraborty, Subrata/IXX-0792-2023</t>
  </si>
  <si>
    <t>Chakraborty, Subrata/0000-0002-0102-5424</t>
  </si>
  <si>
    <t>Centre for Advanced Modelling and Geospatial Information Systems (CAMGIS) , University of Technology Sydney; Australian Government Research Training Program Scholarship</t>
  </si>
  <si>
    <t>Centre for Advanced Modelling and Geospatial Information Systems (CAMGIS) , University of Technology Sydney; Australian Government Research Training Program Scholarship(Australian GovernmentDepartment of Industry, Innovation and Science)</t>
  </si>
  <si>
    <t>This study was supported by the Centre for Advanced Modelling and Geospatial Information Systems (CAMGIS) , University of Technology Sydney. The research was supported by an Australian Government Research Training Program Scholarship.</t>
  </si>
  <si>
    <t>1574-9541</t>
  </si>
  <si>
    <t>1878-0512</t>
  </si>
  <si>
    <t>ECOL INFORM</t>
  </si>
  <si>
    <t>Ecol. Inform.</t>
  </si>
  <si>
    <t>10.1016/j.ecoinf.2023.102194</t>
  </si>
  <si>
    <t>O4QE1</t>
  </si>
  <si>
    <t>WOS:001043668100001</t>
  </si>
  <si>
    <t>Kamrani, S; Kasraie, N; Jahangiri, F; Khezerloo, D; Sheikhzadeh, P</t>
  </si>
  <si>
    <t>Kamrani, Samira; Kasraie, Nima; Jahangiri, Fatemeh; Khezerloo, Davood; Sheikhzadeh, Peyman</t>
  </si>
  <si>
    <t>Organ doses, effective dose, and cancer risk estimation from head and neck CT scans</t>
  </si>
  <si>
    <t>RADIATION PHYSICS AND CHEMISTRY</t>
  </si>
  <si>
    <t>Head and neck; CT scan; Cancer risk; Organ dose; Effective dose</t>
  </si>
  <si>
    <t>COMPUTED-TOMOGRAPHY; RADIATION-EXPOSURE</t>
  </si>
  <si>
    <t>Purpose:The goal of this study was to calculate the organ doses, effective doses, and cancer risk from head and neck computed tomography (CT) scans. Material and methods:All patients underwent topogram, base, and cerebrum sequences during their head and neck examinations. Two techniques were used to determine the effective dose (ED). The first was based on the scanner derived dose length product, while the second involved using the software that calculated the organ and effective doses. Organ doses were computed using the tissue weighting factors from Report 103 by the International Commission on Radiation Protection (ICRP). The cancer risk values were calculated using web-based software that is based on the BEIR VII Phase 2 report. Results:There were 293 patients in this study (189 males, 104 females). The overall mean effective dose in the females was higher than that in the males (2.19 vs. 2.06 mSv). Male patients had a mean cancer risk of 0.011%, whereas female patients had a mean cancer risk of 0.015%. The younger females had much higher cancer risk values. Conclusion:The findings of this study will assist physicians in justifying and optimizing dose administration of head and neck CT examinations by weighing the benefits of diagnosis on the one hand and awareness of cancer risk on the other.</t>
  </si>
  <si>
    <t>[Kamrani, Samira] Shahid Beheshti Univ, Dept Med Radiat Engn, Tehran, Iran; [Kasraie, Nima] UT Southwestern Med Ctr, Dept Radiol, Dallas, TX USA; [Jahangiri, Fatemeh] Univ Tehran Med Sci, Imam Khomeini Hosp Complex, Dept Radiol, Tehran, Iran; [Khezerloo, Davood] Tabriz Univ Med Sci, Fac Alliance Med Sci, Dept Radiol, Tabriz, Iran; [Sheikhzadeh, Peyman] Univ Tehran Med Sci, Imam Khomeini Hosp Complex, Dept Nucl Med, Tehran, Iran</t>
  </si>
  <si>
    <t>Shahid Beheshti University; University of Texas System; University of Texas Southwestern Medical Center Dallas; Tehran University of Medical Sciences; Tabriz University of Medical Science; Tehran University of Medical Sciences</t>
  </si>
  <si>
    <t>Sheikhzadeh, P (corresponding author), Univ Tehran Med Sci, Imam Khomeini Hosp Complex, Dept Nucl Med, Tehran, Iran.</t>
  </si>
  <si>
    <t>psh82@yahoo.com</t>
  </si>
  <si>
    <t>Sheikhzadeh, Peyman/0000-0003-3053-2641</t>
  </si>
  <si>
    <t>Tehran University of Medical Sciences [64107]</t>
  </si>
  <si>
    <t>Tehran University of Medical Sciences(Tehran University of Medical Sciences)</t>
  </si>
  <si>
    <t>This study was supported by the Tehran University of Medical Sciences (grant number 64107) .</t>
  </si>
  <si>
    <t>0969-806X</t>
  </si>
  <si>
    <t>1879-0895</t>
  </si>
  <si>
    <t>RADIAT PHYS CHEM</t>
  </si>
  <si>
    <t>Radiat. Phys. Chem.</t>
  </si>
  <si>
    <t>10.1016/j.radphyschem.2023.111163</t>
  </si>
  <si>
    <t>Chemistry, Physical; Nuclear Science &amp; Technology; Physics, Atomic, Molecular &amp; Chemical</t>
  </si>
  <si>
    <t>Chemistry; Nuclear Science &amp; Technology; Physics</t>
  </si>
  <si>
    <t>P1ZE1</t>
  </si>
  <si>
    <t>WOS:001048685100001</t>
  </si>
  <si>
    <t>Kandula, S; Singh, PK; Kaur, GA; Tiwari, A</t>
  </si>
  <si>
    <t>Kandula, Sharanya; Singh, Pravin Kumar; Kaur, Gun Anit; Tiwari, Ashutosh</t>
  </si>
  <si>
    <t>Trends in smart drug delivery systems for targeting cancer cells</t>
  </si>
  <si>
    <t>MATERIALS SCIENCE AND ENGINEERING B-ADVANCED FUNCTIONAL SOLID-STATE MATERIALS</t>
  </si>
  <si>
    <t>Targeted drug delivery systems; Conventional cancer therapy; Tumour microenvironment; Target ligands; Target anticancer therapy</t>
  </si>
  <si>
    <t>IN-VITRO; ENHANCED PERMEABILITY; POLYMERIC MICELLES; AMINOPEPTIDASE N; NANOPARTICLES; DOXORUBICIN; FORMULATION; THERAPY; NANOMEDICINE; NANOCARRIERS</t>
  </si>
  <si>
    <t>Cancer is a worldwide health issue, and there is still a considerable demand for innovative treatments. Smart drug delivery systems have gained popularity to improve the effectiveness and safety of cancer treatments. This article provides an update on the state of smart drug delivery systems for cancer. Beginning with a discussion of the limits of conventional therapy, this article introduces the topic of drug delivery's significance in cancer treatment. Next, it dive deep into the topic of targeted drug delivery and talk about passive targeting, active targeting, and physical targeting. Focusing on biocompatibility, toxicity, targeting efficiency, and cost, this article discusses current issues and future directions. Finally, a conclusion and future research directions section provides a brief overview of the study's key findings and suggests avenues for further investigation. Researchers and medical professionals interested in smart drug delivery systems for cancer cells may find this review paper to be an invaluable resource.</t>
  </si>
  <si>
    <t>[Kandula, Sharanya; Singh, Pravin Kumar; Kaur, Gun Anit; Tiwari, Ashutosh] IAAM, Inst Adv Mat, Gammalkilsvagen 18, S-59053 Ulrika, Sweden; [Kandula, Sharanya; Singh, Pravin Kumar; Kaur, Gun Anit] VBRI Innovat Ctr, 7-16 Kalkaji Extn, New Delhi 110019, India</t>
  </si>
  <si>
    <t>Tiwari, A (corresponding author), IAAM, Inst Adv Mat, Gammalkilsvagen 18, S-59053 Ulrika, Sweden.</t>
  </si>
  <si>
    <t>director@iaam.se</t>
  </si>
  <si>
    <t>Singh, Dr. Pravin Kumar/ACN-2836-2022</t>
  </si>
  <si>
    <t>Singh, Dr. Pravin Kumar/0000-0001-9848-6608</t>
  </si>
  <si>
    <t>International Association of Advanced Materials, Sweden</t>
  </si>
  <si>
    <t>Sharanya Kandula, one of the authors, expresses her sincere grati-tude and appreciation to the International Association of Advanced Materials, Sweden for sponsoring her pre-PhD course to carry out this research project.</t>
  </si>
  <si>
    <t>0921-5107</t>
  </si>
  <si>
    <t>1873-4944</t>
  </si>
  <si>
    <t>MATER SCI ENG B-ADV</t>
  </si>
  <si>
    <t>Mater. Sci. Eng. B-Adv. Funct. Solid-State Mater.</t>
  </si>
  <si>
    <t>10.1016/j.mseb.2023.116816</t>
  </si>
  <si>
    <t>Materials Science, Multidisciplinary; Physics, Condensed Matter</t>
  </si>
  <si>
    <t>R9BG6</t>
  </si>
  <si>
    <t>WOS:001067228000001</t>
  </si>
  <si>
    <t>Kartal, MT; Ghosh, S; Adebayo, TS</t>
  </si>
  <si>
    <t>Kartal, Mustafa Tevfik; Ghosh, Sudeshna; Adebayo, Tomiwa Sunday</t>
  </si>
  <si>
    <t>Renewable energy effect on economy and environment: The case of G7 countries through novel bootstrap rolling window approach</t>
  </si>
  <si>
    <t>RENEWABLE ENERGY</t>
  </si>
  <si>
    <t>Renewable energy; Economy; Environment; G7</t>
  </si>
  <si>
    <t>CARBON-DIOXIDE EMISSIONS; KUZNETS CURVE; CO2 EMISSIONS; GROWTH EVIDENCE; NUCLEAR-ENERGY; CONSUMPTION; CAUSALITY; IMPACT; NEXUS; PANEL</t>
  </si>
  <si>
    <t>One mystifying outcome in the literature on renewable-economy-environmental causality is the inconsistency of outcomes specifically across various sample sizes, model specifications, and periods. Considering such difficulties, the study applies Bootstrap Rolling Window Granger Causality (BRWGC) test with fixed-size rolling subsamples to evaluate connections. The data used incorporates REC, EG, and CO2 emissions for G-7 nations between 1970 and 2021. Using the full-sample, it is observed that there is predictive power from REC to EG only in the USA and UK while there is predictive power from REC to CO2 emissions in the USA and Italy. However, fullsample outcomes are unreliable because models do have not parameter constancy based on parameter instability tests. Similar to full-sample results, BRWGC estimation results do not present evidence of a consistent relationship from REC to EG and CO2 emissions. However, it is discovered that causal interrelationships exist between the series in a number of the sub-samples. Additional evidence that the results are not statistical artifacts but rather reflect actual economic shifts comes from the fact that these sub-sample times coincide with important economic events. The findings of this study complement earlier research and provide a rationale for divergent outcomes.</t>
  </si>
  <si>
    <t>[Kartal, Mustafa Tevfik] Borsa Istanbul Strateg Planning, Financial Reporting &amp; Investor Relat Directorate, Istanbul, Turkiye; [Ghosh, Sudeshna] Scottish Church Coll, Kolkata, West Bengal, India; [Adebayo, Tomiwa Sunday] Cyprus Int Univ, Fac Econ &amp; Adm Sci, Dept Business Adm, Mersin 10, Nicosia, Turkiye; [Adebayo, Tomiwa Sunday] New Uzbekistan Univ, Dept Econ &amp; Data Sci, 54 Mustaqillik Ave, Tashkent 100007, Uzbekistan; [Adebayo, Tomiwa Sunday] Lebanese Amer Univ, Adnan Kassar Sch Business, Beirut, Lebanon</t>
  </si>
  <si>
    <t>Cyprus International University; Lebanese American University</t>
  </si>
  <si>
    <t>Kartal, MT (corresponding author), Borsa Istanbul Strateg Planning, Financial Reporting &amp; Investor Relat Directorate, Istanbul, Turkiye.</t>
  </si>
  <si>
    <t>tadebayo@ciu.edu.tr; sudeshna.ghoshsent@outlook.com; tadebayo@ciu.edu.tr</t>
  </si>
  <si>
    <t>Adebayo, Tomiwa Sunday/HCH-3612-2022; Kartal, Mustafa Tevfik/AAV-9112-2020</t>
  </si>
  <si>
    <t>Kartal, Mustafa Tevfik/0000-0001-8038-8241; GHOSH, SUDESHNA/0000-0002-2026-1676</t>
  </si>
  <si>
    <t>0960-1481</t>
  </si>
  <si>
    <t>1879-0682</t>
  </si>
  <si>
    <t>RENEW ENERG</t>
  </si>
  <si>
    <t>Renew. Energy</t>
  </si>
  <si>
    <t>10.1016/j.renene.2023.119057</t>
  </si>
  <si>
    <t>Green &amp; Sustainable Science &amp; Technology; Energy &amp; Fuels</t>
  </si>
  <si>
    <t>Science &amp; Technology - Other Topics; Energy &amp; Fuels</t>
  </si>
  <si>
    <t>P4UU6</t>
  </si>
  <si>
    <t>WOS:001050634700001</t>
  </si>
  <si>
    <t>Karube, H; Suzuki, S; Miyagi, N; Taniai, N; Miyake, M; Tarora, K; Urasaki, N; Matsumura, H</t>
  </si>
  <si>
    <t>Karube, Haru; Suzuki, Shota; Miyagi, Norimichi; Taniai, Naoki; Miyake, Mayuko; Tarora, Kazuhiko; Urasaki, Naoya; Matsumura, Hideo</t>
  </si>
  <si>
    <t>Quantitative trait loci for sex ratio in monoecious bitter gourd (Momordica charantia)</t>
  </si>
  <si>
    <t>SCIENTIA HORTICULTURAE</t>
  </si>
  <si>
    <t>QTL; Sex ratio; Monoecy; Gynoecy; Sex determination; QTL-seq; Lectin receptor kinase</t>
  </si>
  <si>
    <t>RECEPTOR-LIKE KINASE; GENE; CUCUMBER; GENOME; RICE; EXPRESSION; REVEALS; ENCODES; PROTEIN; SIT1</t>
  </si>
  <si>
    <t>Sex ratio (male or female flower frequency per plant) is an important trait of monoecious bitter gourds because it directly influences fruit yield. Quantitative trait loci (QTL) for the sex ratio were explored in F2 populations derived from the gynoecious OHB61-5 and monoecious OHB95-1A using both QTL mapping and QTL-seq methods. Female flower frequency data was used as the phenotype data, along with 1,036 bin-marker geno-types, and linkage maps from previous studies to detect sex ratio QTL. For QTL-seq, after the strong effect of the gynoecious locus was masked by marker-assisted selection of its heterozygotes, F2 plants showing higher-or lower-female flower frequency were selected and employed for making bulked samples. Three QTL were found on chromosomes 2 and 5 by QTL-seq, and only the qFR5-2 on chromosome 5 was identified by both QTL mapping and QTL-seq analyses. Focusing on the expressed genes with non-synonymous variations between parental lines in qFR5-2, 16 genes were nominated as candidate causal genes. Four of these encoded L-type lectin receptor kinase (LecRK), and amino acid substitutions in the conserved lectin or kinase domain were observed in three LecRKs between parental lines. Markers or genes for these sex ratio QTL will contribute to the development of bitter gourd inbred lines useful for stable production of fruits.</t>
  </si>
  <si>
    <t>[Karube, Haru; Suzuki, Shota; Miyake, Mayuko] Shinshu Univ, Fac Text Sci &amp; Technol, Ueda, Nagano, Japan; [Miyagi, Norimichi; Taniai, Naoki; Tarora, Kazuhiko; Urasaki, Naoya] Okinawa Prefectural Agr Res Ctr, Itoman, Okinawa, Japan; [Matsumura, Hideo] Shinshu Univ, Gene Res Ctr, Ueda, Nagano, Japan</t>
  </si>
  <si>
    <t>Shinshu University; Shinshu University</t>
  </si>
  <si>
    <t>Matsumura, H (corresponding author), Shinshu Univ, Gene Res Ctr, Ueda, Nagano, Japan.</t>
  </si>
  <si>
    <t>hideoma@shinshu-u.ac.jp</t>
  </si>
  <si>
    <t>Japan Society for the Promotion of Science [21K05515]</t>
  </si>
  <si>
    <t>Japan Society for the Promotion of Science(Ministry of Education, Culture, Sports, Science and Technology, Japan (MEXT)Japan Society for the Promotion of Science)</t>
  </si>
  <si>
    <t>Acknowledgements We greatly appreciate Dr. Hiroki Takagi in Ishikawa Prefectural University, for help and suggestions in QTL-seq data analysis. This study was funded by Grants -in -Aid for Scientific Research from Japan Society for the Promotion of Science (No. 21K05515) .</t>
  </si>
  <si>
    <t>0304-4238</t>
  </si>
  <si>
    <t>1879-1018</t>
  </si>
  <si>
    <t>SCI HORTIC-AMSTERDAM</t>
  </si>
  <si>
    <t>Sci. Hortic.</t>
  </si>
  <si>
    <t>10.1016/j.scienta.2023.112330</t>
  </si>
  <si>
    <t>Horticulture</t>
  </si>
  <si>
    <t>O9GK1</t>
  </si>
  <si>
    <t>WOS:001046828500001</t>
  </si>
  <si>
    <t>Kazemi, MZ; Elamer, AA; Theodosopoulos, G; Khatib, SFA</t>
  </si>
  <si>
    <t>Kazemi, Maha Zadeh; Elamer, Ahmed A.; Theodosopoulos, Grigorios; Khatib, Saleh F. A.</t>
  </si>
  <si>
    <t>Reinvigorating research on sustainability reporting in the construction industry: A systematic review and future research agenda</t>
  </si>
  <si>
    <t>JOURNAL OF BUSINESS RESEARCH</t>
  </si>
  <si>
    <t>Construction industry; Sustainability reporting; Systematic review; CSR; Sustainability performance; SDGs</t>
  </si>
  <si>
    <t>CORPORATE SOCIAL-RESPONSIBILITY; LIFE-CYCLE ASSESSMENT; FINANCIAL PERFORMANCE EVIDENCE; GREEN BUILDING TECHNOLOGIES; EARTH ARCHITECTURE; RENEWABLE ENERGY; WASTE MANAGEMENT; MEDIATING ROLE; DISCLOSURE; KNOWLEDGE</t>
  </si>
  <si>
    <t>This study investigates sustainability reporting (SR) in the construction industry, which is vital to achieving sustainable development goals. Despite extensive research on sustainability practices, scant attention has been paid to SR, a crucial channel for communicating and managing sustainability performance. Aiming to advance SR research, this study systematically reviews 150 articles on the topic in 73 journals. The review reveals significant knowledge gaps and methodological limitations, highlighting the need for a more diversified theoretical lens for evaluating the complex nature of SR. The investigation identifies four study themes: assessment and indicators, determinants, strategic management, and outcomes of SR. The review offers a comprehensive analysis of the current literature and presents an integrated framework that encompasses sustainability attributes and reporting in the construction sector. The study's contributions include directions for future research and practical implications for managers and policymakers that can support the transition toward sustainable development in the construction industry.</t>
  </si>
  <si>
    <t>[Kazemi, Maha Zadeh; Elamer, Ahmed A.; Theodosopoulos, Grigorios] Brunel Univ London, Brunel Business Sch, Kingston Lane, London UB8 3PH, England; [Elamer, Ahmed A.] Mansoura Univ, Fac Commerce, Dept Accounting, Mansoura, Egypt; [Khatib, Saleh F. A.] Univ Teknol Malaysia, Fac Management, Johor Baru 81310, Malaysia</t>
  </si>
  <si>
    <t>Brunel University; Egyptian Knowledge Bank (EKB); Mansoura University; Universiti Teknologi Malaysia</t>
  </si>
  <si>
    <t>Elamer, AA (corresponding author), Brunel Univ London, Brunel Business Sch, Kingston Lane, London UB8 3PH, England.;Elamer, AA (corresponding author), Mansoura Univ, Fac Commerce, Dept Accounting, Mansoura, Egypt.</t>
  </si>
  <si>
    <t>maha.zadehkazemi@brunel.ac.uk; ahmed.elamer@brunel.ac.uk; grigorios.theodosopoulos@brunel.ac.uk; Saleh.f.info@gmail.com</t>
  </si>
  <si>
    <t>Khatib, Saleh F. A./ABF-3238-2020</t>
  </si>
  <si>
    <t>Khatib, Saleh F. A./0000-0001-7652-4191</t>
  </si>
  <si>
    <t>0148-2963</t>
  </si>
  <si>
    <t>1873-7978</t>
  </si>
  <si>
    <t>J BUS RES</t>
  </si>
  <si>
    <t>J. Bus. Res.</t>
  </si>
  <si>
    <t>10.1016/j.jbusres.2023.114145</t>
  </si>
  <si>
    <t>Business</t>
  </si>
  <si>
    <t>P3CT0</t>
  </si>
  <si>
    <t>WOS:001049460800001</t>
  </si>
  <si>
    <t>Khalid, MI; Park, D; Fei, JB; Nguyen, V; Nguyen, DD; Chen, XS</t>
  </si>
  <si>
    <t>Khalid, Muhammad Irslan; Park, Duhee; Fei, Jianbo; Nguyen, Van-Quang; Nguyen, Duy-Duan; Chen, Xiangsheng</t>
  </si>
  <si>
    <t>Selection of efficient earthquake intensity measures for evaluating seismic fragility of concrete face rockfill dam</t>
  </si>
  <si>
    <t>COMPUTERS AND GEOTECHNICS</t>
  </si>
  <si>
    <t>Concrete face rockfill dam; Seismic fragility analysis; Ground motion intensity measure; Probabilistic seismic demand model; Damage index</t>
  </si>
  <si>
    <t>GROUND MOTION; WENCHUAN EARTHQUAKE; DEMAND MODELS; BUILDINGS; METHODOLOGY; SAFETY</t>
  </si>
  <si>
    <t>This study explores the crucial role of intensity measure (IM) selection for probabilistic seismic demand model development of concrete face rockfill dam (CFRD) subjected to earthquake ground motions. Nonlinear dynamic analyses are performed for CFRD with an advanced hysteretic soil model using a finite element analysis program to develop a database of earthquake-induced dam crest settlements. The numerical model is validated through centrifuge model test measurements. A selection process was carried out to evaluate the IMs based on the goodness of fit, as well as their efficiency, practicality, and proficiency. Eventually, a range of optimal IMs are selected. Conditional probability function is employed to develop fragility curves for CFRD employing both scalar and vector IMs. Five settlement ratio-based limit states are defined herein. The results show that vector fragility surfaces produce enhanced predictions of the dam damage compared with the scalar fragility curves that are most often employed.</t>
  </si>
  <si>
    <t>[Khalid, Muhammad Irslan; Fei, Jianbo; Chen, Xiangsheng] Shenzhen Univ, Coll Civil &amp; Transportat Engn, Key Lab Coastal Urban Resilient Infrastructures, Shenzhen 518060, Peoples R China; [Park, Duhee; Nguyen, Van-Quang] Hanyang Univ, Dept Civil &amp; Environm Engn, 222 Wangshimni Ro, Seoul 04763, South Korea; [Nguyen, Van-Quang; Nguyen, Duy-Duan] Vinh Univ, Dept Civil Engn, Vinh 461010, Vietnam</t>
  </si>
  <si>
    <t>Shenzhen University; Hanyang University; Vinh University</t>
  </si>
  <si>
    <t>Fei, JB (corresponding author), Shenzhen Univ, Coll Civil &amp; Transportat Engn, Key Lab Coastal Urban Resilient Infrastructures, Shenzhen 518060, Peoples R China.;Nguyen, V (corresponding author), Hanyang Univ, Dept Civil &amp; Environm Engn, 222 Wangshimni Ro, Seoul 04763, South Korea.;Nguyen, V (corresponding author), Vinh Univ, Dept Civil Engn, Vinh 461010, Vietnam.</t>
  </si>
  <si>
    <t>feijianbo@szu.edu.cn; nguyenvanquang240484@gmail.com</t>
  </si>
  <si>
    <t>Jianbo, Fei/0000-0001-8454-204X</t>
  </si>
  <si>
    <t>National Natural Science Foundation of China [52090081, 52008261, 52178339]; Shenzhen Natural Science Fund (the Stable Support Plan Program) [20220808150117002]</t>
  </si>
  <si>
    <t>National Natural Science Foundation of China(National Natural Science Foundation of China (NSFC)); Shenzhen Natural Science Fund (the Stable Support Plan Program)</t>
  </si>
  <si>
    <t>The research is funded by the National Natural Science Foundation of China (Grants No. 52178339, 52090081 and 52008261) and Shenzhen Natural Science Fund (the Stable Support Plan Program 20220808150117002) .</t>
  </si>
  <si>
    <t>0266-352X</t>
  </si>
  <si>
    <t>1873-7633</t>
  </si>
  <si>
    <t>COMPUT GEOTECH</t>
  </si>
  <si>
    <t>Comput. Geotech.</t>
  </si>
  <si>
    <t>10.1016/j.compgeo.2023.105721</t>
  </si>
  <si>
    <t>Computer Science, Interdisciplinary Applications; Engineering, Geological; Geosciences, Multidisciplinary</t>
  </si>
  <si>
    <t>Computer Science; Engineering; Geology</t>
  </si>
  <si>
    <t>Q7QU7</t>
  </si>
  <si>
    <t>WOS:001059441300001</t>
  </si>
  <si>
    <t>Khan, AF; Kumar, S; Samiullah, FNU</t>
  </si>
  <si>
    <t>Khan, Asfia Faheem; Kumar, Satesh; Samiullah, F. N. U.</t>
  </si>
  <si>
    <t>Comment on: Prognostic Value Of Liver Damage Assessed Through Direct Bilirubin Levels And Skeleton Muscle Weakness In Patients With Heart Failure</t>
  </si>
  <si>
    <t>Letter</t>
  </si>
  <si>
    <t>ASSOCIATION</t>
  </si>
  <si>
    <t>[Khan, Asfia Faheem] Peoples Univ Med &amp; Hlth Sci, House 385 near garden Rd Kotri, Nawabshah 67450, Sindh, Pakistan; [Kumar, Satesh; Samiullah, F. N. U.] Shaheed Mohtarma Benazir Bhutto Med Coll, Karachi, Sindh, Pakistan</t>
  </si>
  <si>
    <t>Khan, AF (corresponding author), Peoples Univ Med &amp; Hlth Sci, House 385 near garden Rd Kotri, Nawabshah 67450, Sindh, Pakistan.</t>
  </si>
  <si>
    <t>asfiakhan896@gmail.com</t>
  </si>
  <si>
    <t>Samiullah, FNU/0000-0002-8445-1727; kumar, Satesh/0000-0001-7975-6297; Khan, Asfia/0009-0000-7992-0990</t>
  </si>
  <si>
    <t>10.1016/j.cpcardiol.2023.101872</t>
  </si>
  <si>
    <t>O9AX2</t>
  </si>
  <si>
    <t>WOS:001046684100001</t>
  </si>
  <si>
    <t>Kiguchi, T; Kitamura, T; Katayama, Y; Hirose, T; Matsuyama, T; Kiyohara, K; Umemura, Y; Tachino, J; Nakao, S; Ishida, K; Ojima, M; Noda, T; Fujimi, S</t>
  </si>
  <si>
    <t>Kiguchi, Takeyuki; Kitamura, Tetsuhisa; Katayama, Yusuke; Hirose, Tomoya; Matsuyama, Tasuku; Kiyohara, Kosuke; Umemura, Yutaka; Tachino, Jotaro; Nakao, Shunichiro; Ishida, Kenichiro; Ojima, Masahiro; Noda, Tomohiro; Fujimi, Satoshi</t>
  </si>
  <si>
    <t>Timing of computed tomography imaging in adult patients with severe trauma: A nationwide cohort study in Japan</t>
  </si>
  <si>
    <t>AMERICAN JOURNAL OF EMERGENCY MEDICINE</t>
  </si>
  <si>
    <t>CT scanning; Blunt trauma; Trunk trauma; Epidemiology; Nationwide registry</t>
  </si>
  <si>
    <t>MULTIDETECTOR CT; SURVIVAL</t>
  </si>
  <si>
    <t>Purpose: Computed tomography (CT) has become essential for the management of trauma patients. However, appropriate timing of CT acquisition remains undetermined. The purpose of this study was to assess the relationship between time to CT acquisition and mortality among adult patients with severe trauma.Methods: We conducted a retrospective cohort study using data from the Japan Trauma Data Bank, which had 256 participating institutions from all over Japan between 2004 and 2018. Patients were categorized upon arrival as either severe trunk trauma with signs of shock or severe head trauma with coma and separately analyzed. Cases were further divided into three groups based on time elapsed between arrival at hospital and CT acquisition as immediate (0-29 min), intermediate (30-59 min), or late (&amp; GE;60 min). Primary outcome was mortality on discharge, and multivariate logistic regression with adjusting for confounders was used for evaluation.Results: A total of 8467 (3640 in immediate group, 3441 in intermediate group, 1386 in late group) with trunk trauma patients and 6762 (4367 in immediate group, 2031 in intermediate group, 364 in late group) with head trauma patients were eligible for analysis included in the trunk and head trauma groups, respectively. The trunk trauma patients with shock on hospital arrival was 56.4% (4773/8467), and the head trauma patients with deep coma upon EMS arrival was 44.2% (2988/6762). Mortality rate gradually increased from 5.7% to 15.8% with prolonged time to CT imaging among trunk trauma patients. Multivariate logistic regression for death on discharge among trunk trauma patients yielded an adjusted odds ratio of 1.79 (95% confidence interval: 1.42-2.27) for the late group compared to the immediate group. In contrast, among head trauma patients, an adjusted odds ratio was 0.93 (95% confidence interval: 0.71-1.20) for the late group compared to the immediate group.Conclusion: CT scan at or after 60 min was associated with increased death on discharge among patients with severe trunk trauma but not in those with severe head trauma.&amp; COPY; 2023 Elsevier Inc. All rights reserved.</t>
  </si>
  <si>
    <t>[Kiguchi, Takeyuki; Umemura, Yutaka; Fujimi, Satoshi] Osaka Gen Med Ctr, Dept Emergency &amp; Crit Care, 3-1-56 Bandai Higashi,Sumiyoshi Ku, Osaka, Japan; [Kiguchi, Takeyuki] Kyoto Univ, Sch Publ Hlth, Dept Prevent Serv, Yoshida Konoemachi,Sakyo Ku, Kyoto, Japan; [Kitamura, Tetsuhisa] Osaka Univ, Div Environm Med &amp; Populat Sci, Dept Social &amp; Environm Med, Grad Sch Med, 2-15 Yamadaoka, Suita, Japan; [Katayama, Yusuke; Hirose, Tomoya; Tachino, Jotaro; Nakao, Shunichiro] Osaka Univ, Dept Traumatol &amp; Acute Crit Med, Grad Sch Med, 2-15 Yamada Oka, Suita, Japan; [Matsuyama, Tasuku] Kyoto Prefectural Univ Med, Dept Emergency Med, 465 Kajiicho,Kawaramachi Dori,Kamigyo Ku, Kyoto, Japan; [Kiyohara, Kosuke] Otsuma Womens Univ, Fac Home Econ, Dept Food Sci, 12 Sanban Cho,Chiyoda Ku, Tokyo, Japan; [Ishida, Kenichiro; Ojima, Masahiro] Osaka Natl Hosp, Med Ctr, Dept Acute Med &amp; Crit Care, Natl Hosp Org, 2-1-14 Honenzaka,Chuo Ku, Osaka, Japan; [Noda, Tomohiro] Osaka Metropolitan Univ, Sch Med, Dept Traumatol &amp; Crit Care Med, 1-5-7 Asahi Machi,Abeno Ku, Osaka, Japan</t>
  </si>
  <si>
    <t>Kyoto University; Osaka University; Osaka University; Kyoto Prefectural University of Medicine; Osaka National Hospital</t>
  </si>
  <si>
    <t>Kiguchi, T (corresponding author), Osaka Gen Med Ctr, Dept Emergency &amp; Crit Care, 3-1-56 Bandai Higashi,Sumiyoshi Ku, Osaka, Japan.</t>
  </si>
  <si>
    <t>take_yuki888@ybb.ne.jp</t>
  </si>
  <si>
    <t>Tachino, Jotaro/AAA-2061-2021; Kitamura, Tetsuhisa/AAA-2555-2020</t>
  </si>
  <si>
    <t>Tachino, Jotaro/0000-0002-0423-7713; Kitamura, Tetsuhisa/0000-0003-0107-0580; Nakao, Shunichiro/0000-0001-5530-806X</t>
  </si>
  <si>
    <t>Clinical Investigator's Research Project at Osaka University Graduate School of Medicine</t>
  </si>
  <si>
    <t>The authors thank the emergency medical service personnel, nurses, emergency physicians, and healthcare workers who participated in the JTDB. This article was supported by the Clinical Investigator's Research Project at Osaka University Graduate School of Medicine.</t>
  </si>
  <si>
    <t>W B SAUNDERS CO-ELSEVIER INC</t>
  </si>
  <si>
    <t>PHILADELPHIA</t>
  </si>
  <si>
    <t>1600 JOHN F KENNEDY BOULEVARD, STE 1800, PHILADELPHIA, PA 19103-2899 USA</t>
  </si>
  <si>
    <t>0735-6757</t>
  </si>
  <si>
    <t>1532-8171</t>
  </si>
  <si>
    <t>AM J EMERG MED</t>
  </si>
  <si>
    <t>Am. J. Emerg. Med.</t>
  </si>
  <si>
    <t>10.1016/j.ajem.2023.08.004</t>
  </si>
  <si>
    <t>Emergency Medicine</t>
  </si>
  <si>
    <t>S2OS8</t>
  </si>
  <si>
    <t>WOS:001069621800001</t>
  </si>
  <si>
    <t>Kim, M; Lee, J; Choi, L; Choi, M</t>
  </si>
  <si>
    <t>Kim, Mingyu; Lee, Jaekyeong; Choi, Leechan; Choi, Minjoo</t>
  </si>
  <si>
    <t>PolarGAN: Creating realistic Arctic sea ice concentration images with user-defined geometric preferences</t>
  </si>
  <si>
    <t>Generative adversarial networks; Sea ice concentration; Artificial sea ice images; Geometric preferences; Data augmentation</t>
  </si>
  <si>
    <t>DATA AUGMENTATION; NEURAL-NETWORK; GAN; CLASSIFICATION</t>
  </si>
  <si>
    <t>In this paper, we introduce a novel generative adversarial network (GAN), called PolarGAN, that is capable of creating realistic artificial images of Arctic sea ice concentration (SIC) for data augmentation. One of the key features of the PolarGAN is that it considers real-valued geometric preferences, defined by six statistics, to generate SIC images that align with specific geometric characteristics. Unlike other GANs that also consider user-defined preferences, the PolarGAN allows for more detailed control over the shape and size of the generated images by using differentiable projection functions to convert the created images into geometric features, and a newly-designed loss function to minimize the gap between the user-defined preferences and the geometric features of the generated images. Through extensive experimentation, we compare the PolarGAN with other GANs and demonstrate artificial SIC scenarios that can be used to test the performance of algorithms for Arctic route planning in edge cases or to improve data-driven models such as SIC prediction models which require additional data to avoid overfitting issues.</t>
  </si>
  <si>
    <t>[Kim, Mingyu] Korea Adv Inst Sci &amp; Technol, Kim Jaechul Grad Sch AI, Seoul 02455, South Korea; [Lee, Jaekyeong; Choi, Leechan; Choi, Minjoo] Korea Maritime &amp; Ocean Univ, Dept Naval Architecture &amp; Ocean Syst Engn, Busan 49112, South Korea</t>
  </si>
  <si>
    <t>Korea Advanced Institute of Science &amp; Technology (KAIST); Korea Maritime &amp; Ocean University</t>
  </si>
  <si>
    <t>Choi, M (corresponding author), Korea Maritime &amp; Ocean Univ, Dept Naval Architecture &amp; Ocean Syst Engn, Busan 49112, South Korea.</t>
  </si>
  <si>
    <t>minjoo.choi@g.kmou.ac.kr</t>
  </si>
  <si>
    <t>Basic Science Research Program through the National Research Foundation of Korea (NRF) - Ministry of Education; [NRF2020R1G1A101417213]</t>
  </si>
  <si>
    <t>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</si>
  <si>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This research was supported by Basic Science Research Program through the National Research Foundation of Korea (NRF) funded by the Ministry of Education (NRF2020R1G1A101417213) .</t>
  </si>
  <si>
    <t>10.1016/j.engappai.2023.106920</t>
  </si>
  <si>
    <t>Q7II1</t>
  </si>
  <si>
    <t>WOS:001059218900001</t>
  </si>
  <si>
    <t>Kim, S; Kim, G; Song, SW; Kim, JH</t>
  </si>
  <si>
    <t>Kim, Seunghyun; Kim, Gidong; Song, Sang-Woo; Kim, Ji Hyun</t>
  </si>
  <si>
    <t>Effects of Cr and Mo contents on the flow-accelerated corrosion behavior of low alloy steels in the secondary side of pressurized water reactors</t>
  </si>
  <si>
    <t>Low alloy steels; Flow-accelerated corrosion; TEM</t>
  </si>
  <si>
    <t>SUBSTITUTED IRON-OXIDES; ANODIC-DISSOLUTION; ALKALINE-SOLUTIONS; STAINLESS-STEELS; CARBON-STEEL; MOLYBDENUM; MAGNETITE; INHIBITION; SOLUBILITY</t>
  </si>
  <si>
    <t>Carbon steels have been extensively used as structural materials in the secondary side of pressurized water reactors, which are susceptible to flow-accelerated corrosion (FAC). To overcome this issue, low-alloy steels containing 2.25Cr-1Mo (P22) have been introduced, as Cr and Mo are effective alloying elements in mitigating FAC. However, the behavior of these alloying elements in the secondary water chemistry is not well-understood, and therefore, there is a need to explore alternative materials that can address the issue of FAC. In this study, three model alloys were manufactured based on Ducreux's model on FAC rate to examine the effects of Cr and Mo on the corrosion behavior of low-alloy steels compared to that of commercial P22. Microstructure of P22 was ferritic/pearlite structure while the model alloys was ferritic/tempered bainite structure due to the existence of Mn and Si. The difference in microstructure led to the difference in hardness values, and elimination of Mo from the model alloys resulted in reduction in strain. The FAC rate was mainly influenced by the Cr content in the oxide layer rather than Mo. The passive film layer hinders the exposure of the inner layer to H2O in the solution, resulting in Cr3+ dissolution into the Fe oxide layer. The continuous passivation leads to the formation of two compact layers, one amorphous and one crystalline Cr, creating Fe oxide substitutes. It is also revealed that the solubility of Cr species is much lower than that of Fe species resulting in the enrichment of Cr in the outer layer, and thus the higher Cr content reinforces the passivity of the steels. The Fe-Cr alloy exhibited promising corrosion resistance, suggesting that it could be a potential substitute for Fe-Cr-Mo alloy.</t>
  </si>
  <si>
    <t>[Kim, Seunghyun; Kim, Gidong; Song, Sang-Woo] Korea Inst Mat Sci KIMS, Joining Technol Dept, Chang Won, South Korea; [Kim, Ji Hyun] Ulsan Natl Inst Sci &amp; Technol UNIST, Dept Nucl Engn, Ulsan, South Korea</t>
  </si>
  <si>
    <t>Korea Institute of Materials Science (KIMS); Ulsan National Institute of Science &amp; Technology (UNIST)</t>
  </si>
  <si>
    <t>Kim, JH (corresponding author), Ulsan Natl Inst Sci &amp; Technol UNIST, Dept Nucl Engn, Ulsan, South Korea.</t>
  </si>
  <si>
    <t>kimjh@unist.ac.kr</t>
  </si>
  <si>
    <t>Korea Institute of Energy Technology Evaluation and Planning (KETEP) - Korea Government (MOTIE) [RS-2022-00144514]; National Research Foundation (NRF) of Korea - Ministry of Science and ICT (MSIT); [20206500000010]</t>
  </si>
  <si>
    <t>Korea Institute of Energy Technology Evaluation and Planning (KETEP) - Korea Government (MOTIE)(Ministry of Trade, Industry &amp; Energy (MOTIE), Republic of KoreaKorea Institute of Energy Technology Evaluation &amp; Planning (KETEP)); National Research Foundation (NRF) of Korea - Ministry of Science and ICT (MSIT)(National Research Foundation of KoreaMinistry of Science &amp; ICT (MSIT), Republic of Korea);</t>
  </si>
  <si>
    <t>This work was partly supported by the Korea Institute of Energy Technology Evaluation and Planning (KETEP) grant funded by the Korea Government (MOTIE) (Grant Number: 20206500000010) and supported by National Research Foundation (NRF) of Korea Grant funded by the Ministry of Science and ICT (MSIT) (Grant Number: RS-2022-00144514) . This work was prepared partly based on S. Kim's Ph.D. dissertation titled Novel Technologies for Mitigation of Flow Accelerated Corrosion of the Secondary Side of Pressurized Water Reactors (Ulsan National Institute of Science and Technology, Republic of Korea, 2019) .</t>
  </si>
  <si>
    <t>10.1016/j.jnucmat.2023.154652</t>
  </si>
  <si>
    <t>Q5GN9</t>
  </si>
  <si>
    <t>WOS:001057805100001</t>
  </si>
  <si>
    <t>Kim, S; Yeo, J; Kim, SJ; Park, S; Cho, KG; Paeng, K; Lee, KH; Kim, M</t>
  </si>
  <si>
    <t>Kim, Seungjun; Yeo, Jiyeong; Kim, Su Jung; Park, Soeun; Cho, Kyung Gook; Paeng, Keewook; Lee, Keun Hyung; Kim, Myungwoong</t>
  </si>
  <si>
    <t>Photopatternable and self-healable ionogels for organic thin-film transistors</t>
  </si>
  <si>
    <t>ORGANIC ELECTRONICS</t>
  </si>
  <si>
    <t>Ionogel; Photocrosslinking; Thiol-ene click reaction; Photolithography; Self -healing; Electrolyte -gated transistor</t>
  </si>
  <si>
    <t>IONIC LIQUIDS; MECHANICAL-PROPERTIES; TEMPERATURE; POLYMERS; CONDUCTIVITY; DYNAMICS; ADHESIVE; GELS</t>
  </si>
  <si>
    <t>We demonstrate photocrosslinkable solid polymer ionogel electrolytes using thiol-containing 4-arm poly (ethylene glycol) (4-arm PEG-SH) and a dimethacrylate crosslinker containing a disulfide bond through a radicalbased thiol-ene click reaction. The thiol-ene click reaction between the alkene and thiol in the dimethacrylate crosslinker and PEG polymer, respectively, with a conventional photoradical generator was successful for effective photocrosslinking in different ionic liquids. The resulting ionogels exhibited decent optical transparency, ionic conductivity, stretchability, and patternability in a photolithographic manner. Moreover, the disulfide bonds present in the ionogels enabled self-healing of the ionogels under mild conditions of 60 degrees C for 3 min, indicating an efficient dynamic disulfide metathesis in the ionogels. Finally, to highlight the applicability and processability of the current material design platform, ionogel photopatterns were fabricated on a poly(3hexylthiophene-2,5-diyl) thin-film surface and utilized as a high-capacitance gate dielectric in thin-film transistors. This further demonstrates the potential of these ionogels in practical electronic and electrochemical applications.</t>
  </si>
  <si>
    <t>[Kim, Seungjun; Yeo, Jiyeong; Kim, Su Jung; Park, Soeun; Cho, Kyung Gook; Lee, Keun Hyung; Kim, Myungwoong] Inha Univ, Dept Chem &amp; Chem Engn, Incheon 22212, South Korea; [Paeng, Keewook] Sungkyunkwan Univ, Dept Chem, Suwon 16419, South Korea</t>
  </si>
  <si>
    <t>Inha University; Sungkyunkwan University (SKKU)</t>
  </si>
  <si>
    <t>Lee, KH; Kim, M (corresponding author), Inha Univ, Dept Chem &amp; Chem Engn, Incheon 22212, South Korea.;Paeng, K (corresponding author), Sungkyunkwan Univ, Dept Chem, Suwon 16419, South Korea.</t>
  </si>
  <si>
    <t>paeng@skku.edu; kh.lee@inha.ac.kr; mkim233@inha.ac.kr</t>
  </si>
  <si>
    <t>Kim, Myungwoong/AAK-9052-2020</t>
  </si>
  <si>
    <t>Kim, Myungwoong/0000-0003-0611-8694; Lee, Keun Hyung/0000-0003-4066-9991; Paeng, Keewook/0000-0001-5837-621X</t>
  </si>
  <si>
    <t>Inha University [68921]</t>
  </si>
  <si>
    <t>Inha University</t>
  </si>
  <si>
    <t>Acknowledgments We acknowledge the support of the Inha University (Grant No. 68921) .</t>
  </si>
  <si>
    <t>1566-1199</t>
  </si>
  <si>
    <t>1878-5530</t>
  </si>
  <si>
    <t>ORG ELECTRON</t>
  </si>
  <si>
    <t>Org. Electron.</t>
  </si>
  <si>
    <t>10.1016/j.orgel.2023.106895</t>
  </si>
  <si>
    <t>P7NM7</t>
  </si>
  <si>
    <t>WOS:001052504600001</t>
  </si>
  <si>
    <t>Kimbell, JS; Garcia, GJM; Schroeter, JD; Sheth, P; Vallorz, ELV; Saluja, B; Babiskin, AH; Tian, G; Walenga, RL</t>
  </si>
  <si>
    <t>Kimbell, J. S.; Garcia, G. J. M.; Schroeter, J. D.; Sheth, P.; Vallorz III, E. L. Vallorz; Saluja, B.; Babiskin, A. H.; Tian, G.; Walenga, R. L.</t>
  </si>
  <si>
    <t>Nasal steroid spray simulations using measured spray characteristics in healthy and rhinitic nasal passages</t>
  </si>
  <si>
    <t>JOURNAL OF AEROSOL SCIENCE</t>
  </si>
  <si>
    <t>Nasal steroid spray characteristics; Computational fluid dynamics simulations; Allergic rhinitis; Topical drug delivery; Actuation force; Spray nozzle position</t>
  </si>
  <si>
    <t>DROPLET-SIZE DISTRIBUTION; ALLERGIC RHINITIS; PARTICLE DEPOSITION; MOMETASONE FUROATE; ECONOMIC-IMPACT; ATOMIZATION; ACTUATION; BURDEN; VARIABILITY; PREDICTIONS</t>
  </si>
  <si>
    <t>Intranasal corticosteroid sprays (ICSs) are frequently prescribed for allergic rhinitis (AR), which is the fifth most common chronic disease in the United States. This study aimed to investigate how the intranasal distribution of ICSs is affected by spray characteristics, patient use factors, and anatomical variation. Three-dimensional reconstructions of the nasal cavity were created from computed tomography (CT) scans of one healthy subject and one AR patient. A virtual spray nozzle was positioned in the nasal vestibule according to package insert instructions and subtracted from the nasal airspace. Hybrid tetrahedral-prism meshes were created and spray simulations were conducted in ANSYS FluentTM with inspiratory airflow present and spray characteristics from in vitro experiments. Changes in regional corticosteroid deposition with variations in spray product, actuation force, inhalation rate, spray cone angle, nozzle insertion depth, nozzle position, and nasal side were assessed. The simulation results demonstrated that, in both models, target site deposition was mostly affected by changes in nozzle position and anatomy (left vs. right nostril). In the healthy subject, target site deposition increased with a higher actuation force, higher inhalation rate, and smaller nozzle depth, but was not significantly affected by changes in the spray cone angle. In the AR patient, target site deposition was not significantly different for changes in actuation force, inhalation rate, nozzle depth, or cone angle. The findings of this numerical study suggest that the intranasal distribution of ICSs is influenced mostly by nozzle position and nasal anatomy.</t>
  </si>
  <si>
    <t>[Kimbell, J. S.] Univ N Carolina, Dept Otolaryngol Head &amp; Neck Surg, Chapel Hill, NC USA; [Garcia, G. J. M.] Marquette Univ &amp; Med Coll Wisconsin, Joint Dept Biomed Engn, Milwaukee, WI USA; [Schroeter, J. D.] Appl Res Associates, Raleigh, NC USA; [Sheth, P.; Vallorz III, E. L. Vallorz] Cirrus Pharmaceut Inc, Morrisville, NC USA; [Saluja, B.] US FDA, Div Therapeut Performance, Off Res &amp; Stand, Off Gener Drugs,Ctr Drug Evaluat &amp; Res, Silver Spring, MD USA; [Babiskin, A. H.; Walenga, R. L.] US FDA, Div Quantitat Methods &amp; Modeling, Off Res &amp; Stand, Off Gener Drugs,Ctr Drug Evaluat &amp; Res, Silver Spring, MD USA; [Tian, G.] US FDA, Div Prod Qual Res, Off Testing &amp; Res, Off Pharmaceut Qual,Ctr Drug Evaluat &amp; Res, Silver Spring, MD USA; [Garcia, G. J. M.] Med Coll Wisconsin, Dept Biomed Engn, 8701 Watertown Plank Rd, Milwaukee, WI 53226 USA</t>
  </si>
  <si>
    <t>University of North Carolina; University of North Carolina Chapel Hill; Applied Research Associates, Inc.; US Food &amp; Drug Administration (FDA); US Food &amp; Drug Administration (FDA); US Food &amp; Drug Administration (FDA); Medical College of Wisconsin</t>
  </si>
  <si>
    <t>Garcia, GJM (corresponding author), Med Coll Wisconsin, Dept Biomed Engn, 8701 Watertown Plank Rd, Milwaukee, WI 53226 USA.</t>
  </si>
  <si>
    <t>ggarcia@mcw.edu</t>
  </si>
  <si>
    <t>Department of Health and Human Services (DHHS), U.S. Food and Drug Administration [1U01FD005201]</t>
  </si>
  <si>
    <t>Department of Health and Human Services (DHHS), U.S. Food and Drug Administration</t>
  </si>
  <si>
    <t>The authors would like to thank the Division of Rhinology at the University of North Carolina at Chapel Hill for advice on target sites for treatment of rhinitis by nasal sprays, and Dr. Saikat Basu for helpful discussions of methodology. Funding was provided by Grant 1U01FD005201, from the Department of Health and Human Services (DHHS) , U.S. Food and Drug Administration. Views expressed here do not necessarily reflect the official policies of the DHHS; nor does any mention of trade names, commercial practices or organizations imply endorsement by the United States Government.</t>
  </si>
  <si>
    <t>0021-8502</t>
  </si>
  <si>
    <t>1879-1964</t>
  </si>
  <si>
    <t>J AEROSOL SCI</t>
  </si>
  <si>
    <t>J. Aerosol. Sci.</t>
  </si>
  <si>
    <t>10.1016/j.jaerosci.2023.106246</t>
  </si>
  <si>
    <t>Engineering, Chemical; Engineering, Mechanical; Environmental Sciences; Meteorology &amp; Atmospheric Sciences</t>
  </si>
  <si>
    <t>Engineering; Environmental Sciences &amp; Ecology; Meteorology &amp; Atmospheric Sciences</t>
  </si>
  <si>
    <t>S2UR4</t>
  </si>
  <si>
    <t>WOS:001069778200001</t>
  </si>
  <si>
    <t>Koferstein, R; Ebbinghaus, SG</t>
  </si>
  <si>
    <t>Koeferstein, Roberto; Ebbinghaus, Stefan G.</t>
  </si>
  <si>
    <t>Improvement of the magnetoelectric response in NiFe2O4-Sr0.5Ba0.5Nb2O6 composites using LiNbO3 as sintering additive</t>
  </si>
  <si>
    <t>Magnetoelectric effect; Niobite; Multiferroic materials; Ferrite; Sintering additive</t>
  </si>
  <si>
    <t>DIELECTRIC-PROPERTIES; FERROELECTRIC PROPERTIES; PHASE-TRANSITION; BEHAVIOR; FERRITE; MAGNETOSTRICTION; SIZE</t>
  </si>
  <si>
    <t>Magnetoelectric (NiFe2O4)0.3- (Sr0.5Ba0.5Nb2O6)0.7 composites with addition of LiNbO3 as sintering additive were prepared by a classical mixed-oxide method. XRD patterns of ceramics sintered between 1000 and 1200 &amp; DEG;C show the desired Sr0.5Ba0.5Nb2O6 and NiFe2O4 phases. SEM investigations confirm the 0-3 connectivity of the composite ceramics. The addition of 10 and 20 mol% LiNbO3 improves the densification of the composite ceramics and leads to an increase of the size of the Sr0.5Ba0.5Nb2O6 grains. Magnetic measurements show hystereses with low coercivities. Dielectric measurements were carried out depending on temperature and frequency. The samples with the LiNbO3 addition show significantly higher resistivity values (&amp; sigma;DC). Magnetoelectric measurements were carried out in dependence of the magnetic DC-field, temperature, and frequency. The maximum magnetoelectric coefficient (&amp; alpha;ME) rises with the addition of LiNbO3 from 180 to 803 &amp; mu;V Oe- 1 cm-1 (@900 Hz). Temperature dependent measurements show a continuously decreasing of &amp; alpha;ME with lower temperature.</t>
  </si>
  <si>
    <t>[Koeferstein, Roberto; Ebbinghaus, Stefan G.] Martin Luther Univ Halle Wittenberg, Inst Chem, Kurt Mothes Str 2, D-06120 Halle, Germany</t>
  </si>
  <si>
    <t>Martin Luther University Halle Wittenberg</t>
  </si>
  <si>
    <t>Koferstein, R (corresponding author), Martin Luther Univ Halle Wittenberg, Inst Chem, Kurt Mothes Str 2, D-06120 Halle, Germany.</t>
  </si>
  <si>
    <t>roberto.koeferstein@chemie.urni-halle.de</t>
  </si>
  <si>
    <t>Köferstein, R./F-8112-2010</t>
  </si>
  <si>
    <t>Köferstein, R./0000-0001-5168-1182</t>
  </si>
  <si>
    <t>10.1016/j.jeurceramsoc.2023.06.040</t>
  </si>
  <si>
    <t>O5SS1</t>
  </si>
  <si>
    <t>WOS:001044411700001</t>
  </si>
  <si>
    <t>Kong, X; Mu, HL; Wang, HY; Li, N</t>
  </si>
  <si>
    <t>Kong, Xue; Mu, Hailin; Wang, Hongye; Li, Nan</t>
  </si>
  <si>
    <t>Independence enhancement of distributed generation systems by integrating shared energy storage system and energy community with internal market</t>
  </si>
  <si>
    <t>INTERNATIONAL JOURNAL OF ELECTRICAL POWER &amp; ENERGY SYSTEMS</t>
  </si>
  <si>
    <t>Energy community; Shared energy storage; Bi-level programming; Independence enhancement; Dynamic price</t>
  </si>
  <si>
    <t>TECHNOECONOMIC ANALYSIS; SELF-CONSUMPTION; LITHIUM-ION; BATTERY; PHOTOVOLTAICS; ELECTRICITY; HOUSEHOLD</t>
  </si>
  <si>
    <t>The connection of large-scale distributed generation systems, primarily distributed solar and wind power, to the public grid, will cause a considerable burden on its dispatching. How to improve the independence of distributed generation systems is crucial. This study thoroughly investigates the possibility of enhancing the independence of distributed generation systems by combining feasible solutions such as integrating energy community, installing shared energy storage, and adopting rational dispatching strategies while ensuring the benefits of multiple parties. A two-level framework for optimizing energy community scheduling and shared energy storage system sizing is proposed. The upper layer uses a multi-objective approach to optimize the size of the shared energy storage system, which ensures the economy of the shared energy storage system and the independence of the energy community. The lower layer dispatches power intending to maximize social welfare and allocates cooperative benefits through the Sharply value method, thus ensuring the interests of community participants. And a dynamic electricity price strategy in response to the imbalance between supply and demand to guide community dispatching is proposed, which reduces the peak-to-valley range while ensuring economic performance. The case results show that compared to the distributed generation systems operating alone, integrating the energy community increased the self-sufficiency and self-consumption rates of the community by 6.01 % and 6.01 %, respectively, and installing shared energy storage system increased the self-sufficiency and selfconsumption rates of the community by 13.50 % and 19.35 %, respectively.</t>
  </si>
  <si>
    <t>[Kong, Xue; Mu, Hailin; Li, Nan] Dalian Univ Technol, Minist Educ, Key Lab Ocean Energy Utilizat &amp; Energy Conservat, Dalian 116024, Peoples R China; [Wang, Hongye] Dalian Univ Technol, Sch Econ &amp; Management, Dalian 116024, Peoples R China; [Wang, Hongye] Dalian Univ Technol, Inst Carbon Peak &amp; Neutral, Dalian 116024, Peoples R China</t>
  </si>
  <si>
    <t>Dalian University of Technology; Dalian University of Technology; Dalian University of Technology</t>
  </si>
  <si>
    <t>Wang, HY (corresponding author), Dalian Univ Technol, Sch Econ &amp; Management, Dalian 116024, Peoples R China.</t>
  </si>
  <si>
    <t>wanghongye_nwpu@hotmail.com</t>
  </si>
  <si>
    <t>National Natural Science Foundation of China [51976020, 72274184]; Fundamental Research Funds for the Central Universities, China [DUT21RC (3) 004]</t>
  </si>
  <si>
    <t>National Natural Science Foundation of China(National Natural Science Foundation of China (NSFC)); Fundamental Research Funds for the Central Universities, China(Fundamental Research Funds for the Central Universities)</t>
  </si>
  <si>
    <t>Acknowledgement We gratefully acknowledge the financial support from the National Natural Science Foundation of China (No. 51976020, 72274184) . And the study is supported by the Fundamental Research Funds for the Central Universities, China (DUT21RC (3) 004) .</t>
  </si>
  <si>
    <t>0142-0615</t>
  </si>
  <si>
    <t>1879-3517</t>
  </si>
  <si>
    <t>INT J ELEC POWER</t>
  </si>
  <si>
    <t>Int. J. Electr. Power Energy Syst.</t>
  </si>
  <si>
    <t>10.1016/j.ijepes.2023.109361</t>
  </si>
  <si>
    <t>P1KW4</t>
  </si>
  <si>
    <t>WOS:001048309100001</t>
  </si>
  <si>
    <t>Kumar, R; Mishra, SK; Mohanta, DK</t>
  </si>
  <si>
    <t>Kumar, Rohit; Mishra, Sudhansu Kumar; Mohanta, Dusmanta Kumar</t>
  </si>
  <si>
    <t>Reliability and economics evaluation for generation expansion planning incorporating variability in wind energy sources</t>
  </si>
  <si>
    <t>ELECTRIC POWER SYSTEMS RESEARCH</t>
  </si>
  <si>
    <t>Generation expansion planning; Wind speed uncertainty analysis; Multistate modeling of wind turbine; Operational reliability; Reliability worth; Economic analysis</t>
  </si>
  <si>
    <t>POWER-SYSTEM; PASS-THROUGH; MODEL; TRANSMISSION; SIMULATION; FARMS</t>
  </si>
  <si>
    <t>Generation expansion planning is a strenuous process encompassing technical, economic, geographical, and climatic factors. Due to the fast growth of grid-integrated renewable energy sources, planning for operational measures and generation techniques needs to be more flexible. Unlike conventional energy sources, renewable energy sources are fluctuating in nature, and a suitable methodology has to be adopted for efficient generation expansion planning considering reliability and economic analysis. The multistate generation models for representing wind energy sources make the reliability evaluation more challenging. The present work incorporates the impact of wind power generation variability and wind turbine generator outages on system reliability, an essential aspect of generation planning. In this paper, the techno-economic feasibility assessment model has been incorporated to ensure a reliable power supply, strengthening the grid's economic feasibility and lowering the energy generation and interruption costs and annualized system costs. The proposed model for reliability evaluation involves Fourier domain analysis. The model has been validated to study the wind energy sources dynamics and economic behavior, i.e., annualized operational maintenance cost and annualized fuel cost on the revised IEEE RTS with wind power, for the sensitive assessments for generation expansion planning.</t>
  </si>
  <si>
    <t>[Kumar, Rohit; Mishra, Sudhansu Kumar; Mohanta, Dusmanta Kumar] Birla Inst Technol, Ranchi 835215, India</t>
  </si>
  <si>
    <t>Birla Institute of Technology Mesra</t>
  </si>
  <si>
    <t>Kumar, R (corresponding author), Birla Inst Technol, Ranchi 835215, India.</t>
  </si>
  <si>
    <t>rohit.ojha12@gmail.com</t>
  </si>
  <si>
    <t>Kumar, Rohit/0000-0002-4524-8072</t>
  </si>
  <si>
    <t>0378-7796</t>
  </si>
  <si>
    <t>1873-2046</t>
  </si>
  <si>
    <t>ELECTR POW SYST RES</t>
  </si>
  <si>
    <t>Electr. Power Syst. Res.</t>
  </si>
  <si>
    <t>10.1016/j.epsr.2023.109720</t>
  </si>
  <si>
    <t>P3ZY4</t>
  </si>
  <si>
    <t>WOS:001050075300001</t>
  </si>
  <si>
    <t>Kumar, S</t>
  </si>
  <si>
    <t>Kumar, Sachin</t>
  </si>
  <si>
    <t>A novel hybrid machine learning model for prediction of CO2 using socio-economic and energy attributes for climate change monitoring and mitigation policies</t>
  </si>
  <si>
    <t>Carbon emission; Climate change; Energy attributes; Hybrid model; Machine learning; Prediction; Socio-economic attributes</t>
  </si>
  <si>
    <t>SUPPORT VECTOR MACHINE; CARBON EMISSIONS; PERFORMANCE; CHALLENGES; SCENARIOS; DIOXIDE; CAPTURE; FUTURE; LASSO; RIDGE</t>
  </si>
  <si>
    <t>Industrial development has contributed to carbon emissions majorly, resulting in high concentrations of greenhouse gases (GHGs) in the environment leading to climate change phenomenon. Climate change threatens people in multiple ways: threatening food security, water scarcity, frequent and extreme weather events, the spread of diseases, economic losses and migration etc. The World Health Organization (WHO) declared that climate change is the greatest threat to global health in the 21st century. Since 1970, CO2 emission has increased by about 90 per cent, making it 78 per cent of the total greenhouse gas emission. Climate change impact, carbon emission factors and social-economic attributes make the prediction of GHG emission a very complex research problem having dynamic scenarios due to a large number of factors and impacting variables. Accurate prediction of carbon emission in such a scenario makes it one of the most important and challenging research works. Artificial intelligence and machine learning approaches are increasingly being used to study complex, dynamic environmental phenomenons with high variability of time, space and other factors. The research paper proposes hybrid machine learning models for the prediction of CO2 emissions using energy and social-economic variables. The work uses energy and socioeconomic variables from 1960 to 2018 to collate them to provide a new perspective on the application of machine learning approaches in the modelling and prediction of GHG emissions. The proposed hybrid model of principal component analysis (PCA) and machine learning approaches is compared on accuracy and efficiency and performs better than other machine learning and deep learning approaches such as Linear regression variants, random forest regression (RFR), support vector regression (SVR), recurrent neural network (RNN), long short term Memory (LSTM) and Tabnet etc. The proposed hybrid model reports MAE equal to 0.0307, RMSE equal to 0.0346, MAPE equals to 5.1447 and SMAPE equal to 5.2267. In terms of efficiency of computation, the proposed hybrid machine learning model PCA+LER took 12.4 ms better than other models. This proposed research work of correlation analysis and prediction can help policymakers and governments in the mitigation and management of carbon emissions.</t>
  </si>
  <si>
    <t>[Kumar, Sachin] Univ Delhi, Cluster Innovat Ctr, Delhi, India</t>
  </si>
  <si>
    <t>University of Delhi</t>
  </si>
  <si>
    <t>Kumar, S (corresponding author), Univ Delhi, Cluster Innovat Ctr, Delhi, India.</t>
  </si>
  <si>
    <t>officialid.sachin@gmail.com</t>
  </si>
  <si>
    <t>10.1016/j.ecoinf.2023.102253</t>
  </si>
  <si>
    <t>Q7AA1</t>
  </si>
  <si>
    <t>WOS:001059000100001</t>
  </si>
  <si>
    <t>Kumari, M; Chandel, MK</t>
  </si>
  <si>
    <t>Kumari, Madhu; Chandel, Munish K.</t>
  </si>
  <si>
    <t>Anaerobic Co-digestion of sewage sludge and organic fraction of municipal solid waste: Focus on mix ratio optimization and synergistic effects</t>
  </si>
  <si>
    <t>Co -digestion; Anaerobic digestion; Food waste; Municipal solid waste; Kinetic analysis; Synergistic effects</t>
  </si>
  <si>
    <t>FOOD WASTE; BIOGAS PRODUCTION; ACTIVATED-SLUDGE; SCALE; INHIBITION; OFMSW; CODIGESTION; MIXTURES; PROGRESS; BMP</t>
  </si>
  <si>
    <t>The utilization of municipal solid waste (MSW) and sewage sludge (SS) as a source of renewable energy is crucial in achieving sustainable and integrated MSW management. SS and organic fraction of municipal solid waste (OFMSW) can be anaerobically digested to produce methane for energy. However, anaerobic digestion of specific substrates is challenging with respect to substrate characteristics. The problem of mono-digestion can be miti-gated by co-digestion of these two major organic wastes because of their complementary characteristics. Moreover, there is a lack of studies on optimization of different mix ratios of organic fraction of municipal solid waste (OFMSW) and sewage sludge (SS) based on total solids (TS). The study aims to optimize the mix ratio for anaerobic co-digestion of OFMSW and SS. The study further elucidates synergistic effects associated with the co -digestion process. Different mix ratios of SS and OFMSW (0:100, 20:80, 40:60, 60:40, 80:20, 100:0) at 5, 7.5 and 10% TS were assessed for biomethane potential assessment. The results showed that with an increase in SS in the mix ratio feed the methane yield increased by 91% and 50% as compared to mono digestion of sewage sludge and OFMSW respectively at TS 7.5%. Based on the kinetic analysis, it was observed that the lag phase reduced for 60:40 mix ratio leading to higher rate of biodegradation. Positive synergistic effects were observed for 40:60, 60:40 and 80:20 mix ratio of SS:OFMSW based on co-digestion impact factor value. Response surface modelling was used to get the optimized mix ratio and TS %. The optimum mix ratio with the highest methane yield (388 ml/gVS added) was 70:30 (SS: OFMSW) at TS 7.5% with a desirability value of 0.98. These findings demonstrate that co-digesting SS and OFMSW is a preferable alternative for harnessing renewable energy and managing organic waste in a sustainable manner.</t>
  </si>
  <si>
    <t>[Kumari, Madhu; Chandel, Munish K.] Indian Inst Technol, Environm Sci &amp; Engn Dept, Mumbai 400076, Maharashtra, India</t>
  </si>
  <si>
    <t>Indian Institute of Technology System (IIT System); Indian Institute of Technology (IIT) - Bombay</t>
  </si>
  <si>
    <t>Chandel, MK (corresponding author), Indian Inst Technol, Environm Sci &amp; Engn Dept, Mumbai 400076, Maharashtra, India.</t>
  </si>
  <si>
    <t>munish.chandel@iitb.ac.in</t>
  </si>
  <si>
    <t>Chandel, Munish/0000-0003-2233-5082</t>
  </si>
  <si>
    <t>Science and Engineering Research Board (SERB) under the Department of Science and Technology, Government of India [CRG/2019/004530]</t>
  </si>
  <si>
    <t>Science and Engineering Research Board (SERB) under the Department of Science and Technology, Government of India</t>
  </si>
  <si>
    <t>The authors would like to thank the Science and Engineering Research Board (SERB) under the Department of Science and Technology, Government of India for providing financial support for this project (CRG/2019/004530) .</t>
  </si>
  <si>
    <t>10.1016/j.jenvman.2023.118821</t>
  </si>
  <si>
    <t>R5WS8</t>
  </si>
  <si>
    <t>WOS:001065061600001</t>
  </si>
  <si>
    <t>Kuppenheimer, G; Shelly, S; Strauss, J</t>
  </si>
  <si>
    <t>Kuppenheimer, Gregory; Shelly, Stuart; Strauss, Jack</t>
  </si>
  <si>
    <t>Can machine learning identify sector-level financial ratios that predict sector returns?</t>
  </si>
  <si>
    <t>Machine learning; Sector returns; Financial Ratios</t>
  </si>
  <si>
    <t>DIVIDEND YIELDS; ALLOCATION; FORECASTS; ANOMALIES</t>
  </si>
  <si>
    <t>Academics and practitioners use fundamental ratios to evaluate an industry's financial and operating performance. WRDS has large firm-level and sector/industry-level databases that provide over 70 financial ratios that are applied in finance classes to compare and assess relative financial performance. However, there has been a lack of sophisticated econometric methods assessing these ratios' importance in predicting sector-level stock return performance. Using Elastic Net methods, we identify financial ratios that significantly forecast out-of-sample sector stock returns and find that these predictive ratios vary across sectors. We form long and longshort portfolios that consistently outperform the market over-time. Long portfolios generate significant alpha and large utility gains, boost the Sharpe and Sortino ratios, and a cumulative investment portfolio exceeds the market benchmark by five times. Long-short portfolios generate Fama-French 4-factor and 6-factor alphas between 4-9% and cumulative investment gains from six to fourteen times. Our research establishes that machine learning can identify financial ratios that significantly predict sector returns and generate profitable portfolio allocation.</t>
  </si>
  <si>
    <t>[Kuppenheimer, Gregory; Shelly, Stuart; Strauss, Jack] Univ Denver, Denver, CO 80208 USA</t>
  </si>
  <si>
    <t>University of Denver</t>
  </si>
  <si>
    <t>Strauss, J (corresponding author), Univ Denver, Denver, CO 80208 USA.</t>
  </si>
  <si>
    <t>Jack.Strauss@DU.edu</t>
  </si>
  <si>
    <t>10.1016/j.frl.2023.104241</t>
  </si>
  <si>
    <t>Q1QJ4</t>
  </si>
  <si>
    <t>WOS:001055331600001</t>
  </si>
  <si>
    <t>Kurita, K; Misawa, T; Yoshimi, K; Ido, K; Koretsune, T</t>
  </si>
  <si>
    <t>Kurita, Kensuke; Misawa, Takahiro; Yoshimi, Kazuyoshi; Ido, Kota; Koretsune, Takashi</t>
  </si>
  <si>
    <t>Interface tool from Wannier90 to RESPACK: wan2respack</t>
  </si>
  <si>
    <t>COMPUTER PHYSICS COMMUNICATIONS</t>
  </si>
  <si>
    <t>Wannier functions; ab initio downfolding; Constrained random phase approximation; Strongly correlated electron systems</t>
  </si>
  <si>
    <t>TOTAL-ENERGY CALCULATIONS; AB-INITIO; SUPERCONDUCTIVITY; POLARIZATION; CRYSTAL</t>
  </si>
  <si>
    <t>We develop the interface tool wan2respack, which connects RESPACK (software that derives the low energy effective Hamiltonians of solids) with Wannier90 (software that constructs Wannier functions). wan2respack converts the Wannier functions obtained by Wannier90 into those used in RESPACK, which is then used to derive the low-energy effective Hamiltonians of solids. In this paper, we explain the basic usage of wan2respack and show its application to standard compounds of correlated materials, namely, the correlated metal SrVO3 and the high-Tc superconductor La2CuO4. Furthermore, we compare the low-energy effective Hamiltonians of these compounds using Wannier functions obtained by Wannier90 and those obtained by RESPACK. We confirm that both types of Wannier functions give the same Hamiltonians. This benchmark comparison demonstrates that wan2respack correctly converts Wannier functions in the Wannier90 format into those in the RESPACK format. Program summary Program title: wan2respack CPC Library link to program files: https://doi .org /10 .17632 /6zfj2dkv5b .1 Licensing provisions: GNU General Public License version 3 Programming language: Fortran and python3 External routines/libraries: Quantum ESPRESSO (version 6.6), Wannier90 (version 3.0.0), RESPACK (version 20200113), tomli. Nature of problem: Using RESPACK, one can derive low-energy effective Hamiltonians of solids from maximally localized Wannier functions. However, due to the differences in the representation of Wannier functions, the Wannier functions obtained by Wannier90 cannot be directly used in RESPACK. Solution method: wan2respack converts the Wannier functions in the Wannier90 format into those in the RESPACK format. Using the converted Wannier functions, one can derive the low-energy effective Hamiltonians using RESPACK. &amp; COPY; 2023 Elsevier B.V. All rights reserved.</t>
  </si>
  <si>
    <t>[Kurita, Kensuke; Koretsune, Takashi] Tohoku Univ, Dept Phys, Sendai 9808578, Japan; [Misawa, Takahiro] Beijing Acad Quantum Informat Sci, Beijing 100193, Peoples R China; [Misawa, Takahiro; Yoshimi, Kazuyoshi; Ido, Kota] Univ Tokyo, Inst Solid State Phys, Chiba 2778581, Japan</t>
  </si>
  <si>
    <t>Tohoku University; Beijing Academy of Quantum Information Sciences; University of Tokyo</t>
  </si>
  <si>
    <t>Ido, K (corresponding author), Univ Tokyo, Inst Solid State Phys, Chiba 2778581, Japan.</t>
  </si>
  <si>
    <t>ido@issp.u-tokyo.ac.jp</t>
  </si>
  <si>
    <t>Toyota Motor Corporation; Building of Consortia for the Development of Human Resources in Science and Technology from the Ministry of Education, Culture, Sports, Science and Technology (MEXT) of Japan; MEXT, Japan [21H04437, 22K03447, 22K18954, 12150610462, JPMJMI20A1]; National Natural Science Foundation of China; JST-Mirai Program; [21H01003]; [21H01041]</t>
  </si>
  <si>
    <t>Toyota Motor Corporation; Building of Consortia for the Development of Human Resources in Science and Technology from the Ministry of Education, Culture, Sports, Science and Technology (MEXT) of Japan(Ministry of Education, Culture, Sports, Science and Technology, Japan (MEXT)); MEXT, Japan(Ministry of Education, Culture, Sports, Science and Technology, Japan (MEXT)); National Natural Science Foundation of China(National Natural Science Foundation of China (NSFC)); JST-Mirai Program; ;</t>
  </si>
  <si>
    <t>We are indebted to Kazuma Nakamura for valuable discussions and for providing us with several codes. We acknowledge Tetsuya Shoji, Noritsugu Sakuma, and Tetsuya Fukushima for fruit-ful discussions and important suggestions. A part of this work is financially supported by Toyota Motor Corporation. KY and TM were supported by Building of Consortia for the Development of Human Resources in Science and Technology from the Ministry of Education, Culture, Sports, Science and Technology (MEXT) of Japan. We thank Oakbridge-CX in the Information Technology Center, the University of Tokyo and the Supercomputer Center, the Institute for Solid State Physics, the University of Tokyo for their facilities. This work has also been supported by JST-Mirai Program (JPMJMI20A1) , Grant-in-Aid for Scientific Research (Nos. 21H01003, 21H01041, 21H04437, 22K03447, and 22K18954) from MEXT, Japan, and the National Natural Science Foundation of China (Grant No. 12150610462) .</t>
  </si>
  <si>
    <t>0010-4655</t>
  </si>
  <si>
    <t>1879-2944</t>
  </si>
  <si>
    <t>COMPUT PHYS COMMUN</t>
  </si>
  <si>
    <t>Comput. Phys. Commun.</t>
  </si>
  <si>
    <t>10.1016/j.cpc.2023.108854</t>
  </si>
  <si>
    <t>Computer Science, Interdisciplinary Applications; Physics, Mathematical</t>
  </si>
  <si>
    <t>Computer Science; Physics</t>
  </si>
  <si>
    <t>Q7QS0</t>
  </si>
  <si>
    <t>WOS:001059438600001</t>
  </si>
  <si>
    <t>Kuzey, C; Uyar, A; Wasiuzzaman, S; Karaman, AS; Inwinkl, P</t>
  </si>
  <si>
    <t>Kuzey, Cemil; Uyar, Ali; Wasiuzzaman, Shaista; Karaman, Abdullah S.; Inwinkl, Petra</t>
  </si>
  <si>
    <t>Financial distress and corporate transparency/opacity: The role of firm visibility</t>
  </si>
  <si>
    <t>Financial distress; Firm risk; Sustainability report; External assurance; GRI; Firm visibility</t>
  </si>
  <si>
    <t>SOCIAL-RESPONSIBILITY; PERFORMANCE; IMPACT; ASSURANCE; DETERMINANTS; PHILANTHROPY; LEGITIMACY; DISCLOSURE; REPUTATION; VARIABLES</t>
  </si>
  <si>
    <t>This study investigated whether financially distressed firms become more transparent or more opaque and whether firm visibility plays a significant role in firms' engagement with sustainability reporting practices. We drew on a global sample of records from between 2005 and 2019 (including 10 sectors). The findings showed that financially distressed firms avoid publishing sustainability reports, obtaining independent assurance for these reports, and crafting the reports according to the GRI framework. Furthermore, we found that financially distressed firms with higher visibility are more likely to issue sustainability reports, follow GRI guidelines in crafting these reports, and have the reports assured by an external verifier.</t>
  </si>
  <si>
    <t>[Kuzey, Cemil] Murray State Univ, Arthur J Bauernfeind Coll Business, Murray, KY 42071 USA; [Uyar, Ali] Excelia Business Sch, La Rochelle, France; [Wasiuzzaman, Shaista] Univ Teknol Brunei, Sch Business, Bandar Seri Begawan, Brunei; [Karaman, Abdullah S.] Amer Univ Middle East, Coll Engn &amp; Technol, Kuwait, Kuwait; [Inwinkl, Petra] Univ Vienna, Fac Business Econ &amp; Stat, Vienna, Austria</t>
  </si>
  <si>
    <t>Murray State University; University of Technology Brunei; American University of Middle East; University of Vienna</t>
  </si>
  <si>
    <t>Kuzey, C (corresponding author), Murray State Univ, Arthur J Bauernfeind Coll Business, Murray, KY 42071 USA.</t>
  </si>
  <si>
    <t>cemilkuzey@gmail.com; aliuyar@hotmail.com; dr.shaista@utb.edu.bn; Abdullah.Karaman@aum.edu.kw; petra.inwinkl@univie.ac.at</t>
  </si>
  <si>
    <t>; Kuzey, Cemil/F-8484-2013</t>
  </si>
  <si>
    <t>Uyar, Ali/0000-0002-4660-1798; Kuzey, Cemil/0000-0003-0141-1744; Inwinkl, Petra/0000-0001-8681-1389</t>
  </si>
  <si>
    <t>10.1016/j.iref.2023.07.019</t>
  </si>
  <si>
    <t>P2EU7</t>
  </si>
  <si>
    <t>WOS:001048831900001</t>
  </si>
  <si>
    <t>Lane, JM; Curtin, P; Chelonis, JJ; Pantic, I; Martinez-Medina, S; Tellez-Rojo, MM; Wright, RO</t>
  </si>
  <si>
    <t>Lane, Jamil M.; Curtin, Paul; Chelonis, John J.; Pantic, Ivan; Martinez-Medina, Sandra; Tellez-Rojo, Martha M.; Wright, Robert O.</t>
  </si>
  <si>
    <t>Prenatal manganese biomarkers and operant test battery performance in Mexican children: Effect modification by child sex</t>
  </si>
  <si>
    <t>Prenatal exposure; Manganese; Neurodevelopment; Neurobehavioral; Operant tests</t>
  </si>
  <si>
    <t>INCREMENTAL REPEATED ACQUISITION; CHRONIC LEAD-EXPOSURE; SCHOOL-AGE-CHILDREN; IN-UTERO EXPOSURE; BLOOD MANGANESE; NEURODEVELOPMENT; BEHAVIOR; NEUROTOXICITY; GENDER; LEVEL</t>
  </si>
  <si>
    <t>Background: Manganese (Mn) is essential to healthy neurodevelopment, but both Mn deficiency and overexposure have been linked to prefrontal cortex (PFC) impairments, the brain region that regulates cognitive and neurobehavioral processes responsible for spatial memory, learning, motivation, and time perception. These processes facilitated by attention, inhibitory control, working memory, and cognitive flexibility are often sexually dimorphic and complex, driven by multiple interconnected neurologic and cognitive domains.Objective: We investigated the role of child sex as an effect modifier of the association between prenatal Mn exposure and performance in an operant testing battery (OTB) that assessed multiple cognitive and behavioral functional domains.Methods: Children (N = 575) aged 6-8 years completed five OTB tasks. Blood and urinary Mn measurements were collected from mothers in the 2nd and 3rd trimesters. Multiple regression models estimated the association between Mn biomarkers at each trimester with OTB performance while adjusting for socio-demographic covariates. Covariate-adjusted weighted quantile sum (WQS) regression models were used to estimate the association of a Mn multi-media biomarker (MMB) mixture with OTB performance. Interaction terms were used to estimate modification effect by child sex.Results: Higher blood Mn exposure was associated with better response rates (more motivation) on the progressive ratio task and higher overall accuracy on the delayed matching-to-sample task. In the WQS models, the MMB mixture was associated with better response rates (more motivation) on the progressive ratio task. Additionally, for the linear and WQS models, we observed a modification effect by child sex in the progressive ratio and delayed matching-to-sample tasks. Higher prenatal Mn biomarker levels were associated with improved task performance for girls and reduced performance in boys.Conclusion: Higher prenatal blood Mn concentrations and the MMB mixture predicted improved performance on two of five operant tasks. Higher prenatal Mn concentrations regulated executive functions in children in a sexually dimorphic manner. Higher prenatal Mn exposure is associated with improved performance on spatial memory and motivation tasks in girls, suggesting that Mn's nutritional role is sexually dimorphic, and should be considered when making dietary and/or environmental intervention recommendations.</t>
  </si>
  <si>
    <t>[Lane, Jamil M.; Curtin, Paul; Wright, Robert O.] Icahn Sch Med Mt Sinai, Dept Environm Med &amp; Publ Hlth, New York, NY 10029 USA; [Chelonis, John J.] US FDA, Div Neurotoxicol, Natl Ctr Toxicol Res, Jefferson, AR USA; [Pantic, Ivan; Martinez-Medina, Sandra] Natl Inst Perinatol, Div Community Intervent Res, Mexico City, Mexico; [Tellez-Rojo, Martha M.] Natl Inst Publ Hlth, Ctr Nutr &amp; Hlth Res, Cuernavaca, Morelos, Mexico; [Wright, Robert O.] Icahn Sch Med Mt Sinai, Inst Expos Res, New York, NY USA</t>
  </si>
  <si>
    <t>Icahn School of Medicine at Mount Sinai; US Food &amp; Drug Administration (FDA); Instituto Nacional de Salud Publica; Icahn School of Medicine at Mount Sinai</t>
  </si>
  <si>
    <t>Lane, JM (corresponding author), Icahn Sch Med Mt Sinai, Dept Environm Med &amp; Publ Hlth, New York, NY 10029 USA.</t>
  </si>
  <si>
    <t>jamil.lane@mssm.edu</t>
  </si>
  <si>
    <t>Pantic, Ivan/0000-0002-3178-1482</t>
  </si>
  <si>
    <t>NIH [T32HD049311, R01ES014930, R01ES013744, R24ES028522, P30ES023515, R01ES026033, R01MH122447, R01ES029511, R01ES028927]</t>
  </si>
  <si>
    <t>NIH(United States Department of Health &amp; Human ServicesNational Institutes of Health (NIH) - USA)</t>
  </si>
  <si>
    <t>Research funding was provided in part by NIH grants: T32HD049311, R01ES014930, R01ES013744, R24ES028522, P30ES023515, R01ES026033, R01MH122447, R01ES029511, and R01ES028927.</t>
  </si>
  <si>
    <t>10.1016/j.envres.2023.116880</t>
  </si>
  <si>
    <t>R0YK7</t>
  </si>
  <si>
    <t>WOS:001061682700001</t>
  </si>
  <si>
    <t>Lau, W; Lee, PT; Koh, CH</t>
  </si>
  <si>
    <t>Lau, Weiren; Lee, Phong Teck; Koh, Choong Hou</t>
  </si>
  <si>
    <t>Coronary Artery Anomalies- State of the Art Review</t>
  </si>
  <si>
    <t>FRACTIONAL FLOW RESERVE; CARDIOVASCULAR MAGNETIC-RESONANCE; COMPUTED-TOMOGRAPHY ANGIOGRAPHY; SUDDEN CARDIAC DEATH; MYOCARDIAL-PERFUSION SPECT; CONGENITAL HEART-DISEASE; AORTIC ORIGIN; OPPOSITE SINUS; CT ANGIOGRAPHY; FUNCTIONAL ASSESSMENT</t>
  </si>
  <si>
    <t>Coronary artery anomalies (CAAs) comprise a wide spectrum of anatomic entities, with diverse clinical phenotypes. We present a case of an anomalous right coronary artery arising from the left aortic sinus with an interarterial course, a potentially fatal condition that can precipitate ischemia and sudden cardiac death. CAAs are increasingly detected in adults, mostly as incidental findings in the course of cardiac evaluation. This is due to the expanding use of invasive and noninvasive cardiac imaging, usually in the work-up for possible CAD. The prognostic implications of CAAs in this group of patients remain unclear. In AAOCA patients, appropriate work-up with anatomical and functional imaging should be performed for risk stratification. An individualized approach to management should be adopted, considering symptoms, age, sporting activities and the presence of high risk anatomical features and physiologic consequences (such as ischemia, myocardial fibrosis, or cardiac arrhythmias) detected on multimodality imaging or other functional cardiac investigations. This comprehensive and up to date review seeks to crystallize current data in the recent literature, and proposes a clinical management algorithm for the clinician faced with the conundrum of managing such conditions. (Curr Probl Cardiol 2023;48:101935.)</t>
  </si>
  <si>
    <t>[Lau, Weiren; Lee, Phong Teck; Koh, Choong Hou] Natl Heart Ctr Singapore, Dept Cardiol, Singapore, Singapore; [Lee, Phong Teck; Koh, Choong Hou] Natl Univ Singapore, Duke NUS Sch Med, Singapore, Singapore; [Koh, Choong Hou] Changi Gen Hosp, Changi Aviat Med Ctr, Singapore, Singapore; [Koh, Choong Hou] Natl Heart Ctr Singapore, 5 Hosp Dr, Singapore 169609, Singapore</t>
  </si>
  <si>
    <t>National Heart Centre Singapore; National University of Singapore; Changi General Hospital; National Heart Centre Singapore</t>
  </si>
  <si>
    <t>Koh, CH (corresponding author), Natl Heart Ctr Singapore, 5 Hosp Dr, Singapore 169609, Singapore.</t>
  </si>
  <si>
    <t>koh.choong.hou@singhealth.com.sg</t>
  </si>
  <si>
    <t>10.1016/j.cpcardiol.2023.101935</t>
  </si>
  <si>
    <t>P0SJ2</t>
  </si>
  <si>
    <t>WOS:001047821200001</t>
  </si>
  <si>
    <t>Le, WR; Zhan, SB; Zou, L; Wang, Y; Wang, Y; Cheng, F; Zha, SL</t>
  </si>
  <si>
    <t>Le, Wen-ran; Zhan, Sheng-bao; Zou, Lin; Wang, Ying; Wang, Ya; Cheng, Fan; Zha, Shen-long</t>
  </si>
  <si>
    <t>Theoretical and experimental researches for spectral beam combining based on a concave grating</t>
  </si>
  <si>
    <t>Spectral beam combining; Fiber laser; Concave grating; grating Aberration; Aberration Beam quality</t>
  </si>
  <si>
    <t>FIBER LASERS; WAVE</t>
  </si>
  <si>
    <t>A novel spectral beam combining (SBC) system based on a concave grating with a Rowland-circle mount was designed and built. Theoretically, the aberrations, as well as the normalized intensity distribution of a diffracted beam with the wavelength of 1550 nm were calculated, and the grating mount was optimized by using the recursion approach. The results show that the optimized mount is similar to paraboloid shape, under the optimized mount, the aberration is significantly reduced, and the intensity distribution of the diffraction beam is almost consistent with the intensity distribution of the output of a fiber. Further, the combining result of 5-element fiber lasers was simulated, which indicates that the beams of the fiber lasers can be made to spatially overlap. Experimentally, for the output beams of two fiber lasers with the wavelengths of 1536.4 nm and 1543.6 nm, the measured diffracted powers are 0.336 W and 0.368 W with the beam quality factors (������x2) of 1.78 and 1.82. Further, the combined power and ������x2 were measured as well, which are 0.659 W and 2.52 with the combining efficiency of about 71%.</t>
  </si>
  <si>
    <t>[Le, Wen-ran; Zhan, Sheng-bao; Zou, Lin; Wang, Ying; Wang, Ya; Cheng, Fan; Zha, Shen-long] Anqing Normal Univ, Sch Elect Engn &amp; Intelligent Mfg, Anqing 246133, Anhui, Peoples R China</t>
  </si>
  <si>
    <t>Anqing Normal University</t>
  </si>
  <si>
    <t>Zhan, SB (corresponding author), Anqing Normal Univ, Sch Elect Engn &amp; Intelligent Mfg, Anqing 246133, Anhui, Peoples R China.</t>
  </si>
  <si>
    <t>Zhanshb@aliyun.com</t>
  </si>
  <si>
    <t>Le, Wenran/JEP-4349-2023</t>
  </si>
  <si>
    <t>Le, Wenran/0000-0002-3680-7928</t>
  </si>
  <si>
    <t>National Natural Science Foundation of China [2022xscx121]; Academic Innovation Program of Graduate Student of Anhui Province, China; [62205005]</t>
  </si>
  <si>
    <t>National Natural Science Foundation of China(National Natural Science Foundation of China (NSFC)); Academic Innovation Program of Graduate Student of Anhui Province, China;</t>
  </si>
  <si>
    <t>This work is supported by the National Natural Science Foundation of China (62205005) and Academic Innovation Program of Graduate Student of Anhui Province, China (2022xscx121) .</t>
  </si>
  <si>
    <t>10.1016/j.optcom.2023.129774</t>
  </si>
  <si>
    <t>P9DU8</t>
  </si>
  <si>
    <t>WOS:001053616400001</t>
  </si>
  <si>
    <t>Li, HY; Ni, HK; Ying, LX</t>
  </si>
  <si>
    <t>Li, Haoya; Ni, Hongkang; Ying, Lexing</t>
  </si>
  <si>
    <t>A note on spike localization for line spectrum estimation</t>
  </si>
  <si>
    <t>APPLIED AND COMPUTATIONAL HARMONIC ANALYSIS</t>
  </si>
  <si>
    <t>Line spectrum estimation; Quantum phase estimation</t>
  </si>
  <si>
    <t>SUPERRESOLUTION LIMIT; STABILITY; ESPRIT; PARAMETERS; MUSIC</t>
  </si>
  <si>
    <t>This note considers the problem of approximating the locations of dominant spikes for a probability measure from noisy spectrum measurements under the condition of residue signal, significant noise level, and no minimum spectrum separation. We show that the simple procedure of thresholding the smoothed inverse Fourier transform allows for approximating the spike locations rather accurately. (c) 2023 Elsevier Inc. All rights reserved.</t>
  </si>
  <si>
    <t>[Li, Haoya; Ni, Hongkang; Ying, Lexing] Stanford Univ, Stanford, CA 94305 USA</t>
  </si>
  <si>
    <t>Stanford University</t>
  </si>
  <si>
    <t>Li, HY (corresponding author), Stanford Univ, Stanford, CA 94305 USA.</t>
  </si>
  <si>
    <t>lihaoya@stanford.edu; hongkang@stanford.edu; lexing@stanford.edu</t>
  </si>
  <si>
    <t>li, haoya/0000-0001-7076-7600</t>
  </si>
  <si>
    <t>National Science Foundation [DMS-2011699, DMS-2208163]</t>
  </si>
  <si>
    <t>National Science Foundation(National Science Foundation (NSF))</t>
  </si>
  <si>
    <t>* The authors are listed in alphabetical order. The authors thank Wenjing Liao for the helpful discussions. The work of L.Y. is partially supported by the National Science Foundation under awards DMS-2011699 and DMS-2208163.</t>
  </si>
  <si>
    <t>1063-5203</t>
  </si>
  <si>
    <t>1096-603X</t>
  </si>
  <si>
    <t>APPL COMPUT HARMON A</t>
  </si>
  <si>
    <t>Appl. Comput. Harmon. Anal.</t>
  </si>
  <si>
    <t>10.1016/j.acha.2023.101577</t>
  </si>
  <si>
    <t>P7FY4</t>
  </si>
  <si>
    <t>WOS:001052307600001</t>
  </si>
  <si>
    <t>Li, HX; Tang, MH; Wang, J; Dong, LL; Wang, L; Liu, Q; Huang, QX; Lu, SY</t>
  </si>
  <si>
    <t>Li, Hongxian; Tang, Minghui; Wang, Jun; Dong, Lulu; Wang, Ling; Liu, Qi; Huang, Qunxing; Lu, Shengyong</t>
  </si>
  <si>
    <t>Theoretical and experimental investigation on rapid and efficient adsorption characteristics of microplastics by magnetic sponge carbon</t>
  </si>
  <si>
    <t>Magnetic sponge carbon; Microplastics adsorption; Anti-interference; Mechanism; Theoretical calculation</t>
  </si>
  <si>
    <t>FTIR</t>
  </si>
  <si>
    <t>Microplastic pollution control has always been a thorny problem all over the world. Magnetic porous carbon materials have shown a good development prospect in microplastic adsorption due to their excellent adsorption performance and easy magnetic separation from water. However, the adsorption capacity and rate of magnetic porous carbon on microplastics are still not high, and the adsorption mechanism is not fully revealed, which hinders its further development. In this study, magnetic sponge carbon was prepared using glucosamine hydrochloride as the carbon source, melamine as the foaming agent, iron nitrate and cobalt nitrate as the magnetizing agents. Among them, Fe-doped magnetic sponge carbon (FeMSC) exhibited excellent adsorption performance for microplastics due to its sponge-like morphology (fluffy), strong magnetic properties (42 emu/g) and high Fe-loading (8.37 Atomic%). FeMSC could adsorb to saturation within 10 min, and the adsorption capacity of polystyrene (PS) reached as high as 369.07 mg/g in 200 mg/L microplastic solution, which was almost the fastest adsorption rate and highest adsorption capacity reported so far in the same condition. The performance of the material against external interference was also tested. FeMSC performed well in a wide pH range and different water quality, except in the strong alkaline condition. This is because the surface of microplastics and adsorbents will have many negative charges under strong alkalinity, significantly weakening the adsorption. Furthermore, theoretical calculations were innovatively used to reveal the adsorption mechanism at the molecular level. It was found that Fe-doping could form chemisorption between PS and the adsorbent, thereby significantly increasing the adsorption energy between the adsorbent and PS. The magnetic sponge carbon prepared in this study has excellent adsorption performance for microplastics and can be easily separated from water, which is a promising microplastic adsorbent.</t>
  </si>
  <si>
    <t>[Li, Hongxian; Tang, Minghui; Wang, Jun; Dong, Lulu; Wang, Ling; Liu, Qi; Huang, Qunxing; Lu, Shengyong] Zhejiang Univ, State Key Lab Clean Energy Utilizat, Hangzhou 310027, Peoples R China</t>
  </si>
  <si>
    <t>Zhejiang University</t>
  </si>
  <si>
    <t>Tang, MH (corresponding author), Zhejiang Univ, State Key Lab Clean Energy Utilizat, Hangzhou 310027, Peoples R China.</t>
  </si>
  <si>
    <t>lytmh1214@zju.edu.cn</t>
  </si>
  <si>
    <t>Zhejiang Provincial Key Research and Development Program [2023C03129]; National Natural Science Foundation of China [52006191]; Natural Science Foundation of Zhejiang Province [LY21E060007]</t>
  </si>
  <si>
    <t>Zhejiang Provincial Key Research and Development Program; National Natural Science Foundation of China(National Natural Science Foundation of China (NSFC)); Natural Science Foundation of Zhejiang Province(Natural Science Foundation of Zhejiang Province)</t>
  </si>
  <si>
    <t>This investigation was fi nancially supported by the Zhejiang Provincial Key Research and Development Program (No. 2023C03129) , the National Natural Science Foundation of China (No. 52006191) , and the Natural Science Foundation of Zhejiang Province (No. LY21E060007) .</t>
  </si>
  <si>
    <t>10.1016/j.scitotenv.2023.165404</t>
  </si>
  <si>
    <t>O9IW7</t>
  </si>
  <si>
    <t>WOS:001046893500001</t>
  </si>
  <si>
    <t>Li, J; Zhang, X; Zhou, WJ; Tu, ZX; Yang, S; Xia, TL; Chen, ZX; Du, Y</t>
  </si>
  <si>
    <t>Li, Juan; Zhang, Xin; Zhou, Wenju; Tu, Zhaoxin; Yang, Shuai; Xia, Tianli; Chen, Zhengxing; Du, Yan</t>
  </si>
  <si>
    <t>Intelligent films based on highland barley beta-glucan/highland barley prolamin incorporated with black rice bran anthocyanins</t>
  </si>
  <si>
    <t>FOOD PACKAGING AND SHELF LIFE</t>
  </si>
  <si>
    <t>Highland barley &amp; beta;-glucan; Highland barley prolamin; Black rice bran anthocyanins; Intelligent films</t>
  </si>
  <si>
    <t>GLUCAN; NANOPARTICLES; CHITOSAN</t>
  </si>
  <si>
    <t>In this work, the effect of incorporating highland barley prolamin (HBP) on the properties of highland barley ss-glucan (HBBG) films was investigated. Besides, the improvement of black rice bran anthocyanins (BRA) on intelligence effect of HBBG/HBP film was studies. The addition of HBP enhanced the barrier properties of HBBG film, indicating that the water vapor permeability and oxygen permeability of HBBG film decreased. In addition, the mechanical, thermal, optical properties and water contact angle of HBBG film were also found to be improved by the addition of HBP. The colors of HBBG/HBP/BRA films changed quickly and could be distinguished by eye in different pH solution and ammonia environment due to the abundant anthocyanins in BRA. Furthermore, the stability of anthocyanins in BRA was enhanced through hydrogen bond among BRA, HBBG and HBP. Therefore, HBBG/HBP/BRA films have broad prospects in intelligent packaging.</t>
  </si>
  <si>
    <t>[Li, Juan; Zhang, Xin; Yang, Shuai; Xia, Tianli; Chen, Zhengxing; Du, Yan] Jiangnan Univ, Natl Engn Res Ctr Cereal Fermentat &amp; Food Biomfg, Wuxi 214122, Jiangsu, Peoples R China; [Li, Juan; Zhang, Xin; Yang, Shuai; Xia, Tianli; Chen, Zhengxing; Du, Yan] Jiangnan Univ, State Key Lab Food Sci &amp; Technol, Wuxi 214122, Jiangsu, Peoples R China; [Zhou, Wenju] Qinghai Transportat Holding Grp Co LTD, Xining 810016, Qinghai, Peoples R China; [Zhou, Wenju; Tu, Zhaoxin] Qinghai Tianyoude Technol Investment Management Gr, Qinghai Engn Technol Res Inst Comprehens Utilizat, Xining 810016, Qinghai, Peoples R China; [Li, Juan; Zhang, Xin; Yang, Shuai; Xia, Tianli; Chen, Zhengxing; Du, Yan] Jiangnan Univ, Jiangsu Prov Engn Res Ctr Bioact Prod Proc, Wuxi 214122, Jiangsu, Peoples R China</t>
  </si>
  <si>
    <t>Jiangnan University; Jiangnan University; Jiangnan University</t>
  </si>
  <si>
    <t>Du, Y (corresponding author), Jiangnan Univ, Natl Engn Res Ctr Cereal Fermentat &amp; Food Biomfg, Wuxi 214122, Jiangsu, Peoples R China.</t>
  </si>
  <si>
    <t>duyan_tyd@163.com</t>
  </si>
  <si>
    <t>Qinghai Provincial Science and Tech- nology Basic Research Program [2022-KH05-C]; Science and technology benefit plan of Hainan Tibetan Autonomous Prefecture [2021-Y-11]; Xining Science and Technology Planning Program [2023-Y-03]; [2021-ZJ-712]</t>
  </si>
  <si>
    <t>Qinghai Provincial Science and Tech- nology Basic Research Program; Science and technology benefit plan of Hainan Tibetan Autonomous Prefecture; Xining Science and Technology Planning Program;</t>
  </si>
  <si>
    <t>This work was supported by Qinghai Provincial Science and Tech- nology Basic Research Program (2021-ZJ-712) , Science and technology benefit plan of Hainan Tibetan Autonomous Prefecture (2022-KH05-C) , and Xining Science and Technology Planning Program (2021-Y-11, 2023-Y-03) .</t>
  </si>
  <si>
    <t>2214-2894</t>
  </si>
  <si>
    <t>FOOD PACKAGING SHELF</t>
  </si>
  <si>
    <t>FOOD PACKAGING SHELF LIFE</t>
  </si>
  <si>
    <t>10.1016/j.fpsl.2023.101146</t>
  </si>
  <si>
    <t>Q5DI9</t>
  </si>
  <si>
    <t>WOS:001057719600001</t>
  </si>
  <si>
    <t>Li, L; Hou, ZB; Mao, YQ</t>
  </si>
  <si>
    <t>Li, Liang; Hou, Zhibo; Mao, Yiqiu</t>
  </si>
  <si>
    <t>Dynamical transition and bifurcation of a diffusive predator-prey model with an Allee effect on prey</t>
  </si>
  <si>
    <t>COMMUNICATIONS IN NONLINEAR SCIENCE AND NUMERICAL SIMULATION</t>
  </si>
  <si>
    <t>Mathematical biology; Dynamic transition; Allee effect; PES; Center manifold</t>
  </si>
  <si>
    <t>STABILITY; PATTERN; SELF</t>
  </si>
  <si>
    <t>We study the stability and dynamic transitions of a diffusive predator-prey model with Allee effect on prey in a two-dimensional domain. Our tool includes the recently developed dynamic transition theory by Ma and Wang (2019). We first verify the principle of exchange of stability(PES), then we obtain rigorously the nonlinear transition behavior of the reaction-diffusion system. For single eigenvalue crossing, global transitions where solutions jump away from origin are also discovered along with local pitch-fork and Hopf bifurcations. We also investigates the rarely studied double eigenvalue crossing case which shows more complex bifurcations. All these dynamic behaviors are classified according to a nondimensional transition number and detailed orbital changes are illustrated. Further numerical studies are included to reflect the theoretical results and display intricate relationships between solution patterns and parameters, among which the distinct role of the Allee effect is analyzed in detail.&amp; COPY; 2023 Elsevier B.V. All rights reserved.</t>
  </si>
  <si>
    <t>[Li, Liang; Mao, Yiqiu] Guangzhou Univ, Sch Math &amp; Informat Sci, Guangzhou 510000, Guangdong, Peoples R China; [Hou, Zhibo] XiHua Univ, Sch Sci, Chengdu 610039, Sichuan, Peoples R China</t>
  </si>
  <si>
    <t>Guangzhou University; Xihua University</t>
  </si>
  <si>
    <t>Mao, YQ (corresponding author), Guangzhou Univ, Sch Math &amp; Informat Sci, Guangzhou 510000, Guangdong, Peoples R China.</t>
  </si>
  <si>
    <t>llbohou@gzhu.edu.cn; houzhibo@mail.xhu.edu.cn; yqmao@gzhu.edu.cn</t>
  </si>
  <si>
    <t>Natural Science Foundation of Sichuan Province, China [2022NSFSC1818]; Basic and Applied Basic Research Fund of Guangdong Province of China [2019A1515110711, 2022A1515110875]; National Natural Science Foundation of China (NSFC) [12004073]; Guangzhou Basic and Applied Basic Research Fund, China [2023A04J1329]; Key Scientific Research Fund of Xihua University Grant [Z1412619]</t>
  </si>
  <si>
    <t>Natural Science Foundation of Sichuan Province, China; Basic and Applied Basic Research Fund of Guangdong Province of China; National Natural Science Foundation of China (NSFC)(National Natural Science Foundation of China (NSFC)); Guangzhou Basic and Applied Basic Research Fund, China; Key Scientific Research Fund of Xihua University Grant</t>
  </si>
  <si>
    <t>The work of L. Li is supported by Natural Science Foundation of Sichuan Province, China Grant No. 2022NSFSC1818. The work of Y. Mao is supported by the Basic and Applied Basic Research Fund of Guangdong Province of China grant No. 2019A1515110711, 2022A1515110875, National Natural Science Foundation of China (NSFC) grant No. 12004073, and Guangzhou Basic and Applied Basic Research Fund, China grant No. 2023A04J1329. The work of Zhibo Hou is supported by the Key Scientific Research Fund of Xihua University Grant No.Z1412619. Author L. Li and Z. Hou contribute equally to this article.</t>
  </si>
  <si>
    <t>1007-5704</t>
  </si>
  <si>
    <t>1878-7274</t>
  </si>
  <si>
    <t>COMMUN NONLINEAR SCI</t>
  </si>
  <si>
    <t>Commun. Nonlinear Sci. Numer. Simul.</t>
  </si>
  <si>
    <t>10.1016/j.cnsns.2023.107433</t>
  </si>
  <si>
    <t>Mathematics, Applied; Mathematics, Interdisciplinary Applications; Mechanics; Physics, Fluids &amp; Plasmas; Physics, Mathematical</t>
  </si>
  <si>
    <t>Mathematics; Mechanics; Physics</t>
  </si>
  <si>
    <t>P0HH1</t>
  </si>
  <si>
    <t>WOS:001047530600001</t>
  </si>
  <si>
    <t>Li, LC; Zhu, ZH; Ni, J; Zuo, XJ</t>
  </si>
  <si>
    <t>Li, Lucheng; Zhu, Zehua; Ni, Jie; Zuo, Xiaojun</t>
  </si>
  <si>
    <t>Sustainable phosphorus adsorption and recovery from aqueous solution by a novel recyclable Ca-PAC-CTS</t>
  </si>
  <si>
    <t>Sustainable; Phosphorus recovery; Chitosan; Powdered activated carbon; Wastewater treatment</t>
  </si>
  <si>
    <t>PHOSPHATE ADSORPTION; EFFICIENT REMOVAL; ADSORBENT; KINETICS; WATER; ACID; CALCITE; SLUDGE; BEADS</t>
  </si>
  <si>
    <t>Phosphorus removal has been explored for a long time, however sustainable phosphorus adsorption and recovery with adsorbents recycling is rarely reported. This work proposes a sustainable phosphorus recycling route with calciummodified powdered activated carbon with chitosan (Ca-PAC-CTS). The morphology, functional groups and crystal structure of Ca-PAC-CTS were characterized. The maximum phosphorus adsorption capacity was 16.73 mg/g CaPAC-CTS with Langmuir model at 298 K. Stable phosphorus sorption on Ca-PAC-CTS could be observed at the large range of pH (4- 10) when coexisting with NO3-, SO42-, Cl- and F-, except HCO3-. 98.95 % The recovery of adsorbed phosphorus could get to 98.95 % using 0.05 M sulfuric acid solution, and the phosphate adsorption efficiency through Ca-PAC-CTS remained to be more than 80 % after five adsorption-desorption cycles, suggesting that Ca-PAC-CTS was one of the promising adsorbents for sustainable removal and recovery of phosphorus in aqueous solution.</t>
  </si>
  <si>
    <t>[Li, Lucheng; Zhu, Zehua; Ni, Jie; Zuo, Xiaojun] Nanjing Univ Informat Sci &amp; Technol, Collaborat Innovat Ctr Atmospher Environm &amp; Equipm, Jiangsu Key Lab Atmospher Environm Monitoring &amp; Po, Nanjing 210044, Peoples R China</t>
  </si>
  <si>
    <t>Nanjing University of Information Science &amp; Technology</t>
  </si>
  <si>
    <t>Zuo, XJ (corresponding author), Nanjing Univ Informat Sci &amp; Technol, Collaborat Innovat Ctr Atmospher Environm &amp; Equipm, Jiangsu Key Lab Atmospher Environm Monitoring &amp; Po, Nanjing 210044, Peoples R China.</t>
  </si>
  <si>
    <t>z850108xj@163.com</t>
  </si>
  <si>
    <t>Li, Lucheng/0000-0002-6461-8841</t>
  </si>
  <si>
    <t>National Natural Sci-ence Foundation of China [52170099]; Jiangsu Province Carbon Peaking and Carbon Neutrality Science and Technology Innovation Special Fund [BK20220012]</t>
  </si>
  <si>
    <t>National Natural Sci-ence Foundation of China(National Natural Science Foundation of China (NSFC)); Jiangsu Province Carbon Peaking and Carbon Neutrality Science and Technology Innovation Special Fund</t>
  </si>
  <si>
    <t>The authors thanks for fi nancial assistance from National Natural Sci-ence Foundation of China (52170099) , Jiangsu Province Carbon Peaking and Carbon Neutrality Science and Technology Innovation Special Fund (BK20220012) .</t>
  </si>
  <si>
    <t>10.1016/j.scitotenv.2023.165444</t>
  </si>
  <si>
    <t>O5WD9</t>
  </si>
  <si>
    <t>WOS:001044501500001</t>
  </si>
  <si>
    <t>Li, M; Sun, C; Wu, ZL; Gong, XL</t>
  </si>
  <si>
    <t>Li, Mei; Sun, Chao; Wu, Zailin; Gong, Xiaolong</t>
  </si>
  <si>
    <t>A new method for improving the fault detection performance of distance relays during power swings</t>
  </si>
  <si>
    <t>The Archimedean spiral; Symmetrical; asymmetrical fault detection; Power swing; Transmission lines; Distance relay</t>
  </si>
  <si>
    <t>SYMMETRICAL FAULT; BLOCKING; CLASSIFICATION; FREQUENCY; PRINCIPLE; SCHEME; SYSTEM</t>
  </si>
  <si>
    <t>System oscillations caused by circuit breaks, faults, etc. are called power swings, which have similar characteristics to symmetrical faults and often enter the action area of distance relays causing trips. As a transmission line that undertakes the transmission of electricity in the power system, unnecessary tripping can damage the reliability of the network, so it is crucial for distance relays to work with a reliable power swing blocking and unblocking function. This paper proposes a new method of constructing Archimedean spiral based on current signals, which calculates the instantaneous angular velocity using the spiral trajectory. The proposed method works at a fixed threshold, which is related only to the system operating frequency and swing frequency, and is tested numerically in IEEE 9 buses and four-machine two-area systems to simulate a variety of faults and power swing scenarios by varying different parameters, the results show that the fault detector improves the distance protection during power swings.</t>
  </si>
  <si>
    <t>[Li, Mei; Sun, Chao; Wu, Zailin; Gong, Xiaolong] Anhui Univ Sci &amp; Technol, Coll Elect &amp; Informat Engn, Huainan 232001, Anhui, Peoples R China</t>
  </si>
  <si>
    <t>Anhui University of Science &amp; Technology</t>
  </si>
  <si>
    <t>Sun, C (corresponding author), Anhui Univ Sci &amp; Technol, Coll Elect &amp; Informat Engn, Huainan 232001, Anhui, Peoples R China.</t>
  </si>
  <si>
    <t>17344035569@163.com</t>
  </si>
  <si>
    <t>Key Projects of Natural Science Research in Anhui Universities [KJ2021A0471]</t>
  </si>
  <si>
    <t>Key Projects of Natural Science Research in Anhui Universities</t>
  </si>
  <si>
    <t>The research is financially supported by Key Projects of Natural Science Research in Anhui Universities (Grant Nos. KJ2021A0471)</t>
  </si>
  <si>
    <t>10.1016/j.epsr.2023.109730</t>
  </si>
  <si>
    <t>P6IZ8</t>
  </si>
  <si>
    <t>WOS:001051706200001</t>
  </si>
  <si>
    <t>Li, PS; Shen, JW; Wu, ZJ; Yin, MH; Dong, YH; Han, J</t>
  </si>
  <si>
    <t>Li, Peishuai; Shen, Jiawei; Wu, Zaijun; Yin, Minghui; Dong, Yanhao; Han, Jing</t>
  </si>
  <si>
    <t>Optimal real-time Voltage/Var control for distribution network: Droop-control based multi-agent deep reinforcement learning</t>
  </si>
  <si>
    <t>Distributed voltage; var control; Q-V droop control; Multi-agent deep reinforcement learning</t>
  </si>
  <si>
    <t>DISTRIBUTION-SYSTEM; VOLT/VAR CONTROL; REACTIVE POWER; PENETRATION; FRAMEWORK</t>
  </si>
  <si>
    <t>The photovoltaics (PVs) known as clean power generation has been highly penetrated in distribution networks, which motivates the network develops towards high uncertainty with complex real-time operation status. In this paper, an optimal real-time Voltage/Var control (ORT-VVC) method is proposed to reduce power losses and mitigate voltage fluctuations by optimizing the reactive power output of the PV inverter. And the ORT-VVC is implemented via a novelly proposed droop-control based multi-agent deep reinforcement learning (DC-MADRL). The VVC structure is constructed in distributed pattern with network partition and the multi-agents are established to rule the sub-networks via rare information communication between neighbors. Then, the PV control model is established as a Q-V droop control model with adjustable parameters. The MADRL is employed to optimize the PV controlling parameters instead of optimizing PV reactive power output directly, which aims to improve the real-time VVC performance for distribution network. The DC-MADRL model is established and solved via the multi-agent deep deterministic policy gradient (MADDPG) algorithm. Finally, numerical simulations are performed on the IEEE 123-bus test system to demonstrate the effectiveness of the proposed method.</t>
  </si>
  <si>
    <t>[Li, Peishuai; Shen, Jiawei; Yin, Minghui; Dong, Yanhao; Han, Jing] Nanjing Univ Sci &amp; Technol, 200 Xiaolingwei St, Nanjing 210094, Peoples R China; [Wu, Zaijun] Southeast Univ, 2 Sipailou, Nanjing 210000, Peoples R China</t>
  </si>
  <si>
    <t>Nanjing University of Science &amp; Technology; Southeast University - China</t>
  </si>
  <si>
    <t>Li, PS (corresponding author), Nanjing Univ Sci &amp; Technol, 200 Xiaolingwei St, Nanjing 210094, Peoples R China.</t>
  </si>
  <si>
    <t>30216263@qq.com</t>
  </si>
  <si>
    <t>10.1016/j.ijepes.2023.109370</t>
  </si>
  <si>
    <t>P4BT7</t>
  </si>
  <si>
    <t>WOS:001050123000001</t>
  </si>
  <si>
    <t>Li, TF; Luo, XP; He, BL; Wang, LF; Zhang, JX; Liu, Q</t>
  </si>
  <si>
    <t>Li, Tengfei; Luo, Xiaoping; He, Bolin; Wang, Liangfeng; Zhang, Jinxin; Liu, Qian</t>
  </si>
  <si>
    <t>Flow boiling heat transfer enhancement in vertical minichannel heat sink with non-uniform microcavity arrays under electric field</t>
  </si>
  <si>
    <t>EXPERIMENTAL THERMAL AND FLUID SCIENCE</t>
  </si>
  <si>
    <t>Minichannel; Micro -concave cavity; Electrohydrodynamic; Heat transfer enhancement; Nanofluid</t>
  </si>
  <si>
    <t>PRESSURE-DROP; FLUX; CONDENSATION; REFRIGERANT; PERFORMANCE; NANOFLUID; SURFACES; TUBE</t>
  </si>
  <si>
    <t>Effects of electrohydrodynamics (EHD) on the bubble behavior and enhanced heat dissipation mechanism for four surface configurations and various heat fluxes in an upward flowing minichannel heat sink were studied experimentally. Three different minichannel configurations with microcavities array were fabricated using direct metal laser sintering. Flow boiling experiments of nanofluid (SiO2-R141b) under different nonuniform electric fields were performed. Homogeneity test of Variance Analysis was introduced to analyze the effect of design and operation parameters on heat transfer. Coupled effect of microcavity and electric field was further found to improve boiling heat transfer efficiency. Visualization shows that the diameter of small bubbles leaving microcavity increased under electric field. The bubbles wiggled between wire electrode and heated wall by action of electric field in bubbly flow district. Furthermore, the mechanism of perturbation of small bubbles flowing along the heating wall under electric field was discussed. It was revealed that the micro-concave cavity array distributed dense downstream and sparse upstream had a large impact on heat transfer coefficient (HTC), especially under electric field. The maximum synthetic enhancement factor of 2.11 was obtained for given flow conditions. Furthermore, a new predictive equation was proposed by a nonlinear regression equation to consider the effects of micro-concave cavity distribution and electric field factors on thermal transfer performance, and this correlation can predict the HTC affected by non-uniform micro-concave arrays well within the &amp; PLUSMN; 10% error band.</t>
  </si>
  <si>
    <t>[Li, Tengfei; Luo, Xiaoping; He, Bolin; Wang, Liangfeng; Zhang, Jinxin; Liu, Qian] South China Univ Technol, Sch Mech &amp; Automot Engn, Guangzhou 510640, Guangdong, Peoples R China</t>
  </si>
  <si>
    <t>South China University of Technology</t>
  </si>
  <si>
    <t>Luo, XP (corresponding author), South China Univ Technol, Sch Mech &amp; Automot Engn, Guangzhou 510640, Guangdong, Peoples R China.</t>
  </si>
  <si>
    <t>mmxpluo@scut.edu.cn</t>
  </si>
  <si>
    <t>National Natural Science Foundation of China [22178118]; Natural Science Foundation of Guangdong Province [2019A1515011053]</t>
  </si>
  <si>
    <t>National Natural Science Foundation of China(National Natural Science Foundation of China (NSFC)); Natural Science Foundation of Guangdong Province(National Natural Science Foundation of Guangdong Province)</t>
  </si>
  <si>
    <t>This work was supported by the National Natural Science Foundation of China (No. 22178118) . This work was also supported by the Natural Science Foundation of Guangdong Province (No. 2019A1515011053) .</t>
  </si>
  <si>
    <t>0894-1777</t>
  </si>
  <si>
    <t>1879-2286</t>
  </si>
  <si>
    <t>EXP THERM FLUID SCI</t>
  </si>
  <si>
    <t>Exp. Therm. Fluid Sci.</t>
  </si>
  <si>
    <t>10.1016/j.expthermflusci.2023.110997</t>
  </si>
  <si>
    <t>Thermodynamics; Engineering, Mechanical; Physics, Fluids &amp; Plasmas</t>
  </si>
  <si>
    <t>Thermodynamics; Engineering; Physics</t>
  </si>
  <si>
    <t>P4OZ8</t>
  </si>
  <si>
    <t>WOS:001050470100001</t>
  </si>
  <si>
    <t>Li, W; Wei, CR</t>
  </si>
  <si>
    <t>Li, Wei; Wei, Chen-Rui</t>
  </si>
  <si>
    <t>On the partial differential Luroth's theorem</t>
  </si>
  <si>
    <t>Partial differential Luroth's theorem; Generalized Luroth's theorem; Differential dimension polynomial; Unirational differential curve</t>
  </si>
  <si>
    <t>EXTENSIONS; DIMENSION; FIELDS</t>
  </si>
  <si>
    <t>We study the Lilroth problem for partial differential fields. The main result is the following partial differential analog of generalized Lilroth's theorem: Let 7be a differential field of characteristic 0 with m commuting derivation operators, u = u1, . . . , un a set of differential indeterminates over 7. We prove that an intermediate differential field g between 7and 7(u) is a simple differential extension of 7 if and only if the differential dimension polynomial of u over g is of the form &amp; omega;u/g(t) = nt+m) -t+m-s) for some s E N. This m m result generalizes the classical differential Lilroth's theorem proved by Ritt and Kolchin in the case m = n = 1. We then present an algorithm to decide whether a given finitely generated differential extension field of 7 contained in 7(u) is a simple extension, and in the affirmative case, to compute a Lilroth generator. As an application, we solve the proper re -parameterization problem for unirational differential curves.&amp; COPY; 2023 Elsevier Inc. All rights reserved.</t>
  </si>
  <si>
    <t>[Li, Wei; Wei, Chen-Rui] Chinese Acad Sci, Acad Math &amp; Syst Sci, KLMM, Beijing 100190, Peoples R China; [Li, Wei; Wei, Chen-Rui] Univ Chinese Acad Sci, Beijing 100049, Peoples R China</t>
  </si>
  <si>
    <t>Chinese Academy of Sciences; Academy of Mathematics &amp; System Sciences, CAS; Chinese Academy of Sciences; University of Chinese Academy of Sciences, CAS</t>
  </si>
  <si>
    <t>Li, W (corresponding author), Chinese Acad Sci, Acad Math &amp; Syst Sci, KLMM, Beijing 100190, Peoples R China.;Li, W (corresponding author), Univ Chinese Acad Sci, Beijing 100049, Peoples R China.</t>
  </si>
  <si>
    <t>liwei@mmrc.iss.ac.cn; weichenrui@amss.ac.cn</t>
  </si>
  <si>
    <t>NSFC [12122118, 11971029, 12288201]; Youth Innovation Promotion Association of CAS [2020001]; CAS Project for Young Scientists in Basic Research [YSBR-008]</t>
  </si>
  <si>
    <t>NSFC(National Natural Science Foundation of China (NSFC)); Youth Innovation Promotion Association of CAS; CAS Project for Young Scientists in Basic Research</t>
  </si>
  <si>
    <t>This work was supported by NSFC grants (12122118, 11971029 and 12288201) , the fund of Youth Innovation Promotion Association of CAS (2020001) , and CAS Project for Young Scientists in Basic Research with Grant No. YSBR-008. We would like to thank the anonymous referee for helpful comments and suggestions on a previous version of this manuscript.</t>
  </si>
  <si>
    <t>10.1016/j.jalgebra.2023.03.036</t>
  </si>
  <si>
    <t>P6DW0</t>
  </si>
  <si>
    <t>WOS:001051570800001</t>
  </si>
  <si>
    <t>Li, XY; Dai, L; Li, W; Wu, MZ; Zhan, WM; Cheng, T; He, P; Xiong, CY</t>
  </si>
  <si>
    <t>Li, Xinyu; Dai, Lei; Li, Wei; Wu, Minzhe; Zhan, Weimin; Cheng, Ting; He, Ping; Xiong, Chuanyin</t>
  </si>
  <si>
    <t>A self-assembly all-polysaccharide hydrogel for the aquatic heavy metal ions management and utilization</t>
  </si>
  <si>
    <t>Nanocellulose; Guar gum; Hydrogel; Wastewater treatment; Supercapacitor; Sensing</t>
  </si>
  <si>
    <t>ELECTRODE MATERIALS; GRAPHENE; ROBUST</t>
  </si>
  <si>
    <t>Hydrogels with a unique three-dimensional porous structure are regarded as good adsorbents to treat heavy metal ions-contaminated water. However, the post-treatment of the hydrogels after the wastewater treatment is still a big problem. We herein proposed to use the TEMPO-oxidized cellulose nanofibers (TOCN)/cationic guar gum (CGG) self-assembly hydrogel to adsorb Cu2+ from its contaminated water. The Cu2+-adsorbed hydrogel was demonstrated to be a good stress-sensing material responsive to the loading weight. In addition, the Cu2+-adsorbed hydrogel was transformed into a Cu-doped carbon aerogel after the freeze-drying and carbonization treatments and the resultant carbon aerogel exhibited good and stable electrochemical property. It had an aerial specific capacitance of 3.14 F.cm(-2) when the current density was 3 mA.cm(-2). Importantly, the existence of copper largely enhanced the electrochemical property of the carbon aerogel since it led to the improvement in conductivity and pseudocapacitance. This work might spur the application of hydrogel in heavy metal ions-contaminated water treatment and provide new ways to convert pollutants into products.</t>
  </si>
  <si>
    <t>[Li, Xinyu; Dai, Lei; Cheng, Ting; He, Ping; Xiong, Chuanyin] Shaanxi Univ Sci &amp; Technol, Coll Bioresources Chem &amp; Mat Engn, Xian 710021, Peoples R China; [Li, Wei] Anhui Polytech Univ, Coll Text &amp; Garments, Wuhu 241000, Peoples R China; [Wu, Minzhe] Zhejiang Jianfeng Pharmaceut Co Ltd, Jinhua 321000, Peoples R China; [Zhan, Weimin] Zhejiang Jinchang Specialty Paper Co Ltd, Longyou 324400, Peoples R China</t>
  </si>
  <si>
    <t>Shaanxi University of Science &amp; Technology; Anhui Polytechnic University</t>
  </si>
  <si>
    <t>Dai, L; He, P; Xiong, CY (corresponding author), Shaanxi Univ Sci &amp; Technol, Coll Bioresources Chem &amp; Mat Engn, Xian 710021, Peoples R China.;Li, W (corresponding author), Anhui Polytech Univ, Coll Text &amp; Garments, Wuhu 241000, Peoples R China.</t>
  </si>
  <si>
    <t>dailei@sust.edu.cn; liw@ahpu.edu.cn; 532649643@qq.com; xiongchuanyin@sust.edu.cn</t>
  </si>
  <si>
    <t>WANG, HUI/JFA-9683-2023; Chen, Xin/JDN-2017-2023</t>
  </si>
  <si>
    <t>Li, Wei/0000-0003-4987-5089</t>
  </si>
  <si>
    <t>National Natural Science Foundation of China [22178208, 31901265]; Post-doctoral Science Foundation of Zhejiang Province</t>
  </si>
  <si>
    <t>National Natural Science Foundation of China(National Natural Science Foundation of China (NSFC)); Post-doctoral Science Foundation of Zhejiang Province(China Postdoctoral Science Foundation)</t>
  </si>
  <si>
    <t>This work is financially supported by the National Natural Science Foundation of China (grant number: 22178208; 31901265) , the Post-doctoral Science Foundation of Zhejiang Province.</t>
  </si>
  <si>
    <t>10.1016/j.indcrop.2023.117236</t>
  </si>
  <si>
    <t>P5IZ8</t>
  </si>
  <si>
    <t>WOS:001051025300001</t>
  </si>
  <si>
    <t>Li, YY</t>
  </si>
  <si>
    <t>Li, Yuanyuan</t>
  </si>
  <si>
    <t>A positive solution of p-Laplace problems related to a critical Sobolev term</t>
  </si>
  <si>
    <t>Positive solution; Pohozaev identity; Critical term; p-laplace equation</t>
  </si>
  <si>
    <t>SCALAR FIELD-EQUATIONS; ELLIPTIC-EQUATIONS; EXISTENCE</t>
  </si>
  <si>
    <t>In this paper, we consider a class of p-Laplace problem with a critical Sobolev term and prove the existence of a positive solution under some assumptions on the nonlinear term by employing the Pohozaev identity. &amp; COPY; 2023 Elsevier Ltd. All rights reserved.</t>
  </si>
  <si>
    <t>[Li, Yuanyuan] North China Univ Water Resources &amp; Elect Power, Sch Math &amp; Stat, Zhengzhou 450000, Peoples R China</t>
  </si>
  <si>
    <t>Li, YY (corresponding author), North China Univ Water Resources &amp; Elect Power, Sch Math &amp; Stat, Zhengzhou 450000, Peoples R China.</t>
  </si>
  <si>
    <t>liyuanyuan@ncwu.edu.cn</t>
  </si>
  <si>
    <t>National Natural Science Foundation of China [12101236]</t>
  </si>
  <si>
    <t>Acknowledgments This work was supported by National Natural Science Foundation of China (No. 12101236) .</t>
  </si>
  <si>
    <t>10.1016/j.aml.2023.108794</t>
  </si>
  <si>
    <t>P4DD3</t>
  </si>
  <si>
    <t>WOS:001050158600001</t>
  </si>
  <si>
    <t>Li, ZL; Dong, JQ; Zhong, WH; Wang, GJ; Liu, X; Liu, QG; Song, XL</t>
  </si>
  <si>
    <t>Li, Zilong; Dong, Jiaqing; Zhong, Wenhua; Wang, Guijun; Liu, Xuan; Liu, Qiegen; Song, Xianlin</t>
  </si>
  <si>
    <t>Motionless shape-from-focus depth measurement via high-speed axial optical scanning</t>
  </si>
  <si>
    <t>Depth measurement; Shape from focus; Axial optical scanning</t>
  </si>
  <si>
    <t>STRUCTURED LIGHT; IMAGE FUSION; RECONSTRUCTION; ORIENTATION; ACCURATE</t>
  </si>
  <si>
    <t>Shape-from-focus depth measurement is widely used in equipment manufacturing, biomedicine, heritage conservation, engineering measurement, etc. However, the acquisition of multi-focus image sequence is not very flexible and time-consuming in conventional shape from focus. Here, a novel depth measurement from shape from focus method based on ultrafast optical axial scanning was proposed. An electronically tunable lens was used to achieve high-speed focus shift, by synchronizing a CCD with the electronically tunable lens, multi-focus image sequence can be acquired at high speed (up to 2.5 ms). The focusing area of each multi-focus image was extracted by the energy of image gradient operator. Finally, the motionless depth measurement can be achieved. A tilted marker pen was used to test the performance of the depth measurement, the results show that the depth resolution of the proposed method is measured to be-3.2 cm in a depth range of-24 cm. The feasibility of the proposed method was verified using misplaced portrait sculptures. This method will further expand the application of depth measurement from shape from focus in human-computer interaction, 3D shape measurement, and augmented reality.</t>
  </si>
  <si>
    <t>[Li, Zilong; Dong, Jiaqing; Zhong, Wenhua; Wang, Guijun; Liu, Xuan; Liu, Qiegen; Song, Xianlin] Nanchang Univ, Sch Informat Engn, Nanchang 330031, Peoples R China</t>
  </si>
  <si>
    <t>Nanchang University</t>
  </si>
  <si>
    <t>Song, XL (corresponding author), Nanchang Univ, Sch Informat Engn, Nanchang 330031, Peoples R China.</t>
  </si>
  <si>
    <t>liuqiegen@ncu.edu.cn; songxianlin@ncu.edu.cn</t>
  </si>
  <si>
    <t>Li, Yuanyuan/J-3539-2014; Li, Zilong/JEZ-8642-2023; Zeng, Yun/JFK-6190-2023</t>
  </si>
  <si>
    <t>Li, Yuanyuan/0000-0001-6151-9306; Song, Xianlin/0000-0002-0356-5977</t>
  </si>
  <si>
    <t>National Natural Science Foundation of China [62265011]; Jiangxi Provincial Natural Science Foundation, China [20224BAB212006]; Key Research and Development Program of Jiangxi Province, China [20212BBE5 3001]</t>
  </si>
  <si>
    <t>National Natural Science Foundation of China(National Natural Science Foundation of China (NSFC)); Jiangxi Provincial Natural Science Foundation, China; Key Research and Development Program of Jiangxi Province, China</t>
  </si>
  <si>
    <t>National Natural Science Foundation of China (62265011) ; Jiangxi Provincial Natural Science Foundation, China (20224BAB212006) ; Key Research and Development Program of Jiangxi Province, China (20212BBE5 3001) .</t>
  </si>
  <si>
    <t>10.1016/j.optcom.2023.129756</t>
  </si>
  <si>
    <t>P4RK2</t>
  </si>
  <si>
    <t>WOS:001050532600001</t>
  </si>
  <si>
    <t>Liang, HM; Song, P; Jiang, W; Di, J</t>
  </si>
  <si>
    <t>Liang, Huimin; Song, Pin; Jiang, Wei; Di, Jun</t>
  </si>
  <si>
    <t>Indium-based atomic layer for photoreduction reactions: Design, synthesis and performance optimization</t>
  </si>
  <si>
    <t>Indium-based materials; Atomic layers; Optimization strategy; Photoreduction reactions</t>
  </si>
  <si>
    <t>PHOTOCATALYTIC CO2 REDUCTION; CARRIER SEPARATION; DOPED ZNIN2S4; CHALLENGES; CONVERSION; NANOSHEETS; EVOLUTION; EFFICIENT; VACANCIES; SHEETS</t>
  </si>
  <si>
    <t>As a kind of green technology, photocatalysis shows great potential in solving global environmental pollution and energy crisis. Among the numerous materials, indium-based materials have been widely studied because of their excellent photocatalytic properties. In this review, the research progress of indium-based atomic layers photocatalysts is reviewed. Firstly, the basis of photocatalytic reduction is introduced, and then the strategies for indium-based atomic layer synthesis are summarized, including hydro-/solvothermal methods, exfoliation, template-directed strategies, surfactant self-assembly means, and inorganic-organic lamellar hybrid intermediate method. Furthermore, various optimization strategies are proposed to boost the photocatalytic reduction performance of indium-based atomic layers, such as component regulation, element doping, surface defect engineering, co-catalysts, single-atom engineering, and heterojunction. Finally, the main development prospects and obstacles of indium-based photocatalysts are put forward.</t>
  </si>
  <si>
    <t>[Liang, Huimin; Jiang, Wei; Di, Jun] Nanjing Univ Sci &amp; Technol, Sch Chem &amp; Chem Engn, Natl Special Superfine Powder Engn Res Ctr, Nanjing 210094, Peoples R China; [Di, Jun] Zhejiang Normal Univ, Key Lab Minist Educ Adv Catalysis Mat, Jinhua 321004, Peoples R China; [Song, Pin] Anhui Normal Univ, Minist Educ,Coll Chem &amp; Mat Sci, Anhui Engn Res Ctr Carbon Neutral, Key Lab Funct Mol Solids, Wuhu 241000, Peoples R China; [Song, Pin; Di, Jun] Nankai Univ, Coll Chem, Key Lab Adv Energy Mat Chem Minist Educ, Tianjin 300071, Peoples R China</t>
  </si>
  <si>
    <t>Nanjing University of Science &amp; Technology; Zhejiang Normal University; Anhui Normal University; Nankai University</t>
  </si>
  <si>
    <t>Jiang, W (corresponding author), Nanjing Univ Sci &amp; Technol, Sch Chem &amp; Chem Engn, Natl Special Superfine Powder Engn Res Ctr, Nanjing 210094, Peoples R China.;Song, P; Di, J (corresponding author), Nankai Univ, Coll Chem, Key Lab Adv Energy Mat Chem Minist Educ, Tianjin 300071, Peoples R China.</t>
  </si>
  <si>
    <t>songpin@ahnu.edu.cn; superfine_jw@126.com; dijun@njust.edu.cn</t>
  </si>
  <si>
    <t>National Natural Science Foundation of China [22205108]; Fundamental Research Funds for the Central Universities [30922010302, PA2022GDSK0056]; Open Research Fund of Key Laboratory of the Ministry of Education for Advanced Catalysis Materials, Zhejiang Normal University [KLMEACM 202201]; Zhejiang Key Laboratory for Reactive Chemistry on Solid Surfaces, Zhejiang Normal University [KLMEACM 202201]; Natural Science Research Project for Universities in Anhui Province [KJ2021ZD0006]; Natural Science Foundation of Anhui Province [2208085MB21]</t>
  </si>
  <si>
    <t>National Natural Science Foundation of China(National Natural Science Foundation of China (NSFC)); Fundamental Research Funds for the Central Universities(Fundamental Research Funds for the Central Universities); Open Research Fund of Key Laboratory of the Ministry of Education for Advanced Catalysis Materials, Zhejiang Normal University; Zhejiang Key Laboratory for Reactive Chemistry on Solid Surfaces, Zhejiang Normal University; Natural Science Research Project for Universities in Anhui Province; Natural Science Foundation of Anhui Province(Natural Science Foundation of Anhui Province)</t>
  </si>
  <si>
    <t>This work was supported by National Natural Science Foundation of China (No. 22205108), Fundamental Research Funds for the Central Universities (No. 30922010302, No. PA2022GDSK0056), Open Research Fund of Key Laboratory of the Ministry of Education for Advanced Catalysis Materials and Zhejiang Key Laboratory for Reactive Chemistry on Solid Surfaces (KLMEACM 202201), Zhejiang Normal University, Natural Science Research Project for Universities in Anhui Province (KJ2021ZD0006), Natural Science Foundation of Anhui Province (2208085MB21).</t>
  </si>
  <si>
    <t>10.1016/j.seppur.2023.124514</t>
  </si>
  <si>
    <t>N9WZ1</t>
  </si>
  <si>
    <t>WOS:001040441800001</t>
  </si>
  <si>
    <t>Liangruksa, M; Kanaphan, Y; Meethong, N; Klamchuen, A</t>
  </si>
  <si>
    <t>Liangruksa, Monrudee; Kanaphan, Yutthanakon; Meethong, Nonglak; Klamchuen, Annop</t>
  </si>
  <si>
    <t>First-principles investigation of defective graphene anchored with small silicon clusters as a potential anode material for lithium-ion batteries</t>
  </si>
  <si>
    <t>SURFACE SCIENCE</t>
  </si>
  <si>
    <t>DFT; Si cluster; 2D-materials; Adsorption energy; Lithiation potential; Li-ion battery</t>
  </si>
  <si>
    <t>FUNCTIONAL THEORY CALCULATIONS; TOTAL-ENERGY CALCULATIONS; AB-INITIO; OXIDIZED GRAPHENE; COMPOSITE ANODES; LI ADSORPTION; HIGH-CAPACITY; SI; STORAGE; DFT</t>
  </si>
  <si>
    <t>The interplay between vacant graphene and silicon (Si) provides a viable way to tune the properties for successful implementation as a promising anode material of lithium-ion batteries. Therefore, understanding the interaction of such defects when coupled with silicon clusters is of particular importance. Using first-principles methods, we investigate the atomic adsorption on graphene with a single vacancy and a double vacancy, as well as the structural and electrical properties. The presence of defects strongly enhances the interaction between the defective graphene and Si clusters, dependent on Si type. We observe that SiO strongly adsorbed on the divacancy graphene with the adsorption energy of -4.49 eV could provide extra intercalation places for Li atoms, augmenting the adsorption energy of Li from -1.18 eV to -4.15 eV compared to the pristine graphene. Moreover, it exhibits a threefold increase in the lithiation /de-lithiation potential and the superior Li storage capacity. The enrichment of Li adsorption and uptake is also observed in the hybrid Si6/single-vacancy graphene. Thus, the interface engineering via deposition of various Si clusters on the vacant graphene could be a new strategy to achieve a promising anode material for Li-ion batteries.</t>
  </si>
  <si>
    <t>[Liangruksa, Monrudee; Klamchuen, Annop] Natl Sci &amp; Technol Dev Agcy NSTDA, Natl Nanotechnol Ctr NANOTEC, Pathum Thani 12120, Thailand; [Kanaphan, Yutthanakon] Khon Kaen Univ, Fac Sci, Dept Phys, Mat Sci &amp; Nanotechnol Program, Khon Kaen 40002, Thailand; [Meethong, Nonglak] Khon Kaen Univ, Dept Phys, Khon Kaen 40002, Thailand; [Meethong, Nonglak] Khon Kaen Univ, Inst Nanomat Res &amp; Innovat Energy IN RIE, Khon Kaen 40002, Thailand</t>
  </si>
  <si>
    <t>National Science &amp; Technology Development Agency - Thailand; National Nanotechnology Center (NANOTEC); Khon Kaen University; Khon Kaen University; Khon Kaen University</t>
  </si>
  <si>
    <t>Liangruksa, M (corresponding author), Natl Sci &amp; Technol Dev Agcy NSTDA, Natl Nanotechnol Ctr NANOTEC, Pathum Thani 12120, Thailand.</t>
  </si>
  <si>
    <t>monrudee@nanotec.or.th</t>
  </si>
  <si>
    <t>Research and Graduate Studies, Khon Kaen University</t>
  </si>
  <si>
    <t>ML acknowledges NSTDA Supercomputer Center (ThaiSC) for providing computing resources. NM acknowledges partial support by the Research and Graduate Studies, Khon Kaen University.</t>
  </si>
  <si>
    <t>0039-6028</t>
  </si>
  <si>
    <t>1879-2758</t>
  </si>
  <si>
    <t>SURF SCI</t>
  </si>
  <si>
    <t>Surf. Sci.</t>
  </si>
  <si>
    <t>10.1016/j.susc.2023.122250</t>
  </si>
  <si>
    <t>Chemistry, Physical; Physics, Condensed Matter</t>
  </si>
  <si>
    <t>P0CA8</t>
  </si>
  <si>
    <t>WOS:001047393100001</t>
  </si>
  <si>
    <t>Lichtman, MA; Sham, R</t>
  </si>
  <si>
    <t>Lichtman, Marshall A.; Sham, Ronald</t>
  </si>
  <si>
    <t>Acquired elliptocytosis in chronic myeloid neoplasms: An enigmatic relationship to acquired red cell membrane protein and genetic abnormalities</t>
  </si>
  <si>
    <t>BLOOD CELLS MOLECULES AND DISEASES</t>
  </si>
  <si>
    <t>Red cells; Erythrocytes; Acquired elliptocytosis; Hereditary elliptocytosis; Myelodysplastic syndrome; Chronic myeloproliferative neoplasms; del(q20)</t>
  </si>
  <si>
    <t>MYELODYSPLASTIC SYNDROME; HEREDITARY ELLIPTOCYTOSIS; REFRACTORY-ANEMIA; CHROMOSOME 20Q; DELETION; SCHISTOCYTOSIS; DEFICIENCY; SKELETON; PATIENT; 4.1R</t>
  </si>
  <si>
    <t>Nineteen reports of 41 cases of acquired red cell elliptocytosis associated with a chronic myeloid neoplasm are described. Although the majority of cases have an abnormality of the long arm of chromosome 20, del(q20), several cases do not. Moreover, in one case a specific qualitative abnormality of red cell protein band 4.1(4.1R) was reported; however, several subsequent cases could find no abnormality of a red cell membrane protein or found a different abnormality, usually quantitative. Thus, this striking red cell phenotypic feature, acquired elliptocytosis, seen in myelodysplastic syndrome and other chronic myeloproliferative diseases, closely simulating the red cell phenotype of hereditary elliptocytosis, has an unexplained genetic basis, presumably as the result of an acquired mutation(s) in some chronic myeloid neoplasms.</t>
  </si>
  <si>
    <t>[Lichtman, Marshall A.] Univ Rochester Med Ctr, James P Wilmot Canc Inst, 601 Elmwood Ave,Box 704, Rochester, NY 14642 USA; [Sham, Ronald] Rochester Gen Hosp, Div Hematol &amp; Oncol, Rochester Reg Hlth, Rochester, NY 14621 USA</t>
  </si>
  <si>
    <t>University of Rochester; Rochester General Hospital</t>
  </si>
  <si>
    <t>Lichtman, MA (corresponding author), Univ Rochester Med Ctr, James P Wilmot Canc Inst, 601 Elmwood Ave,Box 704, Rochester, NY 14642 USA.</t>
  </si>
  <si>
    <t>marshall_lichtman@urmc.rochester.edu</t>
  </si>
  <si>
    <t>1079-9796</t>
  </si>
  <si>
    <t>1096-0961</t>
  </si>
  <si>
    <t>BLOOD CELL MOL DIS</t>
  </si>
  <si>
    <t>Blood Cells Mol. Dis.</t>
  </si>
  <si>
    <t>10.1016/j.bcmd.2023.102778</t>
  </si>
  <si>
    <t>Hematology</t>
  </si>
  <si>
    <t>Q7BW6</t>
  </si>
  <si>
    <t>WOS:001059049500001</t>
  </si>
  <si>
    <t>Lim, JY; Kim, YM; Lee, HS; Kang, JY</t>
  </si>
  <si>
    <t>Lim, Jun Young; Kim, Young Min; Lee, Hye Sun; Kang, Jeonghyun</t>
  </si>
  <si>
    <t>Skeletal muscle gauge prediction by a machine learning model in patients with colorectal cancer</t>
  </si>
  <si>
    <t>NUTRITION</t>
  </si>
  <si>
    <t>Machine learning; Colorectal cancer; Skeletal muscle gauge; Skeletal muscle index; Skeletal muscle radiodensity</t>
  </si>
  <si>
    <t>ALBUMIN-BILIRUBIN GRADE; PROGNOSTIC VALUE; SOLID TUMORS; SARCOPENIA; RADIODENSITY; CHEMOTHERAPY; TOXICITY; SURVIVAL; MASS</t>
  </si>
  <si>
    <t>Objectives: Skeletal muscle gauge (SMG) was recently introduced as an imaging indicator of sarcopenia. Com-puted tomography is essential for measuring SMG; thus, the use of SMG is limited to patients who undergo computed tomography. We aimed to develop a machine learning algorithm using clinical and inflammatory markers to predict SMG in patients with colorectal cancer.Methods: The least absolute shrinkage and selection operator regression model was applied for variable selection and predictive signature building in the training set. The predictive accuracy of the least absolute shrinkage and selection operator model, defined as linear predictor (LP)-SMG, was compared using the area under the receiver operating characteristic curve and decision curve analysis in the test set. Results: A total of 1094 patients with colorectal cancer were enrolled and randomly categorized into training (n = 656) and test (n = 438) sets. Low SMG was identified in 142 (21.6%) and 90 (20.5%) patients in the train-ing and test sets, respectively. According to multivariable analysis of the test sets, LP-SMG was identified as an independent predictor of low SMG (odds ratio =1329.431; 95% CI, 271.684-7667.996; P &lt; .001). Its pre-dictive performance was similar in the training and test sets (area under the receiver operating characteristic curve = 0.846 versus 0.869; P = .427). In the test set, LP-SMG had better outcomes in predicting SMG than sin-gle clinical variables, such as sex, height, weight, and hemoglobin.Conclusions: LP-SMG had superior performance than single variables in predicting low SMG. This machine learning model can be used as a screening tool to detect sarcopenic status without using computed tomogra-phy during the treatment period.&amp; COPY; 2023 Elsevier Inc. All rights reserved.</t>
  </si>
  <si>
    <t>[Lim, Jun Young; Kim, Young Min] Yonsei Univ, Coll Med, Seoul, South Korea; [Lee, Hye Sun] Yonsei Univ, Coll Med, Biostat Collaborat Unit, Seoul, South Korea; [Kang, Jeonghyun] Yonsei Univ, Coll Med, Gangnam Severance Hosp, Dept Surg, Seoul, South Korea</t>
  </si>
  <si>
    <t>Yonsei University; Yonsei University Health System; Yonsei University; Yonsei University Health System; Yonsei University; Yonsei University Health System</t>
  </si>
  <si>
    <t>Kang, JY (corresponding author), Yonsei Univ, Coll Med, Gangnam Severance Hosp, Dept Surg, Seoul, South Korea.</t>
  </si>
  <si>
    <t>ravic@naver.com</t>
  </si>
  <si>
    <t>Lee, HS/AAD-6757-2019; Lee, Hye Sun/J-2154-2015</t>
  </si>
  <si>
    <t>Kang, Jeonghyun/0000-0001-7311-6053; Lee, Hye Sun/0000-0001-6328-6948</t>
  </si>
  <si>
    <t>National Research Foundation of Korea (NRF) - Korea government (MSIT) [2022R1F1A1074811]</t>
  </si>
  <si>
    <t>National Research Foundation of Korea (NRF) - Korea government (MSIT)(National Research Foundation of KoreaMinistry of Science, ICT &amp; Future Planning, Republic of KoreaMinistry of Science &amp; ICT (MSIT), Republic of Korea)</t>
  </si>
  <si>
    <t>This work was supported by the National Research Foundation of Korea (NRF) grant funded by the Korea government (MSIT) (no. 2022R1F1A1074811) .</t>
  </si>
  <si>
    <t>0899-9007</t>
  </si>
  <si>
    <t>1873-1244</t>
  </si>
  <si>
    <t>Nutrition</t>
  </si>
  <si>
    <t>10.1016/j.nut.2023.112146</t>
  </si>
  <si>
    <t>Nutrition &amp; Dietetics</t>
  </si>
  <si>
    <t>P4KQ8</t>
  </si>
  <si>
    <t>WOS:001050356300001</t>
  </si>
  <si>
    <t>Lin, BQ; Zhang, QX</t>
  </si>
  <si>
    <t>Lin, Boqiang; Zhang, Qianxiang</t>
  </si>
  <si>
    <t>Green technology innovation under differentiated carbon constraints: The substitution effect of industrial relocation</t>
  </si>
  <si>
    <t>Green technology innovation; Carbon intensity constraint policy; Industrial relocation; Substitution effect</t>
  </si>
  <si>
    <t>ENERGY-SAVING TARGET; PRODUCTION PERFORMANCE; CHINA; POLICY; POLLUTANTS; MITIGATION; IMPACTS; FIRMS</t>
  </si>
  <si>
    <t>The relationship between the carbon intensity constraint policy (CICP) and green technology innovation (GTI) has been well documented in the literature. However, the allocation method of the carbon abatement target is often ignored. The allocation method plays a decisive role in the policy effect. After alleviating the possible endogenous problems through quasi natural experiment, we find that the CICP with the special allocation method promotes GTI in the western provinces but inhibits GTI in the eastern provinces. Especially, the positive impact in the western provinces presents an intensifying trend. To discuss the potential mechanism, we further construct a three-dimensional panel, which contains 1.84 million observations. Our macro and micro evidences reveal that manufacturing firms in the eastern provinces tend to move westward under carbon constraints rather than GTI. In other words, the industrial relocation has a substitution effect on GTI, which further explains why the CICP inhibits GTI in the eastern provinces. The above findings offer targeted policy reference for regulators and government departments concerned with the issues of carbon emission reduction and GTI.</t>
  </si>
  <si>
    <t>[Lin, Boqiang; Zhang, Qianxiang] Xiamen Univ, China Inst Studies Energy Policy, Sch Management, Fujian 361005, Peoples R China; [Lin, Boqiang] Innovat Lab Sci &amp; Technol Energy Mat Fujian Prov I, Xiamen 361005, Peoples R China</t>
  </si>
  <si>
    <t>Lin, BQ (corresponding author), Xiamen Univ, China Inst Studies Energy Policy, Sch Management, Fujian 361005, Peoples R China.</t>
  </si>
  <si>
    <t>bqlin2004@vip.sina.com; qx.zhang99@foxmail.com</t>
  </si>
  <si>
    <t>Zhang, Qianxiang/JCD-4412-2023; Lin, Boqiang/G-3960-2010</t>
  </si>
  <si>
    <t>Zhang, Qianxiang/0000-0002-5738-0150; Lin, Boqiang/0000-0002-1308-400X</t>
  </si>
  <si>
    <t>National Natural Science Foundation of China [RD2020060101]; Science and Technology Projects of Innovation Laboratory for Sciences and Technologies of Energy Materials of Fujian Province (IKKEM) , Xiamen , China; [72133003]</t>
  </si>
  <si>
    <t>National Natural Science Foundation of China(National Natural Science Foundation of China (NSFC)); Science and Technology Projects of Innovation Laboratory for Sciences and Technologies of Energy Materials of Fujian Province (IKKEM) , Xiamen , China;</t>
  </si>
  <si>
    <t>This paper is supported by National Natural Science Foundation of China (Key Programmed, No: 72133003) , and Science and Technology Projects of Innovation Laboratory for Sciences and Technologies of Energy Materials of Fujian Province (IKKEM) , Xiamen 361005, China (No: RD2020060101) .</t>
  </si>
  <si>
    <t>10.1016/j.jenvman.2023.118764</t>
  </si>
  <si>
    <t>R1PD6</t>
  </si>
  <si>
    <t>WOS:001062122100001</t>
  </si>
  <si>
    <t>Liu, FR; Zhang, XL; Jing, J; Zhang, XL</t>
  </si>
  <si>
    <t>Liu, Feiran; Zhang, Xiaoli; Jing, Jing; Zhang, Xiaoling</t>
  </si>
  <si>
    <t>A Golgi-targeted fluorescent probe for imaging H2O2 and releasing H2S during Golgi stress</t>
  </si>
  <si>
    <t>DYES AND PIGMENTS</t>
  </si>
  <si>
    <t>Fluorescent probe; Hydrogen peroxide; Hydrogen sulfide; Golgi-targeted</t>
  </si>
  <si>
    <t>CYSTEINE METABOLISM; REACTIVE OXYGEN; TRANSPORT; APPARATUS; BIOLOGY; ER</t>
  </si>
  <si>
    <t>Golgi stress was the major stress response in the Golgi apparatus, which might be induced the disruption of redox balance and relate to a variety of diseases. As an important reactive oxygen species (ROS), hydrogen peroxide (H2O2) played an essential role in the Golgi apparatus, the abnormal concentration of H2O2 might cause oxidative damage. In contrast, hydrogen sulfide (H2S) acted as a protector for the Golgi apparatus to relieve Golgi stress. Combined thiocarbamates as H2S donor group activated by oxidizing phenylboronic acid pinacol ester to hydroxyl by H2O2, a Golgi-targeted fluorescent probe Golnap-H2O2 had been developed based on a reported Golgi-targeted fluorophore. Golnap-H2O2 showed the selectivity to H2O2 and the ability to release H2S in the existence of carbonic anhydrase. Besides, Golnap-H2O2 exhibited the targeting ability to Golgi apparatus and was qualified for imaging H2O2. According to our study results, Golnap-H2O2 could not only be used as a satisfactory imaging tool for detecting H2O2 in Golgi apparatus to explore the complex physiological functions, but also be used as a potential H2S donor for cytoprotection.</t>
  </si>
  <si>
    <t>[Liu, Feiran; Jing, Jing; Zhang, Xiaoling] Beijing Inst Technol, Sch Chem &amp; Chem Engn, Analyt &amp; Testing Ctr, Beijing Key Lab Photoelect electrophoton Convers M, Beijing 100081, Peoples R China; [Zhang, Xiaoli; Zhang, Xiaoling] Beijing Inst Technol, Sch Med Technol, Beijing 100081, Peoples R China</t>
  </si>
  <si>
    <t>Beijing Institute of Technology; Beijing Institute of Technology</t>
  </si>
  <si>
    <t>Jing, J; Zhang, XL (corresponding author), Beijing Inst Technol, Sch Chem &amp; Chem Engn, Analyt &amp; Testing Ctr, Beijing Key Lab Photoelect electrophoton Convers M, Beijing 100081, Peoples R China.</t>
  </si>
  <si>
    <t>hellojane@bit.edu.cn; zhangxl@bit.edu.cn</t>
  </si>
  <si>
    <t>0143-7208</t>
  </si>
  <si>
    <t>1873-3743</t>
  </si>
  <si>
    <t>DYES PIGMENTS</t>
  </si>
  <si>
    <t>Dyes Pigment.</t>
  </si>
  <si>
    <t>10.1016/j.dyepig.2023.111521</t>
  </si>
  <si>
    <t>Chemistry, Applied; Engineering, Chemical; Materials Science, Textiles</t>
  </si>
  <si>
    <t>Chemistry; Engineering; Materials Science</t>
  </si>
  <si>
    <t>O9PA0</t>
  </si>
  <si>
    <t>WOS:001047053200001</t>
  </si>
  <si>
    <t>Liu, H; Hu, Y; Chen, SX; Lin, BB; Xiao, Y; Chen, DY; Qi, HJ</t>
  </si>
  <si>
    <t>Liu, Hang; Hu, Yue; Chen, Shuxian; Lin, Binbin; Xiao, Yi; Chen, Duanyang; Qi, Hongji</t>
  </si>
  <si>
    <t>Numerical simulation of thermal stress during the steady rotation in the growth of ADP crystals by solution circulating method</t>
  </si>
  <si>
    <t>JOURNAL OF CRYSTAL GROWTH</t>
  </si>
  <si>
    <t>A1; Thermal stress; Heat transfer; B2; The ADP crystals; A2; Solution circulating method</t>
  </si>
  <si>
    <t>SINGLE-CRYSTALS; KDP CRYSTALS</t>
  </si>
  <si>
    <t>Transient numerical simulations were carried out to describe the temperature and thermal stress in ADP crystals during the steady rotation by solution circulating method (SCM). In a related paper (J. Crystal Growth 574 (2021) 126343), the effects of flow and heat transfer on the distribution of the supersaturation on the crystal face was discussed. This paper presents the corresponding results concerning the heat transfer occurring in the crystal. Emphasis is placed on studying the temperature and thermal stress distribution, since it is critically involved in the processes of crystal cracking. The evolution of the temperature and thermal stress in the crystal are studied as a function of crystal rotation rate, inlet velocity, and inlet temperature and crystal size. The numerical results seem to indicate that, as the rotation rate increases, the value of the &amp; sigma;max in crystal decreases and then increases, while the values of the &amp; sigma;max on crystal surface is increased. The increases of the inlet velocity and the inlet temperature lead to the increase of the &amp; sigma;max. Finally, As the crystal size gets large, the possibility of cracking arising in pyramidal zone is increased obviously.</t>
  </si>
  <si>
    <t>[Liu, Hang; Hu, Yue; Chen, Shuxian; Lin, Binbin] Civil Aviat Flight Univ China, Aviat Engn Inst, Guanghan 618307, Peoples R China; [Xiao, Yi] Civil Aviat Flight Univ China, Sch Flight Technol, Guanghan 618307, Peoples R China; [Chen, Duanyang; Qi, Hongji] Shanghai Inst Opt &amp; Fine Mech, Chinese Acad Sci, Key Lab Mat High Power Laser, Shanghai 201800, Peoples R China</t>
  </si>
  <si>
    <t>Civil Aviation Flight University of China; Civil Aviation Flight University of China; Shanghai Institute of Optics &amp; Fine Mechanics; Chinese Academy of Sciences</t>
  </si>
  <si>
    <t>Liu, H (corresponding author), Civil Aviat Flight Univ China, Aviat Engn Inst, Guanghan 618307, Peoples R China.</t>
  </si>
  <si>
    <t>liuhang@cafuc.edu.cn</t>
  </si>
  <si>
    <t>Fundamental Research Funds for the Central Universities [J2022-034, J2022-033]; Sichuan Science and Technology Program [2022NSFSC1903]</t>
  </si>
  <si>
    <t>Fundamental Research Funds for the Central Universities(Fundamental Research Funds for the Central Universities); Sichuan Science and Technology Program</t>
  </si>
  <si>
    <t>This work is supported by the Fundamental Research Funds for the Central Universities (J2022-034, J2022-033) , the Sichuan Science and Technology Program (2022NSFSC1903) .</t>
  </si>
  <si>
    <t>0022-0248</t>
  </si>
  <si>
    <t>1873-5002</t>
  </si>
  <si>
    <t>J CRYST GROWTH</t>
  </si>
  <si>
    <t>J. Cryst. Growth</t>
  </si>
  <si>
    <t>10.1016/j.jcrysgro.2023.127379</t>
  </si>
  <si>
    <t>Crystallography; Materials Science, Multidisciplinary; Physics, Applied</t>
  </si>
  <si>
    <t>Crystallography; Materials Science; Physics</t>
  </si>
  <si>
    <t>P3FE2</t>
  </si>
  <si>
    <t>WOS:001049524400001</t>
  </si>
  <si>
    <t>Liu, LY; Li, HY; Zhao, HK; Zuo, Q; Gu, JL; Zhou, JH; Du, LF; Liu, DS</t>
  </si>
  <si>
    <t>Liu, Liyuan; Li, Houyu; Zhao, Haikang; Zuo, Qiang; Gu, Jialin; Zhou, Jihua; Du, Lianfeng; Liu, Dongsheng</t>
  </si>
  <si>
    <t>Large mulch film residues are more unfavourable to the reduction of soil antibiotic resistance genes induced by organic fertilisation than small mulch film residues</t>
  </si>
  <si>
    <t>Mulch film residue size; Antibiotic resistance gene reduction; Soil physicochemical property; Soil enzymes activity; Bacterial community</t>
  </si>
  <si>
    <t>BACTERIAL COMMUNITY STRUCTURE; MICROBIAL COMMUNITY; TETRACYCLINE RESISTANCE; MANURE; BIOCHAR; IMPACT; MICROPLASTICS; DEGRADATION; REMOVAL; LETTUCE</t>
  </si>
  <si>
    <t>Plastic film mulching and organic fertilisation result in the coexistence of mulch film residues of multiple sizes and antibiotic resistance genes (ARGs) in farmlands. However, the differential effects of large and small low-density polyethylene mulch film (LDPEM) and biodegradable mulch film (BDM) residues on ARGs have not yet been studied. In this study, we investigated the dynamic variations in soil ARGs induced by organic fertiliser application under treatments with different LDPEM and BDM residue sizes. The results indicated that the target ARGs could be divided into six clusters according to their variation characteristics with sampling time. The reduction rates of most target ARGs, including ermC, aadA-01, qacEdelta1-01, sul1, sul2, tetM-01, tetM-02 and tetPA in treatments with large mulch film residues were lower than those with small mulch film residues for both LDPEM and BDM, which resulted from the higher average degree and positive correlation ratio in the networks between the soil bacterial community and ARGs. The results of structural equation modelling indicated that soil bacterial communities directly affected soil ARGs, with a path coefficient of -0.6428. Soil physicochemical properties and soil enzyme activities affected soil ARGs through the soil bacterial community with path coefficients of 0.24 and 0.28, respectively. The results of the present study emphasise that the environmental impact of large mulch film residues should not be ignored.&amp; COPY; 2023 The Author(s). Published by Elsevier B.V. This is an open access article under the CC BY-NC-ND license (http://creativecommons.org/licenses/by-nc-nd/4.0/).</t>
  </si>
  <si>
    <t>[Liu, Liyuan; Zuo, Qiang; Gu, Jialin; Du, Lianfeng; Liu, Dongsheng] Beijing Acad Agr &amp; Forestry Sci, Inst Plant Nutr Resources &amp; Environm, Beijing 100089, Peoples R China; [Liu, Liyuan] Chinese Acad Agr Sci, Inst Environm &amp; Sustainable Dev Agr, Beijing 100081, Peoples R China; [Li, Houyu] Minist Agr &amp; Rural Affairs, Agroenvironm Protect Inst, Tianjin 300191, Peoples R China; [Zhao, Haikang; Zhou, Jihua] Beijing Agr technol popularizat Stn, Beijing 100029, Peoples R China</t>
  </si>
  <si>
    <t>Beijing Academy of Agriculture &amp; Forestry Sciences (BAAFS); Chinese Academy of Agricultural Sciences; Institute of Environment &amp; Sustainable Development in Agriculture, CAAS; Chinese Academy of Agricultural Sciences; Agro-Environmental Protection Institute, CAAS; Ministry of Agriculture &amp; Rural Affairs</t>
  </si>
  <si>
    <t>Du, LF; Liu, DS (corresponding author), Beijing Acad Agr &amp; Forestry Sci, Inst Plant Nutr Resources &amp; Environm, Beijing 100089, Peoples R China.</t>
  </si>
  <si>
    <t>dulianfengyzs@163.com; LLSLDS@163.com</t>
  </si>
  <si>
    <t>Special Project for Innovation Capacity Building of Beijing Academy of Agriculture and Forestry Sciences, China [KJCX20230421]; Independent Project Proposal of Institute of Plant Nutrition, Resources and Environment, Beijing Academy of Agriculture and Forestry Sciences, China [YZS202206]</t>
  </si>
  <si>
    <t>Special Project for Innovation Capacity Building of Beijing Academy of Agriculture and Forestry Sciences, China; Independent Project Proposal of Institute of Plant Nutrition, Resources and Environment, Beijing Academy of Agriculture and Forestry Sciences, China</t>
  </si>
  <si>
    <t>This work was supported by Special Project for Innovation Capacity Building of Beijing Academy of Agriculture and Forestry Sciences, China (KJCX20230421) . Independent Project Proposal of Institute of Plant Nutrition, Resources and Environment, Beijing Academy of Agriculture and Forestry Sciences, China (YZS202206) .</t>
  </si>
  <si>
    <t>10.1016/j.eti.2023.103335</t>
  </si>
  <si>
    <t>R0LZ5</t>
  </si>
  <si>
    <t>WOS:001061356000001</t>
  </si>
  <si>
    <t>Liu, Y; Xu, CY; Xu, YT; Li, L; Jing, YY; Zhang, H; Fan, J; Jin, L; Zou, YG; Ma, XH</t>
  </si>
  <si>
    <t>Liu, Yang; Xu, Chongyang; Xu, Yingtian; Li, Li; Jing, Yuanyuan; Zhang, He; Fan, Jie; Jin, Liang; Zou, Yonggang; Ma, Xiaohui</t>
  </si>
  <si>
    <t>High-performance passively Q-switched fiber laser based on CuFeO2/SiO2 as saturable absorber</t>
  </si>
  <si>
    <t>Q-switching; CuFeO2/SiO2 SA; Fiber laser</t>
  </si>
  <si>
    <t>BLACK PHOSPHORUS</t>
  </si>
  <si>
    <t>In this paper, we report the optical properties and applications of the CuFeO2 (CFO)/SiO2 novel saturable absorber (SA) by the sol-gel method. The measured results show that our SA's modulation depth, unsaturated loss and damage threshold are 10.9%, 10.1% and 5121 mJ/cm2, respectively. High-quality passively Q -switched fiber laser output at 1.5 &amp; mu;m was successfully achieved using CFO/SiO2 SA. Due to the high damage threshold and low insertion loss of the SA, the maximum output power of the laser are 59.6 mW, the optical conversion efficiency is 6.4%, much higher than other reports, corresponding to an output pulse' peak power and single pulse energy of up to 723.98 mW and 307.7 nJ, and the signal-to-noise ratio of 74 dB indicating its stability. The results indicate that the CFO/SiO2 SA prepared by the sol-gel method provides a new opportunity to develop high-performance SA and high-power passive Q-switched fiber lasers.</t>
  </si>
  <si>
    <t>[Liu, Yang; Xu, Chongyang; Xu, Yingtian; Li, Li; Jing, Yuanyuan; Zhang, He; Fan, Jie; Jin, Liang; Zou, Yonggang; Ma, Xiaohui] Changchun Univ Sci &amp; Technol, Res Inst, Chongqing 400000, Peoples R China; [Liu, Yang; Xu, Chongyang; Xu, Yingtian; Li, Li; Jing, Yuanyuan; Zhang, He; Fan, Jie; Jin, Liang; Zou, Yonggang; Ma, Xiaohui] Changchun Univ Sci &amp; Technol, Key Lab High Power Semicond Lasers, Changchun 130022, Peoples R China; [Xu, Yingtian] Changchun Univ Sci &amp; Technol, Chongqing Res Inst, Chongqing 400000, Peoples R China</t>
  </si>
  <si>
    <t>Changchun University of Science &amp; Technology; Changchun University of Science &amp; Technology; Changchun University of Science &amp; Technology</t>
  </si>
  <si>
    <t>Xu, YT (corresponding author), Changchun Univ Sci &amp; Technol, Chongqing Res Inst, Chongqing 400000, Peoples R China.</t>
  </si>
  <si>
    <t>xyt@cust.edu.cn</t>
  </si>
  <si>
    <t>Natural Science Foundation of Chongqing, China [CSTB2022NSCQ-MSX0889, CSTB2022NSCQ-MSX0401]; National Natural Science Foundation of China [62274015]; Science and Technology Innovation Outstanding Team Project of Jilin Province, China [20220508138RC]</t>
  </si>
  <si>
    <t>Natural Science Foundation of Chongqing, China(Natural Science Foundation of Chongqing); National Natural Science Foundation of China(National Natural Science Foundation of China (NSFC)); Science and Technology Innovation Outstanding Team Project of Jilin Province, China</t>
  </si>
  <si>
    <t>This work was financially supported by the Natural Science Foundation of Chongqing, China (Nos. CSTB2022NSCQ-MSX0889, CSTB2022NSCQ-MSX0401), the National Natural Science Foundation of China (No. 62274015), the Science and Technology Innovation Outstanding Team Project of Jilin Province, China (No. 20220508138RC).</t>
  </si>
  <si>
    <t>10.1016/j.optcom.2023.129793</t>
  </si>
  <si>
    <t>R6NE2</t>
  </si>
  <si>
    <t>WOS:001065495700001</t>
  </si>
  <si>
    <t>Liu, Y; Ji, XL; Wang, T; Wang, JW; Zhang, YS; Pan, WP</t>
  </si>
  <si>
    <t>Liu, Yuan; Ji, Xingliang; Wang, Tao; Wang, Jiawei; Zhang, Yongsheng; Pan, Wei-Ping</t>
  </si>
  <si>
    <t>Density functional theory study of high-temperature CO2 adsorption by Li2ZrO3: Effect of typical flue gas components on adsorption energy and electronic properties</t>
  </si>
  <si>
    <t>CO 2 capture; Flue gas components; Density functional theory; Li 2 ZrO 3 surface</t>
  </si>
  <si>
    <t>THERMODYNAMIC PROPERTIES; OXYGEN VACANCY; SURFACE; SORPTION; CAPTURE; DFT; LOCALIZATION; EMISSIONS; DYNAMICS; O-2</t>
  </si>
  <si>
    <t>Lithium zirconate (Li2ZrO3) is one of the best-performing high-temperature CO2 adsorbents, but the effect of flue gas on its mutual mechanism of action is not clear. The adsorption mechanism of CO2 and flue gas components on the Li2ZrO3 (111) surface is investigated theoretically through density functional theory (DFT), where the selected flue gas components are O2, H2O, and SO2. Theoretical calculations show that O2 exhibits physical adsorption and CO2, H2O, and SO2 exhibit chemisorption on the Li2ZrO3 surface. The energy potential barrier for CO2 adsorption on the Li2ZrO3(1 1 1) surface is 0.3 eV. CO2 is gradually desorbed at temperatures above 870 K. When there are flue gas atmospheres present, the desorption temperature of CO2 decreases, to a certain extent. All selected flue gas components inhibit the adsorption of CO2, O2, and H2O, weakening the interaction forces between the surface and CO2 and making it less stable. SO2 has the same adsorption sites as CO2, while SO2 has much higher adsorption energy than CO2. SO2 is more likely to adsorb onto and occupy the active sites of CO2.</t>
  </si>
  <si>
    <t>[Liu, Yuan; Ji, Xingliang; Wang, Tao; Wang, Jiawei; Zhang, Yongsheng; Pan, Wei-Ping] North China Elect Power Univ, Minist Educ, Key Lab Power Stn Energy Transfer Convers &amp; Syst, Beijing 102206, Peoples R China</t>
  </si>
  <si>
    <t>North China Electric Power University</t>
  </si>
  <si>
    <t>Wang, T (corresponding author), North China Elect Power Univ, Minist Educ, Key Lab Power Stn Energy Transfer Convers &amp; Syst, Beijing 102206, Peoples R China.</t>
  </si>
  <si>
    <t>wtao@ncepu.edu.cn</t>
  </si>
  <si>
    <t>10.1016/j.seppur.2023.124641</t>
  </si>
  <si>
    <t>Q2KN8</t>
  </si>
  <si>
    <t>WOS:001055858200001</t>
  </si>
  <si>
    <t>Liu, YR; Pan, XW; Zhang, HW; Zhao, ZQ; Teng, ZX; Rao, ZM</t>
  </si>
  <si>
    <t>Liu, Yunran; Pan, Xuewei; Zhang, Hengwei; Zhao, Zhenqiang; Teng, Zixin; Rao, Zhiming</t>
  </si>
  <si>
    <t>Combinatorial protein engineering and transporter engineering for efficient synthesis of L-Carnosine in Escherichia coli</t>
  </si>
  <si>
    <t>L-Carnosine; Dipeptidase; Protein engineering; Transporter engineering; One-pot biotransformation</t>
  </si>
  <si>
    <t>SUPPLEMENTATION; CRISPR; ACIDS; GENE</t>
  </si>
  <si>
    <t>L-Carnosine has various physiological functions and is widely used in cosmetics, medicine, food additives, and other fields. However, the yield of L-Carnosine obtained by biological methods is far from the level of industrial production. Herein, a cell factory for efficient synthesis of L-Carnosine was constructed based on transporter engineering and protein engineering. Firstly, a dipeptidase (SmpepD) was screened from Serratia marcescens through genome mining to construct a cell factory for synthesizing L-Carnosine. Subsequently, through rationally designed SmPepD, a double mutant T168S/G148D increased the L-Carnosine yield by 41.6% was obtained. Then, yeaS, a gene encoding the exporter of L-histidine, was deleted to further increase the production of L-Carnosine. Finally, L-Carnosine was produced by one-pot biotransformation in a 5 L bioreactor under optimized conditions with a yield of 133.2 mM. This study represented the highest yield of L-Carnosine synthesized in microorganisms and provided a biosynthetic pathway for the industrial production of L-Carnosine.</t>
  </si>
  <si>
    <t>[Liu, Yunran; Pan, Xuewei; Zhang, Hengwei; Zhao, Zhenqiang; Teng, Zixin; Rao, Zhiming] Jiangnan Univ, Sch Biotechnol, Key Lab Ind Biotechnol, Minist Educ, Wuxi 214122, Jiangsu, Peoples R China; [Liu, Yunran; Pan, Xuewei; Zhang, Hengwei; Zhao, Zhenqiang; Teng, Zixin; Rao, Zhiming] Biotechnology Co, Ltd, Yixing Inst Food, Yixing 214200, Peoples R China; [Rao, Zhiming] Jiangnan Univ, Sch Biotechnol, Key Lab Ind Biotechnol, Lab Appl Microorganisms &amp; Metab Engn,Minist Educ, Wuxi 214122, Peoples R China</t>
  </si>
  <si>
    <t>Jiangnan University; Jiangnan University</t>
  </si>
  <si>
    <t>Rao, ZM (corresponding author), Jiangnan Univ, Sch Biotechnol, Key Lab Ind Biotechnol, Lab Appl Microorganisms &amp; Metab Engn,Minist Educ, Wuxi 214122, Peoples R China.</t>
  </si>
  <si>
    <t>raozhm@jiangnan.edu.cn</t>
  </si>
  <si>
    <t>National Key Research and Devel- opment Program of China [32071470]; National Natural Science Foundation of China [32100055, BK20210464]; Natural Science Foundation of Jiangsu Province [JUSRP221012]; Fundamental Research Funds for the Central Universities [111-2-06]; 111 Project; [2021YFC2100900]</t>
  </si>
  <si>
    <t>National Key Research and Devel- opment Program of China; National Natural Science Foundation of China(National Natural Science Foundation of China (NSFC)); Natural Science Foundation of Jiangsu Province(Natural Science Foundation of Jiangsu Province); Fundamental Research Funds for the Central Universities(Fundamental Research Funds for the Central Universities); 111 Project(Ministry of Education, China - 111 Project);</t>
  </si>
  <si>
    <t>This work was supported by the National Key Research and Devel- opment Program of China (No. 2021YFC2100900) , the National Natural Science Foundation of China (No. 32071470, 32100055) , the Natural Science Foundation of Jiangsu Province (No. BK20210464) , the Fundamental Research Funds for the Central Universities (JUSRP221012) , and the 111 Project (111-2-06) .</t>
  </si>
  <si>
    <t>10.1016/j.biortech.2023.129628</t>
  </si>
  <si>
    <t>R1KK9</t>
  </si>
  <si>
    <t>WOS:001061998500001</t>
  </si>
  <si>
    <t>Long, Z; Niu, MC; Xia, XC; Jiang, W; Li, YJ; Jing, HT; Liang, HW; Fan, RR</t>
  </si>
  <si>
    <t>Long, Ze; Niu, Mengchen; Xia, Xiaochuan; Jiang, Wei; Li, Yunju; Jing, Hantao; Liang, Hongwei; Fan, Ruirui</t>
  </si>
  <si>
    <t>Development of the large sensitive area 4H-SiC Schottky detectors at the Back-n</t>
  </si>
  <si>
    <t>NUCLEAR INSTRUMENTS &amp; METHODS IN PHYSICS RESEARCH SECTION A-ACCELERATORS SPECTROMETERS DETECTORS AND ASSOCIATED EQUIPMENT</t>
  </si>
  <si>
    <t>Large sized 4H-SiC detector; High energy resolution; High radiation hardness; Particle identification ability</t>
  </si>
  <si>
    <t>PERFORMANCE; DIODE</t>
  </si>
  <si>
    <t>In this paper, we report a 4H-SiC Schottky type detector with a large sensitive area (10 x 10 mm2 and 8 x 8 mm2) and a high energy resolution (0.79%@-40V). The pulse-height spectra were measured with a 244Cm a source, and the charge collection efficiency (CCE) can reach 100% higher than -50 V. The Back-n is a high luminosity white neutron beamline at the China Spallation Neutron Source (CSNS). We used the 4HSiC detector array to measure the nuclear data at the Back-n. This marks the first application of the 4H-SiC detector at Back-n. We measured the6Li (n, t)4He reaction products at 0 degrees. The performances of the detectors kept unchanged after 27 h irradiation with neutron beam. The products of 17O (n, a)14C reaction were also measured from different angles. The detector array can clearly identify the a events band of this reaction.</t>
  </si>
  <si>
    <t>[Long, Ze; Niu, Mengchen; Xia, Xiaochuan; Liang, Hongwei] Dalian Univ Technol, Sch Microelect, Dalian 116620, Peoples R China; [Long, Ze; Niu, Mengchen; Jiang, Wei; Jing, Hantao; Fan, Ruirui] Spallat Neutron Source Sci Ctr, Dongguan 523803, Peoples R China; [Jiang, Wei; Jing, Hantao; Fan, Ruirui] Chinese Acad Sci, Inst High Energy Phys, Beijing 100049, Peoples R China; [Li, Yunju] China Inst Atom Energy, Beijing 102413, Peoples R China; [Fan, Ruirui] Chinese Acad Sci, Inst High Energy Phys, State Key Lab Particle Detect &amp; Elect, Beijing 100049, Peoples R China</t>
  </si>
  <si>
    <t>Dalian University of Technology; Chinese Academy of Sciences; Institute of High Energy Physics, CAS; China Institute of Atomic Energy; Chinese Academy of Sciences; Institute of High Energy Physics, CAS</t>
  </si>
  <si>
    <t>Liang, HW (corresponding author), Dalian Univ Technol, Sch Microelect, Dalian 116620, Peoples R China.;Fan, RR (corresponding author), Chinese Acad Sci, Inst High Energy Phys, Beijing 100049, Peoples R China.</t>
  </si>
  <si>
    <t>hwliang@dlut.edu.cn; fanrr@ihep.ac.cn</t>
  </si>
  <si>
    <t>National Science Foundation of China [12075045, 1875097, 11975257, 62074146]; Strategic Priority Research Program of the Chinese Academy of Sciences [XPB2302]; Fundamental Research Funds for the Central Universities, PR China [DUT22LK23, DUT21RC (3) 014]; Natural Science Foundation of Liaoning Province, PR China [2020MS243]; Ministry of Industry and Information Technology of the People's Republic of China</t>
  </si>
  <si>
    <t>National Science Foundation of China(National Natural Science Foundation of China (NSFC)); Strategic Priority Research Program of the Chinese Academy of Sciences(Chinese Academy of Sciences); Fundamental Research Funds for the Central Universities, PR China(Fundamental Research Funds for the Central Universities); Natural Science Foundation of Liaoning Province, PR China; Ministry of Industry and Information Technology of the People's Republic of China</t>
  </si>
  <si>
    <t>This work was supported by the National Science Foundation of China under Grant 12075045, Grant 1875097, Grant 11975257, Grant 62074146, the Strategic Priority Research Program of the Chinese Academy of Sciences, Grant No. XPB2302, the Fundamental Research Funds for the Central Universities, PR China under Grant DUT22LK23, Grant DUT21RC (3) 014, the Natural Science Foundation of Liaoning Province, PR China under Grant 2020MS243 and the Ministry of Industry and Information Technology of the People's Republic of China.</t>
  </si>
  <si>
    <t>0168-9002</t>
  </si>
  <si>
    <t>1872-9576</t>
  </si>
  <si>
    <t>NUCL INSTRUM METH A</t>
  </si>
  <si>
    <t>Nucl. Instrum. Methods Phys. Res. Sect. A-Accel. Spectrom. Dect. Assoc. Equip.</t>
  </si>
  <si>
    <t>10.1016/j.nima.2023.168585</t>
  </si>
  <si>
    <t>Instruments &amp; Instrumentation; Nuclear Science &amp; Technology; Physics, Nuclear; Physics, Particles &amp; Fields</t>
  </si>
  <si>
    <t>Instruments &amp; Instrumentation; Nuclear Science &amp; Technology; Physics</t>
  </si>
  <si>
    <t>S5PK7</t>
  </si>
  <si>
    <t>WOS:001071682700001</t>
  </si>
  <si>
    <t>Lopes, LES; Ferreira, CP; Oliva, SM</t>
  </si>
  <si>
    <t>Lopes, Luis E. S.; Ferreira, Claudia P.; Oliva, Sergio M.</t>
  </si>
  <si>
    <t>Exploring the impact of temperature on the efficacy of replacing a wild Aedes aegypti population by a Wolbachia-carrying one</t>
  </si>
  <si>
    <t>APPLIED MATHEMATICAL MODELLING</t>
  </si>
  <si>
    <t>Non -autonomous model; Delay differential system; Mosquito traits; Loss of wolbachia -infection</t>
  </si>
  <si>
    <t>MODELS; DYNAMICS; REGRESSION; MOSQUITO; VECTOR</t>
  </si>
  <si>
    <t>A non-autonomous time-delayed differential system, with time-varying delay, is proposed to reproduce the competitive dynamics of Wolbachia -infected and non-infected mosquito populations in several scenarios that differ by daily environmental temperature, the bacterial strain carried by the mosquito, and the guidelines for release of infected mosquitoes. Both mosquito entomological parameters and infection traits depend on temperature, which per se depends on time. Therefore, inspired by the literature on insect populations, functional forms are proposed to describe the rates of birth, development, and survival (or mortality) of Ae. aegypti as a function of temperature, as well as the rate of Wolbachia infection loss. Numerical results showed that: (i) multiple releases were more efficient than a single one, (ii) when the mosquito population is high is the best time to implement the release of infected mosquitoes, (iii) strains that produce both high levels of cytoplasmic incompatibility and maternal inheritance boost the efficacy of the technique, and (iv) high temperature can jeopardize the efficacy of the technique.&amp; COPY; 2023 Elsevier Inc. All rights reserved.</t>
  </si>
  <si>
    <t>[Lopes, Luis E. S.; Oliva, Sergio M.] Univ Sao Paulo, Inst Math &amp; Stat, Dept Appl Math, BR-05508090 Sao Paulo, SP, Brazil; [Ferreira, Claudia P.] Sao Paulo State Univ UNESP, Inst Biosci, Dept Biodivers &amp; Biostat, BR-18618689 Botucatu, SP, Brazil</t>
  </si>
  <si>
    <t>Universidade de Sao Paulo; Universidade Estadual Paulista</t>
  </si>
  <si>
    <t>Ferreira, CP (corresponding author), Sao Paulo State Univ UNESP, Inst Biosci, Dept Biodivers &amp; Biostat, BR-18618689 Botucatu, SP, Brazil.</t>
  </si>
  <si>
    <t>luislopes@ime.usp.br; claudia.pio@unesp.br; soliva@usp.br</t>
  </si>
  <si>
    <t>National Council for Scientific and Technological Development (CNPq) [2020/10964-0]; Sao Paulo Research Foundation (FAPESP) [2019/22157-5]; CAPES; CAPES [001]; [302984/2020-8]</t>
  </si>
  <si>
    <t>National Council for Scientific and Technological Development (CNPq)(Conselho Nacional de Desenvolvimento Cientifico e Tecnologico (CNPQ)); Sao Paulo Research Foundation (FAPESP)(Fundacao de Amparo a Pesquisa do Estado de Sao Paulo (FAPESP)); CAPES(Coordenacao de Aperfeicoamento de Pessoal de Nivel Superior (CAPES)); CAPES(Coordenacao de Aperfeicoamento de Pessoal de Nivel Superior (CAPES));</t>
  </si>
  <si>
    <t>LESL thanks CAPES-Finance Code 001 for the scholarship. CPF thanks grant #302984/2020-8, National Council for Scientific and Technological Development (CNPq) . This work was supported by grants #2020/10964-0 and #2019/22157-5 , Sao Paulo Research Foundation (FAPESP) . The authors thank RM Coutinho for the discussion about the mathematical model.</t>
  </si>
  <si>
    <t>0307-904X</t>
  </si>
  <si>
    <t>1872-8480</t>
  </si>
  <si>
    <t>APPL MATH MODEL</t>
  </si>
  <si>
    <t>Appl. Math. Model.</t>
  </si>
  <si>
    <t>10.1016/j.apm.2023.07.007</t>
  </si>
  <si>
    <t>Engineering, Multidisciplinary; Mathematics, Interdisciplinary Applications; Mechanics</t>
  </si>
  <si>
    <t>Engineering; Mathematics; Mechanics</t>
  </si>
  <si>
    <t>O4UM6</t>
  </si>
  <si>
    <t>WOS:001043780700001</t>
  </si>
  <si>
    <t>Lu, FZ; Li, ZW; Zhang, S</t>
  </si>
  <si>
    <t>Lu, Fengzhi; Li, Zhongwu; Zhang, Shuai</t>
  </si>
  <si>
    <t>Does digital finance development affect carbon emission intensity: Evidence from China</t>
  </si>
  <si>
    <t>Digital finance; Carbon emission intensity; Heterogeneity; Energy intensity</t>
  </si>
  <si>
    <t>ENERGY-CONSUMPTION; PANEL-DATA; ENVIRONMENTAL DEGRADATION; CO2 EMISSIONS; URBANIZATION; CONTRIBUTE; GROWTH; IMPACT</t>
  </si>
  <si>
    <t>To achieve a green economic transformation, it is crucial to reduce carbon emission intensity (CEI), and digital finance has the potential to contribute to this objective. However, the specific impact of digital finance on CEI has not been thoroughly investigated. This study utilizes Chinese provincial data from 2011 to 2019 to examine the effect of digital finance on CEI using various analytical approaches, including a two-way fixed-effect model, instrumental variable method, and mediating-effect model. The findings of the study are as follows: (1) Digital finance has a significant and positive effect in reducing CEI, and this has proven to be consistent across robustness tests and adjustments for potential endogeneity. (2) The usage depth and digitization of digital finance play a significant role in reducing CEI. (3) The impact of digital finance on CEI varies across regions and over time. (4) Digital finance influences CEI by reducing energy intensity and altering energy consumption patterns. This study provides valuable insights for policy-makers in terms of enhancing their understanding of the relationship between digital finance and CEI. Consequently, it can guide the formulation of effective policies for carbon reduction and the development of digital finance in the future.</t>
  </si>
  <si>
    <t>[Lu, Fengzhi] Anhui Univ, Sch Big Data &amp; Stat, Hefei 230601, Peoples R China; [Li, Zhongwu] Zhejiang Univ Technol, Sch Econ, Hangzhou 310023, Peoples R China; [Zhang, Shuai] Chang An Univ, Sch Econ &amp; Management, Xian 710064, Peoples R China</t>
  </si>
  <si>
    <t>Anhui University; Zhejiang University of Technology; Chang'an University</t>
  </si>
  <si>
    <t>Li, ZW (corresponding author), Zhejiang Univ Technol, Sch Econ, Hangzhou 310023, Peoples R China.</t>
  </si>
  <si>
    <t>2495158509@qq.com; zhongwulee@163.com</t>
  </si>
  <si>
    <t>National Natural Science Foundation of China [42001118]</t>
  </si>
  <si>
    <t>Acknowledgements The work was supported by the National Natural Science Foundation of China (Grant nos. 42001118) .</t>
  </si>
  <si>
    <t>10.1016/j.iref.2023.07.036</t>
  </si>
  <si>
    <t>P5PQ9</t>
  </si>
  <si>
    <t>WOS:001051199500001</t>
  </si>
  <si>
    <t>Lu, W; Gao, A; Liang, YT; He, ZL; Li, JL; Sun, Y; Song, SL; Meng, SC</t>
  </si>
  <si>
    <t>Lu, Wei; Gao, Ao; Liang, Yuntao; He, Zhenglong; Li, Jinliang; Sun, Yong; Song, Shuanglin; Meng, Shaocong</t>
  </si>
  <si>
    <t>Stable and highly efficient HMDS terminated m-Cresol inhibitor for inhibiting coal spontaneous combustion</t>
  </si>
  <si>
    <t>Coal spontaneous combustion; Reactive inhibitor; Active functional group; Terminating agent; Protection-deprotection effect</t>
  </si>
  <si>
    <t>IONIC LIQUIDS; PROTECTION; ALCOHOLS; DEPROTECTION; CATALYST; MILD; FOAM; ACID</t>
  </si>
  <si>
    <t>A stable and highly efficient 1, 1, 3, 3, 3-hexamethyldisilazane (HMDS) terminated m-Cresol inhibitor was synthesized based on the protection-deprotection strategy. The inhibitory effect of HMDS terminated m-Cresol inhibitor on spontaneous combustion of lignite was explored through temperature-programmed oxidation tests, in-situ infrared analysis and thermogravimetric analysis. Results show that, the oxidation of active phenolic hydroxyl groups in the m-Cresol inhibitor can be hindered by the protection of HMDS. After encountering coal, the HMDS terminated inhibitor can be gradually deprotected to regenerate the m-Cresol inhibitor that contains massive active phenolic hydroxyl groups, thus improving the chemical inhibition efficiency of coal spontaneous combustion. For the coal sample inhibited with HMDS terminated m-Cresol inhibitor, the initial contents of the active functional groups are lower and more stable during heating, and the inhibition rate reaches 70% at 130 &amp; DEG;C. Moreover, the crossing-point temperature rises by 32.4 &amp; DEG;C-181.2 &amp; DEG;C. The activation energy increases by 11 kJ/ mol and 18 kJ/mol at below and above 130 &amp; DEG;C respectively. The peak temperature at maximum weight loss rate rises by 65 &amp; DEG;C-431.2 &amp; DEG;C, and the corresponding residual carbon rate increased by 31.3%-61.6%. The inhibition mechanism of the HMDS terminated m-Cresol inhibitor on coal spontaneous combustion was deduced.</t>
  </si>
  <si>
    <t>[Lu, Wei; Gao, Ao; Li, Jinliang] Anhui Univ Sci &amp; Technol, Coll Safety &amp; Engn, Huainan 232001, Peoples R China; [Liang, Yuntao] Chinese Inst Coal Sci, Beijing 100013, Peoples R China; [He, Zhenglong] Shandong Univ Sci &amp; Technol, Coll Safety &amp; Environm Engn, Qingdao 266590, Peoples R China; [Liang, Yuntao; He, Zhenglong; Sun, Yong; Song, Shuanglin] Shenyang Res Inst, State Key Lab Coal Mine Safety Technol, China Coal Technol Engn Grp, Shenyang 113122, Peoples R China; [Meng, Shaocong] Synfuels China Inner Mongolia Co Ltd, Ordos 010321, Peoples R China</t>
  </si>
  <si>
    <t>Anhui University of Science &amp; Technology; Shandong University of Science &amp; Technology</t>
  </si>
  <si>
    <t>Liang, YT (corresponding author), Chinese Inst Coal Sci, Beijing 100013, Peoples R China.;He, ZL (corresponding author), Shandong Univ Sci &amp; Technol, Coll Safety &amp; Environm Engn, Qingdao 266590, Peoples R China.</t>
  </si>
  <si>
    <t>liangyuntao@vip.sina.com; hzl_safety@sdust.edu.cn</t>
  </si>
  <si>
    <t>Na-tional Natural Science Foundation of China [51974178, 52004148]; Anhui University Excellent Scientific Research and Innovation Team Project [2022AH010051]; Anhui Provincial Key Research and Devel-opment Project [2022m07020006]; China Postdoctoral Science Foundation [2022MD723799]; Natural Science Research Project of Anhui Educational Committee [2022AH050804]; Anhui Provincial Natural Science Foundation [2208085ME124]; Natural Science Foundation of Shandong Province [ZR2020QE127]</t>
  </si>
  <si>
    <t>Na-tional Natural Science Foundation of China(National Natural Science Foundation of China (NSFC)); Anhui University Excellent Scientific Research and Innovation Team Project; Anhui Provincial Key Research and Devel-opment Project; China Postdoctoral Science Foundation(China Postdoctoral Science Foundation); Natural Science Research Project of Anhui Educational Committee; Anhui Provincial Natural Science Foundation(Natural Science Foundation of Anhui Province); Natural Science Foundation of Shandong Province(Natural Science Foundation of Shandong Province)</t>
  </si>
  <si>
    <t>The authors gratefully acknowledge financial support from the Na-tional Natural Science Foundation of China (51974178, 52004148) , Anhui University Excellent Scientific Research and Innovation Team Project (2022AH010051) , Anhui Provincial Key Research and Devel-opment Project (2022m07020006) , the China Postdoctoral Science Foundation (2022MD723799) , Natural Science Research Project of Anhui Educational Committee (2022AH050804) , Anhui Provincial Natural Science Foundation (2208085ME124) and the Natural Science Foundation of Shandong Province (ZR2020QE127) .</t>
  </si>
  <si>
    <t>10.1016/j.energy.2023.128915</t>
  </si>
  <si>
    <t>S2XD5</t>
  </si>
  <si>
    <t>WOS:001069842900001</t>
  </si>
  <si>
    <t>Lucido, JJ; Penoncello, GP; Laughlin, BS; Armstrong, MD; Lo, SG; Rivera, JN; Tang, XY; Chungbin, SJ; Breen, WG; Mangold, AR; Comfere, NI; Lester, SC; Rule, WG; Deufel, CL; Foster, MG</t>
  </si>
  <si>
    <t>Lucido, J. John; Penoncello, Gregory P.; Laughlin, Brady S.; Armstrong, Michael D.; Lo, Stephanie G.; Rivera, Judith N.; Tang, Xueyan; Chungbin, Suzanne J.; Breen, William G.; Mangold, Aaron R.; Comfere, Nneka I.; Lester, Scott C.; Rule, William G.; Deufel, Christopher L.; Foster, Madeline G.</t>
  </si>
  <si>
    <t>Development and Dosimetric Characterization of a Customizable Shield for Subtotal Skin Electron Beam Therapy</t>
  </si>
  <si>
    <t>ADVANCES IN RADIATION ONCOLOGY</t>
  </si>
  <si>
    <t>MYCOSIS-FUNGOIDES; IRRADIATION; EXPERIENCE</t>
  </si>
  <si>
    <t>Purpose: Purpose: Subtotal skin electron beam therapy may be an option for patients with cutaneous lymphoma receiving radiation therapy to treat large areas of their skin but may benefit from sparing specific areas that may have had previous radiation therapy, are of specific cosmetic concern, and/or show no evidence of disease. We report here on the design, implementation, and dosimetric characteristics of a reusable and transparent customizable shield for use with the large fields used to deliver total skin electron beamMethods and Materials: A shield was designed and manufactured consisting of acrylic blocks that can be mounted on a steel frame to allow patient-specific shielding. The dosimetry of the device was measured using radiochromic film.Results: The shield is easy to use and well-tolerated for patient treatment, providing minimal electron transmission through the shield with a sharp penumbra at the field edge, with no increase in x-ray dose. We report on the dosimetry of a commercial device that has been used to treat more than 30 patients to date.Conclusions: The customizable shield is well suited to providing patient-specific shielding for subtotal skin electron beam therapy.&amp; COPY; 2023 The Author(s). Published by Elsevier Inc. on behalf of American Society for Radiation Oncology. This is an open access article under the CC BY-NC-ND license (http://creativecommons.org/licenses/by-nc-nd/4.0/).</t>
  </si>
  <si>
    <t>[Lucido, J. John; Lo, Stephanie G.; Rivera, Judith N.; Tang, Xueyan; Breen, William G.; Lester, Scott C.; Deufel, Christopher L.] Mayo Clin, Dept Radiat Oncol, Rochester, MN 55902 USA; [Penoncello, Gregory P.] Univ Colorado, Dept Radiat Oncol, Aurora, CO USA; [Laughlin, Brady S.; Armstrong, Michael D.; Chungbin, Suzanne J.; Rule, William G.; Foster, Madeline G.] Mayo Clin, Dept Radiat Oncol, Phoenix, AZ USA; [Mangold, Aaron R.] Mayo Clin, Dept Dermatol, Phoenix, AZ USA; [Comfere, Nneka I.] Mayo Clin, Dept Dermatol, Rochester, MN USA</t>
  </si>
  <si>
    <t>Mayo Clinic; University of Colorado System; University of Colorado Anschutz Medical Campus; Mayo Clinic; Mayo Clinic Phoenix; Mayo Clinic; Mayo Clinic Phoenix; Mayo Clinic</t>
  </si>
  <si>
    <t>Lucido, JJ (corresponding author), Mayo Clin, Dept Radiat Oncol, Rochester, MN 55902 USA.</t>
  </si>
  <si>
    <t>lucido.joseph@mayo.edu</t>
  </si>
  <si>
    <t>Lucido, John/0000-0002-4538-2765</t>
  </si>
  <si>
    <t>ELSEVIER INC</t>
  </si>
  <si>
    <t>525 B STREET, STE 1900, SAN DIEGO, CA 92101-4495 USA</t>
  </si>
  <si>
    <t>2452-1094</t>
  </si>
  <si>
    <t>ADV RADIAT ONCOL</t>
  </si>
  <si>
    <t>Adv. Radiat. Oncol.</t>
  </si>
  <si>
    <t>NOV-DEC</t>
  </si>
  <si>
    <t>10.1016/j.adro.2023.101289</t>
  </si>
  <si>
    <t>Oncology; Radiology, Nuclear Medicine &amp; Medical Imaging</t>
  </si>
  <si>
    <t>Q0YS5</t>
  </si>
  <si>
    <t>WOS:001054866100001</t>
  </si>
  <si>
    <t>Ma, PF; Li, JL; Bai, JC; Zhuo, Y; Chi, LY; Zhu, YP; Shi, ZH; Ma, HY; Chen, GD</t>
  </si>
  <si>
    <t>Ma, Pengfei; Li, Jiaoli; Bai, Jincheng; Zhuo, Ying; Chi, Lingyu; Zhu, Yanping; Shi, Zhenhua; Ma, Hongyan; Chen, Genda</t>
  </si>
  <si>
    <t>Effect of type and quantity of inherent alkali cations on alkali-silica reaction</t>
  </si>
  <si>
    <t>Alkali-silica reaction; Sodium and potassium; Boosting and exposing; Raman spectroscopy; Expansion mechanism</t>
  </si>
  <si>
    <t>CHEMICAL SEQUENCE; ACTIVATED SLAG; REACTION GELS; CONCRETE; CARBONATION; MECHANISMS; KINETICS; MODULUS; SIZE; RISK</t>
  </si>
  <si>
    <t>In this study, the macroscopical expansion induced by alkali-silica reaction (ASR) and its corresponding ASR products are investigated using ordinary Portland cement (OPC) mortar specimens with a gradient of boosted alkalis. Experimental results show that the expansion increases with the concentration of inherent alkalis. Sodium-boosted samples expand approximately three times as much as potassium-boosted samples. ASR gels that are present in aggregate veins are calcium-free and amorphous; the atomic ratios of ASR gels are nearly inde-pendent of the type and quantity of alkali cations. Aggregate ASR gel exudation occurs in high (&amp; GE;2.5 %) sodium cases and produces potential Na-shlykovite. Crystalline and amorphous calcium-containing ASR products are present in aggregate vicinities in either Na-or K-boosted samples. The higher hydrophilicity of Na-gel in aggregate veins accounts for the larger expansion. Boosted alkali cations are more effective in ASR products formation than in exposing solution. A new observation that NaOH exposure inhibits ASR in K-boosted samples (zero expansion) is reported.</t>
  </si>
  <si>
    <t>[Ma, Pengfei; Li, Jiaoli; Zhuo, Ying; Zhu, Yanping; Shi, Zhenhua; Ma, Hongyan; Chen, Genda] Missouri Univ Sci &amp; Technol, Dept Civil Architectural &amp; Environm Engn, Rolla, MO 65409 USA; [Bai, Jincheng] Missouri Univ Sci &amp; Technol, Mat Res Ctr, Rolla, MO USA; [Chi, Lingyu] Missouri Univ Sci &amp; Technol, Dept Chem, Rolla, MO USA</t>
  </si>
  <si>
    <t>University of Missouri System; Missouri University of Science &amp; Technology; University of Missouri System; Missouri University of Science &amp; Technology; University of Missouri System; Missouri University of Science &amp; Technology</t>
  </si>
  <si>
    <t>Chen, GD (corresponding author), Missouri Univ Sci &amp; Technol, Dept Civil Architectural &amp; Environm Engn, Rolla, MO 65409 USA.</t>
  </si>
  <si>
    <t>gchen@mst.edu</t>
  </si>
  <si>
    <t>Bai, Jincheng/GNP-0509-2022; Shi, Zhenhua/AAE-5945-2022</t>
  </si>
  <si>
    <t>U.S. Department of Transportation, Office of the Assistant Secretary for Research and Technology (OST-R) under the Auspices of the INSPIRE University Transportation Center at Missouri University of Science and Technology [69A3551747126]</t>
  </si>
  <si>
    <t>U.S. Department of Transportation, Office of the Assistant Secretary for Research and Technology (OST-R) under the Auspices of the INSPIRE University Transportation Center at Missouri University of Science and Technology</t>
  </si>
  <si>
    <t>Financial support to complete this study was provided by the U.S. Department of Transportation, Office of the Assistant Secretary for Research and Technology (OST-R) under the Auspices of the INSPIRE University Transportation Center under Grant No. 69A3551747126 at Missouri University of Science and Technology.</t>
  </si>
  <si>
    <t>10.1016/j.cemconres.2023.107293</t>
  </si>
  <si>
    <t>P6CL0</t>
  </si>
  <si>
    <t>WOS:001051533600001</t>
  </si>
  <si>
    <t>Ma, YX; Chen, RX; Chen, ZD; Wang, ZP; Chen, JF; Zhang, SG</t>
  </si>
  <si>
    <t>Ma, Yunxian; Chen, Ruixi; Chen, Zidi; Wang, Zhipeng; Chen, Jinfeng; Zhang, Shenggui</t>
  </si>
  <si>
    <t>Probing covalent and non-covalent interactions between vanillic acid and starch and their effects on digestibility by solid-state NMR</t>
  </si>
  <si>
    <t>Intermolecular interactions; Porous starch; Solid -state NMR</t>
  </si>
  <si>
    <t>IN-VITRO DIGESTIBILITY; POROUS STARCH; PHYSICOCHEMICAL CHARACTERIZATION; POTATO STARCH; FOOD; SPECTROSCOPY; COMPLEXES</t>
  </si>
  <si>
    <t>Intermolecular interactions play a significant role on the physicochemical properties and digestibility of starchy foods. This study investigated the covalent and non-covalent interactions between vanillic acid (VA) and porous starch (PS) as well as their effects on digestibility using solid-state NMR. VA-PS conjugates and mixtures were synthesized and characterized using 1H NMR, FT-IR, SEM and XRD. 13C NMR peaks at 163 ppm and FT-IR signals at 1737 cm-1 indicated the formation of ester bond in VA-PS conjugates. While differences between covalent and non-covalent interactions were also probed by solid-state NMR. The specific binding sites between VA and PS were subsequently identified by 1H-13C HETCOR spectra before assessing the impact of covalent and noncovalent interactions on digestibility through an in vitro digestion test. The results revealed 13C chemical shifts of about 2.0 ppm, indicating stronger intermolecular interactions, and reduced mobility of the VA-PS conjugate due to its covalent bonding. Overall, the results showed that the VA-PS conjugate, characterized by stronger covalent interactions, exhibited superior effects in inhibiting starch digestibility compared with non-covalent interactions.</t>
  </si>
  <si>
    <t>[Ma, Yunxian; Chen, Ruixi; Chen, Zidi; Chen, Jinfeng; Zhang, Shenggui] Gansu Agr Univ, Coll Food Sci &amp; Engn, Lanzhou 730070, Gansu, Peoples R China; [Ma, Yunxian; Zhang, Shenggui] Gansu Agr Univ, State Key Lab Arid Land Crop Sci, Lanzhou 730070, Gansu, Peoples R China; [Wang, Zhipeng] Lanzhou Univ, Coll Chem &amp; Chem Engn, State Key Lab Appl Organ Chem, Lanzhou 730000, Gansu, Peoples R China; [Zhang, Shenggui] Gansu Agr Univ, 1 Yingmencun, Lanzhou 730070, Peoples R China</t>
  </si>
  <si>
    <t>Gansu Agricultural University; Gansu Agricultural University; Lanzhou University; Gansu Agricultural University</t>
  </si>
  <si>
    <t>Zhang, SG (corresponding author), Gansu Agr Univ, State Key Lab Arid Land Crop Sci, Lanzhou 730070, Gansu, Peoples R China.;Zhang, SG (corresponding author), Gansu Agr Univ, 1 Yingmencun, Lanzhou 730070, Peoples R China.</t>
  </si>
  <si>
    <t>zhangshenggui@gsau.edu.cn</t>
  </si>
  <si>
    <t>Natural Science Foun-dation for Distinguished Young Scholars of Gansu Province [Gaufx-04J02]; Fuxi Talent Program of Gansu Agricultural Univer-sity; [21JR7RA856]</t>
  </si>
  <si>
    <t>Natural Science Foun-dation for Distinguished Young Scholars of Gansu Province; Fuxi Talent Program of Gansu Agricultural Univer-sity;</t>
  </si>
  <si>
    <t>This work was financially supported by the Natural Science Foun-dation for Distinguished Young Scholars of Gansu Province (No. 21JR7RA856) , and Fuxi Talent Program of Gansu Agricultural Univer-sity (No. Gaufx-04J02) .</t>
  </si>
  <si>
    <t>10.1016/j.ijbiomac.2023.126304</t>
  </si>
  <si>
    <t>Q7WG7</t>
  </si>
  <si>
    <t>WOS:001059585300001</t>
  </si>
  <si>
    <t>Mandal, L; Singh, J; Ganesan, AR</t>
  </si>
  <si>
    <t>Mandal, Laxman; Singh, Jaspal; Ganesan, A. R.</t>
  </si>
  <si>
    <t>Modified Cyclic Interferometer for measurement of nanoradian tilt with multifold sensitivity</t>
  </si>
  <si>
    <t>Interferometry; Cyclic Interferometer; Tilt measurement; Multiple reflections; Optical metrology</t>
  </si>
  <si>
    <t>A modified cyclic interferometer and multiple reflections modified cyclic interferometer have been developed which uses a double-sided mirror (DSM) to measure the small tilt angle in the nanoradian range. These interferometers provide robust setups for the measurement of tilt with multifold sensitivity compared to the usual interferometers. The designs of the interferometers, theory for tilt, relative sensitivity, and experiment results to verify them are presented.</t>
  </si>
  <si>
    <t>[Mandal, Laxman; Singh, Jaspal; Ganesan, A. R.] Indian Inst Technol Madras, Dept Phys, Appl Opt Lab, Chennai 600036, India</t>
  </si>
  <si>
    <t>Indian Institute of Technology System (IIT System); Indian Institute of Technology (IIT) - Madras</t>
  </si>
  <si>
    <t>Mandal, L (corresponding author), Indian Inst Technol Madras, Dept Phys, Appl Opt Lab, Chennai 600036, India.</t>
  </si>
  <si>
    <t>laxman1995mandal@gmail.com</t>
  </si>
  <si>
    <t>10.1016/j.optcom.2023.129815</t>
  </si>
  <si>
    <t>R5XH1</t>
  </si>
  <si>
    <t>WOS:001065076100001</t>
  </si>
  <si>
    <t>Mao, RC; Shi, AY; Song, JX; Xu, WJ; Tang, B; Li, BJ</t>
  </si>
  <si>
    <t>Mao, Ruichen; Shi, Aying; Song, Jinxi; Xu, Wenjin; Tang, Bin; Li, Bingjie</t>
  </si>
  <si>
    <t>Response of the runoff process to meteorological drought: Baseflow index as an important indicator</t>
  </si>
  <si>
    <t>Meteorological drought; Hydrological elements; Response time; Transition sequence; Seasonality; Baseflow index</t>
  </si>
  <si>
    <t>WEIHE RIVER-BASIN; HYDROLOGICAL DROUGHT; CLIMATE-CHANGE; LOESS PLATEAU; IMPACTS</t>
  </si>
  <si>
    <t>Runoff and baseflow are two hydrological elements most closely involved in water-resource management. Defining the response of runoff/baseflow to meteorological drought (MD) is helpful for designing precise drought resisting measures. Thus, Pearson correlation coefficients and mutual information scores between runoff/base-flow and MD in five sub-basins of the Weihe River Basin (WRB) were estimated on a weekly scale, and the best response times of runoff/baseflow to MD on annual and calendar months were determined according to the maximum degree of response. Furthermore, the spatial and seasonal differences in response characteristics in the WRB were discussed and the baseflow index (BFI) was introduced to further explain the propagation process of MD to runoff/baseflow. The results showed that (1) in addition to the response time, the transition sequences of MD propagating to runoff and baseflow varied across basins due to the specific basin properties; (2) Response time of runoff to MD was related to BFI value and showed significant seasonality and hydrological periodicity. In summer and autumn (wet season), the response was faster and stronger, whereas the opposite occurred in winter and spring (normal/dry season); (3) BFI values indicated the main path of drought propagation, explaining the variation in response time between basins and seasons; hence, it can be used to simply and effectively determine the propagation speed of MD to runoff. This study clarified the response characteristics of the runoff process to MD and enhanced our understanding of the drought propagation process, which is crucial for mitigating and managing drought-related hazards.</t>
  </si>
  <si>
    <t>[Mao, Ruichen; Shi, Aying; Song, Jinxi; Xu, Wenjin; Tang, Bin; Li, Bingjie] Northwest Univ, Coll Urban &amp; Environm Sci, Shaanxi Key Lab Earth Surface Syst &amp; Environm Carr, Xian 710127, Peoples R China; [Song, Jinxi] Northwest Univ, Inst Qinling Mt, Xian 710127, Peoples R China; [Song, Jinxi] Northwest Univ, Yellow River Inst Shaanxi Prov, Xian 710127, Peoples R China</t>
  </si>
  <si>
    <t>Northwest University Xi'an; Northwest University Xi'an; Northwest University Xi'an</t>
  </si>
  <si>
    <t>Song, JX (corresponding author), Northwest Univ, Coll Urban &amp; Environm Sci, Shaanxi Key Lab Earth Surface Syst &amp; Environm Carr, Xian 710127, Peoples R China.</t>
  </si>
  <si>
    <t>jinxisong@nwu.edu.cn</t>
  </si>
  <si>
    <t>Song, Jinxi/0000-0001-9838-8063</t>
  </si>
  <si>
    <t>National Natural Science Foundation of China [42041004, 42230513]</t>
  </si>
  <si>
    <t>This study was supported by the National Natural Science Foundation of China (Grant Nos. 42041004 and 42230513).</t>
  </si>
  <si>
    <t>10.1016/j.jenvman.2023.118843</t>
  </si>
  <si>
    <t>R2FQ7</t>
  </si>
  <si>
    <t>WOS:001062557100001</t>
  </si>
  <si>
    <t>Marinkovic, G; Papic, P; Spahic, D; Andrijasevic, J; Spahic, MP</t>
  </si>
  <si>
    <t>Marinkovic, Goran; Papic, Petar; Spahic, Darko; Andrijasevic, Jakov; Spahic, Maja Poznanovic</t>
  </si>
  <si>
    <t>Case study of mountainous geothermal reservoirs (Kopaonik Mt., southwestern Serbia): Fault-controlled fluid compartmentalization within a late Paleogene-Neogene core-complex</t>
  </si>
  <si>
    <t>GEOTHERMICS</t>
  </si>
  <si>
    <t>Thermal water; Aquifer; Geothermal anomalies; Regional fault; Hydrodynamics; Kopaonik Mt.</t>
  </si>
  <si>
    <t>VARDAR ZONE; VOLCANIC AQUIFER; SOUTHERN SERBIA; WATERS; HYDROGEOCHEMISTRY; MAGMATISM; EVOLUTION; SYSTEM; ORIGIN; FIELD</t>
  </si>
  <si>
    <t>A composite hydrogeothermal survey of the magmatic-metamorphic post-NeoTethyan late Paleogene - Neogene crustal core-complex of the Kopaonik Mt., southwestern Serbian highlands, provides new constraints on the subsurface hydraulic across- and along-fault flow fluid regimes and geothermal anomalies associated with the two shallow reservoirs. The study is involving synergistic approach by combining structural geology, exploratory drilling, temperature logging, hydrochemical and hydrodynamic constraints further illustrating a complex conduit-barrier fault-controlled spatial compartmentalization of the two thermal water reservoir(s). The thermal waters of the Kopaonik Mt. geothermal field are channeled by the major regional faults and associated fracture zones that are crosscutting the volcanics and the adjoining metamorphites. The results show that the subsurface compartmentalization of the active reservoirs, which are supplying the spa town of Jos ˇanic ˇka banja, are controlled by a seismically active regional faults (including the fault that is crosscutting the Slanis ˇte locality, having N-S trending). Owing to the linear channeling of the fault-controlled reservoirs, in which the main quantitative water circulation takes place, it was possible to identify the thermal fluid flow paths and associated recharge zones (catchments). The Jos ˇanic ˇka banja thermal waters reservoir is accommodated at ca. 400-500 m depth, whereas the Slanis ˇte aquifer maintains a shallower position. The new surface - subsurface constraints allowed the estimation of the subsurface reservoir elevations, pinpointing the origin of shallow crustal geothermal processes. Of particular importance is better understanding of the subsurface spatial distribution and the ultimate depth of the developing Kopaonik Mt. geothermal field. The new interpretation shows a qualitative agreement with the core-complex-related heat sourcing, as well as the fault-controlled reservoir compartments, impacting the efficient extraction of the thermal waters, in terms of quantity, quality and water temperature.</t>
  </si>
  <si>
    <t>[Marinkovic, Goran; Spahic, Darko; Spahic, Maja Poznanovic] Geol Survey Serbia, Rovinjska 12, Belgrade, Serbia; [Papic, Petar; Andrijasevic, Jakov] Univ Belgrade, Fac Min &amp; Geol, Dusina 7, Belgrade, Serbia</t>
  </si>
  <si>
    <t>University of Belgrade</t>
  </si>
  <si>
    <t>Spahic, D (corresponding author), Geol Survey Serbia, Rovinjska 12, Belgrade, Serbia.</t>
  </si>
  <si>
    <t>darkogeo2002@hotmail.com</t>
  </si>
  <si>
    <t>Spahić, Darko/HSH-6940-2023</t>
  </si>
  <si>
    <t>Spahić, Darko/0000-0002-5832-0782</t>
  </si>
  <si>
    <t>Republic of Serbia</t>
  </si>
  <si>
    <t>The research is founded by the Republic of Serbia. The project contained multiple phases executed within the Geological Survey of Serbia: (i) project of Hydrogeological map of Serbia, scale 1:100,000, sheets Podujevo and Nis &amp; nbsp;. In addition, (ii) the Project entitled Hydrothermal assessment of magmatic complexes of southern and eastern Serbia which ends in the year 2024 provided funding. Authors thanks hydro-geologists Marina Magazinovic &amp; nbsp;and Marija Obradovic &amp; nbsp;from the Geological Survey of Serbia for participation during last stages of the study. We are very thankful Editor-in-Chief, Christopher Bromley, for the guidance throughout the review process, and we thank to four &amp; nbsp;anonymous reviewers, in particular the Reviewer#3 for a significant improvement of the initial version of the manuscript.</t>
  </si>
  <si>
    <t>0375-6505</t>
  </si>
  <si>
    <t>1879-3576</t>
  </si>
  <si>
    <t>Geothermics</t>
  </si>
  <si>
    <t>10.1016/j.geothermics.2023.102799</t>
  </si>
  <si>
    <t>Energy &amp; Fuels; Geosciences, Multidisciplinary</t>
  </si>
  <si>
    <t>Energy &amp; Fuels; Geology</t>
  </si>
  <si>
    <t>R0YK3</t>
  </si>
  <si>
    <t>WOS:001061682300001</t>
  </si>
  <si>
    <t>Masui, K</t>
  </si>
  <si>
    <t>Masui, Keita</t>
  </si>
  <si>
    <t>Interactional effects of adverse childhood experiences, psychopathy, and everyday sadism on Internet trolling</t>
  </si>
  <si>
    <t>PERSONALITY AND INDIVIDUAL DIFFERENCES</t>
  </si>
  <si>
    <t>Internet trolling; Adverse childhood experiences; Psychopathy; Everyday sadism</t>
  </si>
  <si>
    <t>DARK TETRAD</t>
  </si>
  <si>
    <t>Internet trolling is defined as maladaptive and antisocial behavior on the Internet. This exploratory study examined the interactional effects of adverse childhood experiences (ACEs) and dark personality traits, including psychopathy and everyday sadism, on engaging in Internet trolling. Japanese participants (N = 447, 51.2 % women) completed questionnaires assessing Internet trolling, ACEs, and dark personality traits. The results showed that ACEs, psychopathy, and everyday sadism were positive predictors of Internet trolling. Moreover, hierarchical regression analyses indicated that these dark personality traits were significantly associated with increased Internet trolling only in individuals with high ACE scores. These results suggest that ACEs moderate the effects of dark personality traits on Internet trolling. I discuss the implications of these findings for strategies to reduce antisocial Internet behavior.</t>
  </si>
  <si>
    <t>[Masui, Keita] Otemon Gakuin Univ, Dept Psychol, Ibaraki 5678502, Japan</t>
  </si>
  <si>
    <t>Masui, K (corresponding author), Otemon Gakuin Univ, Dept Psychol, Ibaraki 5678502, Japan.</t>
  </si>
  <si>
    <t>k-masui@otemon.ac.jp</t>
  </si>
  <si>
    <t>0191-8869</t>
  </si>
  <si>
    <t>1873-3549</t>
  </si>
  <si>
    <t>PERS INDIV DIFFER</t>
  </si>
  <si>
    <t>Pers. Individ. Differ.</t>
  </si>
  <si>
    <t>10.1016/j.paid.2023.112327</t>
  </si>
  <si>
    <t>Psychology, Social</t>
  </si>
  <si>
    <t>P0VJ0</t>
  </si>
  <si>
    <t>WOS:001047899400001</t>
  </si>
  <si>
    <t>Matic, D; Vlahovic, M; Grcic, A; Filipovic, A; Ilijin, L; Mrdakovic, M; Mutic, J; Durdic, S; Peric-Mataruga, V</t>
  </si>
  <si>
    <t>Matic, Dragana; Vlahovic, Milena; Grcic, Anja; Filipovic, Aleksandra; Ilijin, Larisa; Mrdakovic, Marija; Mutic, Jelena; Durdic, Sladana; Peric-Mataruga, Vesna</t>
  </si>
  <si>
    <t>Antioxidative enzymes, alkaline phosphatases and Hsp70 expression in larvae of Lymantria dispar (Lepidoptera: Erebidae) from unpolluted and polluted forests after chronic cadmium treatment</t>
  </si>
  <si>
    <t>COMPARATIVE BIOCHEMISTRY AND PHYSIOLOGY C-TOXICOLOGY &amp; PHARMACOLOGY</t>
  </si>
  <si>
    <t>Cadmium; Cadmium accumulation; Antioxidative enzymes; Hsp70; Biomarker</t>
  </si>
  <si>
    <t>ORCHESELLA-CINCTA COLLEMBOLA; SPODOPTERA-EXIGUA LARVAE; OXIDATIVE STRESS; NATURAL-POPULATIONS; METAL TOLERANCE; EXPOSURE; METALLOTHIONEIN; BIOMARKERS; PROTEIN; L.</t>
  </si>
  <si>
    <t>Long-term exposure of populations to pollution may result in enhanced ability to cope with environmental stress. To compare the responses of two Lymantria dispar populations living in unpolluted and polluted forests (UP and PP, respectively), we chronically exposed larvae to cadmium at concentrations of 50 and 100 &amp; mu;g Cd/g dry food (Cd1 and Cd2, respectively). We examined cadmium accumulation in the midgut and hemolymph, activities of superoxide dismutase (SOD), catalase (CAT), and alkaline phosphatases (ALP) in the midgut, as well as Hsp70 protein expression in the midgut, hemolymph, and brain and evaluated these parameters as biomarkers of cadmium contamination. Larvae from PP, fed a control diet, showed higher activity of SOD and increased Hsp70 expression compared with larvae from UP. Excessive amounts of Cd were accumulated in the midgut of all Cd-fed larvae, whereas Cd content in the hemolymph was elevated only in larvae from PP after Cd2 treatment. In larvae from UP, Cd2 treatment decreased the activity of CAT and induced the expression of Hsp70 in the midgut and hemolymph. In larvae from PP, exposure to both Cd concentrations strongly attenuated SOD and CAT activities, while Hsp70 expression was not induced in any organ/tissue. Cd did not affect ALP activity in either population. Midgut Cd content proved to be a suitable indicator of Cd contamination for both polluted and unpolluted habitats.</t>
  </si>
  <si>
    <t>[Matic, Dragana; Vlahovic, Milena; Grcic, Anja; Filipovic, Aleksandra; Ilijin, Larisa; Mrdakovic, Marija; Peric-Mataruga, Vesna] Univ Belgrade, Inst Biol Res Sinisa Stankovic, Natl Inst Republ Serbia, Dept Insect Physiol &amp; Biochem, Despot Stefan Blvd 142, Belgrade 11108, Serbia; [Mutic, Jelena; Durdic, Sladana] Univ Belgrade, Fac Chem, Studentski trg 12-16, Belgrade 11158, Serbia</t>
  </si>
  <si>
    <t>University of Belgrade; University of Belgrade</t>
  </si>
  <si>
    <t>Matic, D (corresponding author), Univ Belgrade, Inst Biol Res Sinisa Stankovic, Natl Inst Republ Serbia, Dept Insect Physiol &amp; Biochem, Despot Stefan Blvd 142, Belgrade 11108, Serbia.</t>
  </si>
  <si>
    <t>dragana.matic@ibiss.bg.ac.rs; minavl@ibiss.bg.ac.rs; anja.gavrilovic@ibiss.bg.ac.rs; aleksandra.mrkonja@ibiss.bg.ac.rs; lararid@ibiss.bg.ac.rs; mm1507@ibiss.bg.ac.rs; jmutic@chem.bg.ac.rs; sladjanadj@chem.bg.ac.rs; vesper@ibiss.bg.ac.rs</t>
  </si>
  <si>
    <t>Ministry of Science, Technological Development and Innovation of the Republic of Serbia [451-03-47/2023-01/200007]</t>
  </si>
  <si>
    <t>Ministry of Science, Technological Development and Innovation of the Republic of Serbia</t>
  </si>
  <si>
    <t>This study was funded by the Ministry of Science, Technological Development and Innovation of the Republic of Serbia (the number of contract 451-03-47/2023-01/200007) .</t>
  </si>
  <si>
    <t>1532-0456</t>
  </si>
  <si>
    <t>1878-1659</t>
  </si>
  <si>
    <t>COMP BIOCHEM PHYS C</t>
  </si>
  <si>
    <t>Comp. Biochem. Physiol. C-Toxicol. Pharmacol.</t>
  </si>
  <si>
    <t>10.1016/j.cbpc.2023.109721</t>
  </si>
  <si>
    <t>Biochemistry &amp; Molecular Biology; Endocrinology &amp; Metabolism; Toxicology; Zoology</t>
  </si>
  <si>
    <t>R8HT7</t>
  </si>
  <si>
    <t>WOS:001066719600001</t>
  </si>
  <si>
    <t>Mecheri, S; Zouchoune, B</t>
  </si>
  <si>
    <t>Mecheri, Sabri; Zouchoune, Bachir</t>
  </si>
  <si>
    <t>Donor-acceptor electron transfers and bonding performance of cyclopentadienyl and cyclo-P-5 middle decks in (CpFeE5)ML3 and (CpFeE5) FeCb (E-5 = Cp, P-5 and ML3 = Cr(CO)(3), Mo(CO)(3), CrBz, MnCp, MoBz) triple-decker complexes: Bonding and energy decomposition analysis</t>
  </si>
  <si>
    <t>POLYHEDRON</t>
  </si>
  <si>
    <t>DFT investigation; Metal-Ligand interactions; Sigma and pi bonding; FMOs; Natural bonding analysis</t>
  </si>
  <si>
    <t>DENSITY-FUNCTIONAL THEORY; TRANSITION-METAL SANDWICH; ABSORPTION INTENSITY CALCULATIONS; TUNGSTENOCENE REACTION SYSTEMS; COORDINATION CHEMISTRY; CHEMICAL VALENCE; NATURAL ORBITALS; REACTIVITY PATTERNS; PHENAZINE LIGAND; MAIN-GROUP</t>
  </si>
  <si>
    <t>Density functional theory (DFT) calculations using BP86 and B3LYP* methods have been applied on a series of isoelectronic (CpFeCp')ML3, (CpFeP5)ML3, (CpFeCp')FeCb and (CpFeP5)FeCb (Cb = Cyclobutadiene, ML3 = Cr (CO)3, Mo(CO)3, CrBz, MBz, MnCp and Bz = Benzene) triple-decker complexes of 30-MVE (metal valence electrons) count to investigate the electronic structure and the bonding and exploiting the energy decomposition analysis (EDA). The optimized structures for the considered complexes are comparable to those experimentally characterized by X-ray diffraction. The bonding is evaluated through the interactions between the (cyclo-P5- ) or Cp- and ML3 metallic fragments pinpointing the a-donor and &amp; pi;-acceptor performance of the (cyclo-P5- ) and Cpligands as potential 6 electron donors on one hand and that of the metallic fragments of 12-MVE count on other hand. The natural charges and the localization of the molecular orbitals have been used to predict the variation of the interactions with the nature of the metal fragment. The electrostatic and orbital interaction contributions and the role of a-donor and &amp; pi; acceptor into the bonding are for a huge importance with regard to the energy decomposition analysis (EDA). For both (cyclo-P5- ) and Cp- , the bonding was revealed to be equally ionic and covalent related to the percentage of &amp; UDelta;Eelstat and &amp; UDelta;Eorb into the total of attractive interactions (&amp; UDelta;Eelstat + &amp; UDelta;Eorb). The &amp; pi; bonding is strong than a one, which contributes significantly by about 75% and more into the total orbital interactions.The a-donation (Cp &amp; RARR; M and P5 &amp; RARR; M) and &amp; pi;-backdonation (Cp &amp; LARR; M and P5 &amp; LARR; M) are evaluated based on the donor-acceptor electrons transfers, revealing that are more significant for P5- than those for Cp- .</t>
  </si>
  <si>
    <t>[Mecheri, Sabri; Zouchoune, Bachir] Univ Larbi Ben MHidi Oum El Bouaghi, Lab Chim Appl &amp; Technol Mat, Oum El Bouaghi 04000, Algeria; [Zouchoune, Bachir] Univ Constantine 1 Mentouri, Unite Rech Chim Environm &amp; Mol Struct, Constantine 25000, Algeria</t>
  </si>
  <si>
    <t>Universite d'Oum El Bouaghi</t>
  </si>
  <si>
    <t>Zouchoune, B (corresponding author), Univ Larbi Ben MHidi Oum El Bouaghi, Lab Chim Appl &amp; Technol Mat, Oum El Bouaghi 04000, Algeria.;Zouchoune, B (corresponding author), Univ Constantine 1 Mentouri, Unite Rech Chim Environm &amp; Mol Struct, Constantine 25000, Algeria.</t>
  </si>
  <si>
    <t>bzouchoune@gmail.com</t>
  </si>
  <si>
    <t>Algerian MESRS (Ministere de l'En-seignement Superieur et de la Recherche Scientifique); Algerian DGRSDT (Direction Generale de la Recherche Scientifique et du Developpement Technologique); Algerian MESRS (Ministere de l'En-seignement Superieur et de la Recherche Scientifique); Algerian DGRSDT (Direction Generale de la Recherche Scientifique et du Developpement Technologique)</t>
  </si>
  <si>
    <t>The authors are grateful to the Algerian MESRS (Ministere de l'En-seignement Superieur et de la Recherche Scientifique) and the Algerian DGRSDT (Direction Generale de la Recherche Scientifique et du Developpement Technologique) for the financial support.</t>
  </si>
  <si>
    <t>0277-5387</t>
  </si>
  <si>
    <t>1873-3719</t>
  </si>
  <si>
    <t>Polyhedron</t>
  </si>
  <si>
    <t>10.1016/j.poly.2023.116586</t>
  </si>
  <si>
    <t>Chemistry, Inorganic &amp; Nuclear; Crystallography</t>
  </si>
  <si>
    <t>Chemistry; Crystallography</t>
  </si>
  <si>
    <t>S2NM2</t>
  </si>
  <si>
    <t>WOS:001069588800001</t>
  </si>
  <si>
    <t>Mehrmolaei, S; Savargiv, M; Keyvanpour, MR</t>
  </si>
  <si>
    <t>Mehrmolaei, Soheila; Savargiv, Mohammad; Keyvanpour, Mohammad Reza</t>
  </si>
  <si>
    <t>Hybrid learning-oriented approaches for predicting Covid-19 time series data: A comparative analytical study</t>
  </si>
  <si>
    <t>Learning approaches; Time series data; Covid-19 pandemic; Predicting</t>
  </si>
  <si>
    <t>ARIMA</t>
  </si>
  <si>
    <t>Using medical science alongside time series data analysis can be given a strong tool to develop efficient decision support systems in Corona pandemic. In this regard, many hybrid learning-oriented (HL) approaches have been presented, which rely on modeling the linear and non-linear components of the time series. However, there is a lack of comprehensive study of such approaches to achieve a macro vision of Covid-19 data prediction models in an unified reference. We conducted a comparative analytical study on (HL) approaches for predicting Covid-19 data. The main scope of current study is the investigate of such approaches. The original contribution of the paper is to present a reference-point and roadmap for future studies, which is provided in three forms. First, we experimentally evaluated the efficiency of all learning-based combinations on types of Covid-19 data in a similar context. Second, we tried to provide a guidance for choosing a more proper hybrid through valid empirical and statistical evaluations. Third, we presented an efficient and generalizable approach called HL-ALL (Hybrid Learning ARIMA LSTM LSTM). Evaluation results show high potential of HL-ALL in dealing Covid-19 data when prediction.</t>
  </si>
  <si>
    <t>[Mehrmolaei, Soheila] Alzahra Univ, Fac Engn, Dept Comp Engn, Data Min Lab, Tehran, Iran; [Savargiv, Mohammad] Islamic Azad Univ, Fac Comp &amp; Informat Technol Engn, Qazvin Branch, Qazvin, Iran; [Keyvanpour, Mohammad Reza] Alzahra Univ, Fac Engn, Dept Comp Engn, Tehran, Iran</t>
  </si>
  <si>
    <t>Alzahra University; Islamic Azad University; Alzahra University</t>
  </si>
  <si>
    <t>Keyvanpour, MR (corresponding author), Alzahra Univ, Fac Engn, Dept Comp Engn, Tehran, Iran.</t>
  </si>
  <si>
    <t>keyvanpour@alzahra.ac.ir</t>
  </si>
  <si>
    <t>10.1016/j.engappai.2023.106754</t>
  </si>
  <si>
    <t>P2GW9</t>
  </si>
  <si>
    <t>WOS:001048886200001</t>
  </si>
  <si>
    <t>Meran, G</t>
  </si>
  <si>
    <t>Meran, Georg</t>
  </si>
  <si>
    <t>Is green growth possible and even desirable in a spaceship economy?</t>
  </si>
  <si>
    <t>ECOLOGICAL ECONOMICS</t>
  </si>
  <si>
    <t>Green growth; Decoupling; Biophysical laws; Resource economics; Ecological economics</t>
  </si>
  <si>
    <t>EXHAUSTIBLE NATURAL-RESOURCES; ENDOGENOUS GROWTH; POLICY; POPULATION; MODELS; SUSTAINABILITY; CONSUMPTION; EQUITY; LIMITS</t>
  </si>
  <si>
    <t>There seems to be a consensus among many growth and resource economists that perpetual growth can be ensured if it gets increasingly resource-efficient and if growth focuses on creating values, a result derived by models using production functions that allow asymptotically complete decoupling of the economy from its resource base by substituting natural resources through physical and knowledge capital. This growth process can be called green growth. The following paper attempts to show, within the framework of an semi-endogenous growth model using a linear-exponential production function (Linex function) with bounded resource efficiency, that the accumulation of physical and knowledge capital to substitute natural resources cannot guarantee green growth. As the population grows, per capita income decreases, and the economy's capital base decays. In addition, an ecological displacement effect resulting from the biophysical embeddedness of the economy further exacerbates the result. Physical capital pushes back the natural spaces necessary to regenerate natural services and resources and can, therefore, not be accumulated endlessly. A comparison with standard resource models shows that this displacement effect also limits growth for models with production functions with low elasticities of substitution. Finally, the analysis of transitory dynamics addresses aspects of intergenerational equality in a limited biosphere.</t>
  </si>
  <si>
    <t>[Meran, Georg] Tech Univ Berlin, Berlin, Germany</t>
  </si>
  <si>
    <t>Meran, G (corresponding author), Tech Univ Berlin, Berlin, Germany.</t>
  </si>
  <si>
    <t>g.meran@tu-berlin.de</t>
  </si>
  <si>
    <t>0921-8009</t>
  </si>
  <si>
    <t>1873-6106</t>
  </si>
  <si>
    <t>ECOL ECON</t>
  </si>
  <si>
    <t>Ecol. Econ.</t>
  </si>
  <si>
    <t>10.1016/j.ecolecon.2023.107947</t>
  </si>
  <si>
    <t>Ecology; Economics; Environmental Sciences; Environmental Studies</t>
  </si>
  <si>
    <t>Environmental Sciences &amp; Ecology; Business &amp; Economics</t>
  </si>
  <si>
    <t>Q9DI3</t>
  </si>
  <si>
    <t>WOS:001060446600001</t>
  </si>
  <si>
    <t>Miguel, LFF; Alminhana, F; Brito, JWS; Sousa, DM; Beck, AT</t>
  </si>
  <si>
    <t>Miguel, Leandro F. Fadel; Alminhana, Fabio; Brito, Jherbyson Williams Silva; Sousa, David Madeira; Beck, Andre T.</t>
  </si>
  <si>
    <t>Multi-hazard assessment of transmission line systems subjected to independent non-concurrent turbulent winds and ground accelerations</t>
  </si>
  <si>
    <t>STRUCTURAL SAFETY</t>
  </si>
  <si>
    <t>Transmission lines; Performance-based design; Multi-hazard assessment; Progressive collapse simulation; TL system failure probability</t>
  </si>
  <si>
    <t>PERFORMANCE-BASED DESIGN; LARGE-DEFORMATION ANALYSIS; FINITE-ELEMENT ANALYSIS; RISK-ASSESSMENT; SIMULATION; TOWER; FRAMEWORK; FAILURE; MODEL; REPRESENTATION</t>
  </si>
  <si>
    <t>The design of transmission lines is based on the Load and Resistance Factor Design approach, considering that their collapse limit state is governed by climatic actions (wind and ice). Even so, accident reports indicate the regular observation of moderate to severe damage of towers after strong ground motions, affecting the structure's capacity to withstand future load events. Therefore, integrating the concepts of Performance -Based and Multi-Hazard Design, successfully applied to buildings and still embryonic to transmission lines, seems to be promising. With such performance-based multi-hazard approaches, intermediate performances can be evaluated even when they are controlled by a non-dominant hazard. Hence, the present paper aims at performing an original multi-hazard assessment of a Chilean 230kV transmission line segment. For this purpose, direct geometric and material nonlinear time history analysis, using a finite element suitable for eccentrically loaded angle profiles (L-shaped cross-sections), is employed to construct the fragility curves. In addition, uncertainties in loads and material properties are accounted for to address the transmission line system failure probability. In the existing literature, fragility analysis has been performed through pushover approaches, whereas reliability has been assessed for a single structure rather than for the transmission line system, as recommended by line codes. Contrary to design practice, the results show that seismic loads control all limit states in TLs located from central to northern Chile. Numerical results presented in this paper are based on 5000 h of total computation time.</t>
  </si>
  <si>
    <t>[Miguel, Leandro F. Fadel; Brito, Jherbyson Williams Silva; Sousa, David Madeira] Univ Fed Santa Catarina, Dept Civil Engn, Florianopolis, SC, Brazil; [Alminhana, Fabio] Univ Queensland, Sch Civil Engn, Brisbane, Qld, Australia; [Beck, Andre T.] Univ Sao Paulo, Dept Struct Engn, Sao Carlos, SP, Brazil</t>
  </si>
  <si>
    <t>Universidade Federal de Santa Catarina (UFSC); University of Queensland; Universidade de Sao Paulo</t>
  </si>
  <si>
    <t>Miguel, LFF (corresponding author), Univ Fed Santa Catarina, Dept Civil Engn, Florianopolis, SC, Brazil.</t>
  </si>
  <si>
    <t>leandro.miguel@ufsc.br; alminhana@gmail.com; jherbyson.willians@gmail.com; davidmbasousa@icloud.com; atbeck@sc.usp.br</t>
  </si>
  <si>
    <t>Fadel Miguel, Leandro/C-9960-2015; Beck, André T./F-2613-2010</t>
  </si>
  <si>
    <t>Fadel Miguel, Leandro/0000-0002-7881-1642; Beck, André T./0000-0003-4127-5337</t>
  </si>
  <si>
    <t>CNPq (National Council for Scientific and Technological Development) [309107/2020-2, 310274/2020-6]; CAPES [001]</t>
  </si>
  <si>
    <t>CNPq (National Council for Scientific and Technological Development)(Conselho Nacional de Desenvolvimento Cientifico e Tecnologico (CNPQ)); CAPES(Coordenacao de Aperfeicoamento de Pessoal de Nivel Superior (CAPES))</t>
  </si>
  <si>
    <t>&amp; nbsp;Funding of this research project by Brazilian agencies CNPq (National Council for Scientific and Technological Development, grants n. 309107/2020-2 and 310274/2020-6) and CAPES (grant n. 001) are cheerfully acknowledged.</t>
  </si>
  <si>
    <t>0167-4730</t>
  </si>
  <si>
    <t>1879-3355</t>
  </si>
  <si>
    <t>STRUCT SAF</t>
  </si>
  <si>
    <t>Struct. Saf.</t>
  </si>
  <si>
    <t>10.1016/j.strusafe.2023.102376</t>
  </si>
  <si>
    <t>P6YD2</t>
  </si>
  <si>
    <t>WOS:001052101200001</t>
  </si>
  <si>
    <t>Mishra, PK; Silva, K; Tripathi, VM</t>
  </si>
  <si>
    <t>Mishra, P. K.; Silva, K.; Tripathi, V. M.</t>
  </si>
  <si>
    <t>Extremal parameter for double phase problem with concave-convex nonlinearity</t>
  </si>
  <si>
    <t>Nehari manifold; Variational methods; Extremal parameter; Concave-convex growth</t>
  </si>
  <si>
    <t>NEHARI MANIFOLD; ELLIPTIC-EQUATIONS; REGULARITY; MINIMIZERS; EXISTENCE</t>
  </si>
  <si>
    <t>In this work, we study the following problem {-Delta(p)u - div(mu(x)vertical bar del u vertical bar(q-2)del u) = lambda f(x)vertical bar u vertical bar(gamma-2)u + g(x)vertical bar u vertical bar(r-2)u in Omega, u = 0 on partial derivative Omega, where Omega subset of R-N, N &gt;= max{2, p} is a bounded smooth domain, 1 &lt; gamma &lt; p &lt; q &lt; r &lt; p* = Np/(N - p) and lambda is a positive real parameter. The weights f, g : Omega -&gt; R are continuous and bounded functions, where g may change sign on Omega. The function 0 &lt;= mu is an element of C-c (Omega) and mu not equivalent to 0. The objective of this work is to explore the optimal control on lambda to apply Nehari manifold idea of constrained minimization in order to establish the existence and multiplicity of solutions. (C) 2023 Elsevier B.V. All rights reserved.</t>
  </si>
  <si>
    <t>[Mishra, P. K.; Tripathi, V. M.] Indian Inst Technol Bhilai, Dept Math, Raipur 492015, Chhattisgarh, India; [Silva, K.] Univ Fed Goias, Inst Matemat &amp; Estat, BR-74001900 Goiania, Go, Brazil</t>
  </si>
  <si>
    <t>Indian Institute of Technology System (IIT System); Indian Institute of Technology (IIT) Bhilai; Universidade Federal de Goias</t>
  </si>
  <si>
    <t>Mishra, PK (corresponding author), Indian Inst Technol Bhilai, Dept Math, Raipur 492015, Chhattisgarh, India.</t>
  </si>
  <si>
    <t>pawan@iitbhilai.ac.in; kayesilva@ufg.br; vinayakm@iitbhilai.ac.in</t>
  </si>
  <si>
    <t>Science and Engineering Research Board, Govt. of India [308501/2021-7]; CNPq, Brazil; [SRG/2021/001076]</t>
  </si>
  <si>
    <t>Science and Engineering Research Board, Govt. of India; CNPq, Brazil(Conselho Nacional de Desenvolvimento Cientifico e Tecnologico (CNPQ));</t>
  </si>
  <si>
    <t>The research of the first author is supported by Science and Engineering Research Board, Govt. of India, grant SRG/2021/001076. The research of the second author is supported by CNPq, Brazil-Grant 308501/2021-7.</t>
  </si>
  <si>
    <t>10.1016/j.cnsns.2023.107463</t>
  </si>
  <si>
    <t>Q6BL5</t>
  </si>
  <si>
    <t>WOS:001058354800001</t>
  </si>
  <si>
    <t>Monteiro, RRC; Berenguer-Murcia, A; Rocha-Martin, J; Vieira, RS; Fernandez-Lafuente, R</t>
  </si>
  <si>
    <t>Monteiro, Rodolpho R. C.; Berenguer-Murcia, Angel; Rocha-Martin, Javier; Vieira, Rodrigo S.; Fernandez-Lafuente, Roberto</t>
  </si>
  <si>
    <t>Biocatalytic production of biolubricants: Strategies, problems and future trends</t>
  </si>
  <si>
    <t>BIOTECHNOLOGY ADVANCES</t>
  </si>
  <si>
    <t>Biolubricants; Lipases; Esterification; Transesterification; Hydroesterification; Epoxidation; Estolides; Immobilized lipases</t>
  </si>
  <si>
    <t>LIPASE-CATALYZED ESTERIFICATION; CANDIDA-ANTARCTICA LIPASE; WASTE COOKING OIL; FREE FATTY-ACIDS; DIVINYLSULFONE ACTIVATED AGAROSE; KINETICALLY CONTROLLED SYNTHESIS; SUPERCRITICAL CARBON-DIOXIDE; BETA-LACTAM ANTIBIOTICS; WATER ACTIVITY CONTROL; PACKED-BED REACTOR</t>
  </si>
  <si>
    <t>The increasing worries by the inadequate use of energy and the preservation of nature are promoting an increasing interest in the production of biolubricants. After discussing the necessity of producing biolubricants, this review focuses on the production of these interesting molecules through the use of lipases, discussing the different possibilities (esterification of free fatty acids, hydroesterification or transesterification of oils and fats, transesterification of biodiesel with more adequate alcohols, estolides production, modification of fatty acids). The utilization of discarded substrates has special interest due to the double positive ecological impact (e.g., oil distillated, overused oils). Pros and cons of all these possibilities, together with general considerations to optimize the different processes will be outlined. Some possibilities to overcome some of the problems detected in the production of these interesting compounds will be also discussed.</t>
  </si>
  <si>
    <t>[Monteiro, Rodolpho R. C.; Vieira, Rodrigo S.] Univ Fed Ceara, Dept Engn Quim, Campus Pici, BR-60455760 Fortaleza, Brazil; [Berenguer-Murcia, Angel] Univ Alicante, Dept Quim Inorgan, Alicante 03080, Spain; [Berenguer-Murcia, Angel] Univ Alicante, Inst Univ Mat, Alicante 03080, Spain; [Rocha-Martin, Javier] Univ Complutense Madrid, Fac Biol, Dept Bioquim &amp; Biol Mol, Madrid 28040, Spain; [Fernandez-Lafuente, Roberto] ICP CSIC, Dept Biocatalisis, Campus UAM CSIC, Madrid 28049, Spain</t>
  </si>
  <si>
    <t>Universidade Federal do Ceara; Universitat d'Alacant; Universitat d'Alacant; Complutense University of Madrid; Consejo Superior de Investigaciones Cientificas (CSIC); CSIC - Instituto de Catalisis y Petroleoquimica (ICP)</t>
  </si>
  <si>
    <t>Vieira, RS (corresponding author), Univ Fed Ceara, Dept Engn Quim, Campus Pici, BR-60455760 Fortaleza, Brazil.;Rocha-Martin, J (corresponding author), Univ Complutense Madrid, Fac Biol, Dept Bioquim &amp; Biol Mol, Madrid 28040, Spain.;Fernandez-Lafuente, R (corresponding author), ICP CSIC, Dept Biocatalisis, Campus UAM CSIC, Madrid 28049, Spain.</t>
  </si>
  <si>
    <t>javrocha@ucm.es; rodrigo@gpsa.ufc.br; rfl@icp.csic.es</t>
  </si>
  <si>
    <t>Rocha-Martin, Javier/Q-1636-2017</t>
  </si>
  <si>
    <t>Rocha-Martin, Javier/0000-0002-7681-5439</t>
  </si>
  <si>
    <t>Ministerio de Ciencia e Innovaci [PID2022-136535OB-I00]; Ministerio de Ciencia e Innovacion and Agencia Estatal de Investigacion (Spanish Government) [TED2021-131462B-I00]</t>
  </si>
  <si>
    <t>Ministerio de Ciencia e Innovaci; Ministerio de Ciencia e Innovacion and Agencia Estatal de Investigacion (Spanish Government)</t>
  </si>
  <si>
    <t>We gratefully recognize the financial support from Ministerio de Ciencia e Innovacion and Agencia Estatal de Investigacion (Spanish Government) (PID2022-136535OB-I00 and TED2021-131462B-I00) . R. R.C.M. thanks Programa de Formacao de Recursos Humanos - Agencia Nacional de Petroleo, Gas Natural e Biocombustiveis/Financiadora de Estudos e Projetos (PRH 31.1 - ANP/Finep) .</t>
  </si>
  <si>
    <t>0734-9750</t>
  </si>
  <si>
    <t>1873-1899</t>
  </si>
  <si>
    <t>BIOTECHNOL ADV</t>
  </si>
  <si>
    <t>Biotechnol. Adv.</t>
  </si>
  <si>
    <t>10.1016/j.biotechadv.2023.108215</t>
  </si>
  <si>
    <t>Biotechnology &amp; Applied Microbiology</t>
  </si>
  <si>
    <t>P0BW3</t>
  </si>
  <si>
    <t>WOS:001047388600001</t>
  </si>
  <si>
    <t>Nasiri, S; Hajinezhad, A; Kianmehr, MH; Tajik, S</t>
  </si>
  <si>
    <t>Nasiri, Saba; Hajinezhad, Ahmad; Kianmehr, Mohammad Hossein; Tajik, Shamsedin</t>
  </si>
  <si>
    <t>Enhancing municipal solid waste efficiency through Refuse Derived Fuel pellets: Additive analysis, die retention time, and temperature impact</t>
  </si>
  <si>
    <t>Biomass; Municipal Solid Waste (MSW); Additive; Refuse Derived Fuel (RDF) pellet</t>
  </si>
  <si>
    <t>ENERGY-CONSUMPTION; CO-PELLETIZATION; BIOMASS PELLET; STRENGTH; BINDERS; QUALITY; RESIDUE; PERFORMANCE; MOISTURE; TECHNOLOGIES</t>
  </si>
  <si>
    <t>Nowadays, a significant amount of non-recyclable solid waste is buried, causing numerous environmental issues. In addition, today's developing world has increased energy demand. The production of fuel from waste, also known as Refuse Derived Fuel (RDF), is the optimal solution for both issues mentioned. This study aims to produce usable RDF pellets from the residual waste of the Tehran Kahrizak waste center and examines the effect of variables including die temperature, retention time, and three additives with specified weight percentages (0.03% bentonite, 0.04% diatomite, and 0.03% zeolite) on pellets characteristics. The results indicated that temperature and retention time effects, and additives combination was significant at the 0.01% level for all factors. In general, greater temperatures and longer retention durations result in more reliable, higher-quality pellets, but they also cost more energy to create. Scanning electron microscopy (SEM) analysis revealed that pellets containing zeolite contained the greatest number of adhesion bridges. Furthermore, the addition of zeolite and bentonite increased the pellet density. For volume expansion, the synergistic effects of temperature and retention time duration were substantial. The rate decreased by 22.5% after the addition of diatomaceous. The pellets made at 110 degrees C resisted more than 150 min in water. At high temperatures, pellets containing diatomite additive became brittle, whereas zeolite additive had the highest toughness at all temperatures. All additives were moisture absorbers that increased the pellets' moisture content. Among the additives, bentonite is the most absorptive of moisture. Additionally, bentonite increased the amount of ash by 17.1% and decreased the amount of volatile matter, whereas diatomite induced ash reduction. The addition of zeolite increased the fixed carbon content. The thermal value of pellets made from bentonite increased by 39.5% due to agglomeration processing. All additives decreased the pellet manufacturing process' energy consumption. Zeolite had the most significant effect. In addition, the Technique for Order of Preference by Similarity to Ideal Solution (TOPSIS) method was used to select the optimal scenario in the current investigation. It was observed that zeolite and diatomite additives positively impacted the pellet, whereas bentonite had a negative effect.&amp; COPY; 2023 The Author(s). Published by Elsevier Ltd. This is an open access article under the CC BY license (http://creativecommons.org/licenses/by/4.0/).</t>
  </si>
  <si>
    <t>[Nasiri, Saba; Hajinezhad, Ahmad; Tajik, Shamsedin] Univ Tehran, Fac New Sci &amp; Technol, Dept Renewable Energies &amp; Environm Engn, Tehran, Iran; [Kianmehr, Mohammad Hossein] Univ Tehran, Dept Agr Engn, Aburaihan Campus, Tehran, Iran</t>
  </si>
  <si>
    <t>University of Tehran; University of Tehran</t>
  </si>
  <si>
    <t>Hajinezhad, A (corresponding author), Univ Tehran, Fac New Sci &amp; Technol, Dept Renewable Energies &amp; Environm Engn, Tehran, Iran.</t>
  </si>
  <si>
    <t>hajinezhad@ut.ac.ir</t>
  </si>
  <si>
    <t>10.1016/j.egyr.2023.07.039</t>
  </si>
  <si>
    <t>P7HO3</t>
  </si>
  <si>
    <t>WOS:001052349900001</t>
  </si>
  <si>
    <t>Nguyen, CHT; Nguyen, TH; Nguyen, TPL; Le Tran, H; Luu, TH; Tran, CD; Nguyen, QT; Nguyen, LT; Yokozawa, T; Nguyen, H</t>
  </si>
  <si>
    <t>Nguyen, Cam H. T.; Nguyen, Tam Huu; Nguyen, Thao P. L.; Le Tran, Hai; Luu, Tam Hoang; Tran, Chau Duc; Nguyen, Quoc-Thiet; Nguyen, Le-Thu T.; Yokozawa, Tsutomu; Nguyen, Ha Tran</t>
  </si>
  <si>
    <t>Aerobic direct arylation polycondensation of N-perylenyl phenoxazine-based fluorescent conjugated polymers for highly sensitive and selective TNT explosives detection</t>
  </si>
  <si>
    <t>TNT explosives detection; Fluorescent conjugated polymer; Direct arylation polycondensation; Aerobic condition; Paper sensor</t>
  </si>
  <si>
    <t>NITROAROMATIC COMPOUNDS; AQUEOUS-MEDIUM; RECOGNITION; SENSORS; PROBE; DYES</t>
  </si>
  <si>
    <t>The rapid response, sensitivity, and selectivity detection of nitroaromatic explosives are major concerns for global sustainable development in order to promptly prevent and monitor their harmful effects on the environment and human health. Several different methods based on different principles have been developed to trace the nitroaromatic compound such as the 2,4,6-trinitrotoluene (TNT) compound. Recently, explosive detecting sensors based on organic conjugated fluorescent materials have been one of the most emerging subjects due to their reliable detection methods as well as portable lightweight instruments. This work uses two novel red fluorescent conjugated polymers, poly(PHP-alt-3HT) and poly(PHP-r-3HT-r-BTz), based on N-peryleneyl phenoxazine (PHP) and 3-hexyl thiophene (3HT), and benzotriazole (BTz) was successfully synthesized via an aerobic condition by direct arylation polycondensation. The red-fluorescent chemosensor based on novel conjugated polymers performed a high sensitivity for TNT detection with fast response time and good selectivity compared to common interferences. Besides tracing of TNT in the solution phase, the polymers also reached significant fluorescence quenching in the solid state by testing on a paper strip with the detection of up to 10-12 M concentrations of TNT. Further, the TNT vapor detection experiment is also effective with the fluorescence changes after only 1 min.</t>
  </si>
  <si>
    <t>[Nguyen, Cam H. T.; Nguyen, Tam Huu; Nguyen, Thao P. L.; Le Tran, Hai; Nguyen, Ha Tran] Vietnam Natl Univ Ho Chi Minh City VNU HCM, Ho Chi Minh City Univ Technol HCMUT, Natl Key Lab Polymer &amp; Compos Mat, 268 Ly Thuong Kiet,Dist 10, Ho Chi Minh City 700000, Vietnam; [Luu, Tam Hoang; Tran, Chau Duc; Nguyen, Le-Thu T.] VNU HCM, Fac Mat Technol, HCMUT, 268 Ly Thuong Kiet,Dist 10, Ho Chi Minh City 700000, Vietnam; [Nguyen, Quoc-Thiet] Vietnam Acad Sci &amp; Technol, Inst Appl Mat Sci, 1B TL29,Dist 12, Ho Chi Minh City, Vietnam; [Yokozawa, Tsutomu] Kanagawa Univ, Dept Mat &amp; Life Chem, Kanagawa Ku, Yokohama, Kanagawa 2218686, Japan</t>
  </si>
  <si>
    <t>Vietnam National University Hochiminh City; Vietnam National University Hochiminh City; Vietnam Academy of Science &amp; Technology (VAST); Kanagawa University</t>
  </si>
  <si>
    <t>Nguyen, H (corresponding author), Vietnam Natl Univ Ho Chi Minh City VNU HCM, Ho Chi Minh City Univ Technol HCMUT, Natl Key Lab Polymer &amp; Compos Mat, 268 Ly Thuong Kiet,Dist 10, Ho Chi Minh City 700000, Vietnam.</t>
  </si>
  <si>
    <t>nguyentranha@hcmut.edu.vn</t>
  </si>
  <si>
    <t>Vietnam National University Ho Chi Minh City (VNU-HCM); [562-2022-20-02]</t>
  </si>
  <si>
    <t>Vietnam National University Ho Chi Minh City (VNU-HCM);</t>
  </si>
  <si>
    <t>This research is supported by Vietnam National University Ho Chi Minh City (VNU-HCM) under grant number 562-2022-20-02.</t>
  </si>
  <si>
    <t>10.1016/j.dyepig.2023.111613</t>
  </si>
  <si>
    <t>Q0YE1</t>
  </si>
  <si>
    <t>WOS:001054851400001</t>
  </si>
  <si>
    <t>Niese, ZA; Huetter, M</t>
  </si>
  <si>
    <t>Niese, Zachary Adolph; Huetter, Mandy</t>
  </si>
  <si>
    <t>The malleability of sampling's impact on evaluation: Sampling goals moderate the evaluative impact of sampling a stimulus*</t>
  </si>
  <si>
    <t>JOURNAL OF EXPERIMENTAL SOCIAL PSYCHOLOGY</t>
  </si>
  <si>
    <t>Information sampling; Autonomy; Attitudes; Evaluative conditioning</t>
  </si>
  <si>
    <t>AVOIDANCE; DISSONANCE</t>
  </si>
  <si>
    <t>People often have some degree of choice over the stimuli they sample and learn more about. These sampling decisions can play an important role in evaluative learning, with recent work showing that sampling a stimulus more frequently predicts a positive shift in its evaluation (Hutter, Niese, &amp; Ihmels, 2022). The current work suggests sampling does not merely have a direct effect of positivity on evaluations, but instead is malleable to people's interpretations of their sampling behavior's meaning. Across five experiments, participants sampled faces to interact with across a series of trials. On each trial, the sampled face was paired with a positive or negative image, and we manipulated participants' sampling goals. Participants given a goal to sample for positivity showed a positive evaluative shift toward the faces they sampled more frequently, regardless of whether it was consistently paired with positive or negative images. Participants given a goal to sample in a balanced way tended to show a similar but weaker effect on evaluative shift. Finally, this effect was eliminated (or reversed) among participants given a goal to sample for negativity. Complementary shifts in evaluation were also observed for faces participants chose not to sample. Thus, these results highlight the role of people's interpretations of what their sampling behavior denotes: in contexts in which sampling should not necessarily predict liking (i.e., when one's goal is to sample for negativity), sampling a stimulus more (vs. less) often does not create positive evaluative shifts.</t>
  </si>
  <si>
    <t>[Niese, Zachary Adolph; Huetter, Mandy] Eberhard Karls Univ Tubingen, Psychol Dept, Schleichstr 4, D-72076 Tubingen, Germany</t>
  </si>
  <si>
    <t>Eberhard Karls University of Tubingen</t>
  </si>
  <si>
    <t>Niese, ZA (corresponding author), Eberhard Karls Univ Tubingen, Psychol Dept, Schleichstr 4, D-72076 Tubingen, Germany.</t>
  </si>
  <si>
    <t>zachary-adolph.niese@uni-tuebingen.de</t>
  </si>
  <si>
    <t>German Research Foundation [HU 1978/4-1, HU 1978/7-1]</t>
  </si>
  <si>
    <t>German Research Foundation(German Research Foundation (DFG))</t>
  </si>
  <si>
    <t>This work was supported by an Emmy Noether grant (HU 1978/4-1) and a Heisenberg grant (HU 1978/7-1) awarded to Mandy Huetter by the German Research Foundation.</t>
  </si>
  <si>
    <t>0022-1031</t>
  </si>
  <si>
    <t>1096-0465</t>
  </si>
  <si>
    <t>J EXP SOC PSYCHOL</t>
  </si>
  <si>
    <t>J. Exp. Soc. Psychol.</t>
  </si>
  <si>
    <t>10.1016/j.jesp.2023.104516</t>
  </si>
  <si>
    <t>Q3LL7</t>
  </si>
  <si>
    <t>WOS:001056563200001</t>
  </si>
  <si>
    <t>Niroomand, K; Saady, NMC; Bazan, C; Zendehboudi, S; Soares, A; Albayati, TM</t>
  </si>
  <si>
    <t>Niroomand, Kamran; Saady, Noori M. Cata; Bazan, Carlos; Zendehboudi, Sohrab; Soares, Amilcar; Albayati, Talib M.</t>
  </si>
  <si>
    <t>Smart investigation of artificial intelligence in renewable energy system technologies by natural language processing: Insightful pattern for decision-makers</t>
  </si>
  <si>
    <t>Natural language processing; Artificial intelligence; Text mining; Topic modeling; Pattern identification; Renewable energy</t>
  </si>
  <si>
    <t>BIOGAS PRODUCTION; NEURAL-NETWORK; HYBRID MODELS; PREDICTION; MANAGEMENT; ENSEMBLE; COVID-19; STRATEGY; TRENDS</t>
  </si>
  <si>
    <t>This study aims to provide a framework which enables decision-makers and researchers to identify AI technology patterns in renewable energy systems from a massive data set of textual data. However, the study was challenged by the Scopus database limitation that allows users to retrieve only 2000 documents per query. Therefore, we developed a search engine based on the Scopus Application Programming Interface (API) that enables us to download an unlimited number of documents per query based on our desirable settings. We extracted 5661 renewable energy systems-related publications from Scopus database and leveraged Natural Language Processing (NLP) and unsupervised algorithms to identify the most frequent computational science models and dense meta-topics and investigate their evolution throughout the period 2000-2021. Our findings showed 7 meta-topics based on the class-based Term Frequency-Inverse Document Frequency (c-TD-IDF) score and term score decline graph. Emerging advanced algorithms, such as different deep learning architectures, directly impacted growing meta-topics involving problems with uncertainty and dynamic conditions.</t>
  </si>
  <si>
    <t>[Niroomand, Kamran] Mem Univ, Dept Comp Engn, St John, NF A1B 3X5, Canada; [Saady, Noori M. Cata] Mem Univ, Dept Civil Engn, St John, NF A1B 3X5, Canada; [Bazan, Carlos] Mem Univ, Fac Business, St John, NF A1B 3X5, Canada; [Zendehboudi, Sohrab] Mem Univ, Dept Proc Engn, St John, NF A1B 3X5, Canada; [Soares, Amilcar] Mem Univ, Dept Comp Sci, St John, NF A1B 3X5, Canada; [Albayati, Talib M.] Univ Technol Baghdad, Chem Engn Dept, Baghdad 10071, Iraq</t>
  </si>
  <si>
    <t>Memorial University Newfoundland; Memorial University Newfoundland; Memorial University Newfoundland; Memorial University Newfoundland; Memorial University Newfoundland; University of Technology- Iraq</t>
  </si>
  <si>
    <t>Saady, NMC (corresponding author), Mem Univ, Dept Civil Engn, St John, NF A1B 3X5, Canada.</t>
  </si>
  <si>
    <t>skniroomand@mun.ca; nsaady@mun.ca; cbazan@mun.ca; szendehboudi@mun.ca; amilcarsj@mun.ca; Talib.M.Naieff@uotechnology.edu.iq</t>
  </si>
  <si>
    <t>Albayati, Talib M./E-6982-2016; Soares Junior, Amilcar/G-8282-2016</t>
  </si>
  <si>
    <t>Albayati, Talib M./0000-0001-5619-7760; Soares Junior, Amilcar/0000-0001-5957-3805; Saady, Noori/0000-0003-4001-3415</t>
  </si>
  <si>
    <t>Natural Sciences and Engineering Research Council of Canada (NSERC) [528169-2019]; NSERC Discovery Grant for anaerobic digestion of nitrogen-rich feedstock, Canada; Government of Newfound-land, Canada and Labrador through the Canadian Agriculture Partnership</t>
  </si>
  <si>
    <t>Natural Sciences and Engineering Research Council of Canada (NSERC)(Natural Sciences and Engineering Research Council of Canada (NSERC)); NSERC Discovery Grant for anaerobic digestion of nitrogen-rich feedstock, Canada; Government of Newfound-land, Canada and Labrador through the Canadian Agriculture Partnership</t>
  </si>
  <si>
    <t>We acknowledge the support of the Natural Sciences and Engineering Research Council of Canada (NSERC) , [funding reference number 528169-2019] , and NSERC Discovery Grant for anaerobic digestion of nitrogen-rich feedstock, Canada, and the Government of Newfound-land, Canada and Labrador through the Canadian Agriculture Partnership administrated by the Department of Fisheries and Land Resources, Canada. The funding sources have no involvement in the particulars of the article.</t>
  </si>
  <si>
    <t>10.1016/j.engappai.2023.106848</t>
  </si>
  <si>
    <t>P7ZR3</t>
  </si>
  <si>
    <t>WOS:001052822100001</t>
  </si>
  <si>
    <t>Noonan, Z; Gershon, P; Domeyer, J; Mehler, B; Reimer, B</t>
  </si>
  <si>
    <t>Noonan, Zach; Gershon, Pnina; Domeyer, Josh; Mehler, Bruce; Reimer, Bryan</t>
  </si>
  <si>
    <t>Kinematic cues in driver-pedestrian communication to support safe road crossing</t>
  </si>
  <si>
    <t>ACCIDENT ANALYSIS AND PREVENTION</t>
  </si>
  <si>
    <t>Driver behavior; Pedestrian; Interaction; Communication; Automation</t>
  </si>
  <si>
    <t>Objective: Right-of-way negotiation between drivers and pedestrians often relies on explicit (e.g., waving) and implicit (e.g., kinematic) cues that signal intent. Since effective driver-pedestrian communication is important for reducing safety-relevant conflicts, this study uses information theory to identify vehicle kinematic behaviors that provide the greatest information gain and serve as cues for pedestrians to cross safely.Data Sources: A driver-pedestrian dataset with 348 interactions was extracted from a large naturalistic driving data collection effort. It includes 325 instances of a pedestrian crossing the vehicle's path and 23 instances in which the vehicle did not yield to a pedestrian. Kinematic data were collected from the vehicle's CAN. Pedestrian behaviors, driver cues, and contextual information were manually annotated from a forward-facing video.Methods: We used kernel density estimation to quantify the probabilities of vehicle acceleration, speed, and standard deviation of speed, for a given vehicle position and pedestrian behavior. Mutual information was then calculated between the estimated distributions given a pedestrian behavior (crossing/not crossing; walking/ pausing) across intersection types (protected, e.g., stop signs; designated, e.g., crosswalks; and undesignated, e. g., jaywalking).Results: The patterns mutual information conveyed by vehicle kinematics differed across measures (acceleration, speed, and standard deviation of speed) reaching peak values (in bits of information) at different distances from the pedestrian path. The mutual information conveyed by vehicle acceleration and pedestrian crossing behaviors peaked the farthest from the pedestrian path in the designated crossings, about 18 m away from the pedestrian path, with a difference in median deceleration of 1.01 m/s2 (p &lt; 0.001) between pedestrian pausing and walking epochs. For protected crossings, the peak in mutual information occurred closer (10 m) to the pedestrian path, where median vehicle deceleration was significantly lower (0.55 m/s2; p &lt; 0.05) in pausing epochs compared to walking epochs. For undesignated crossings, the peak in mutual information was the closest to the pedestrian crossing path, around 5 m, and was associated with a stronger deceleration behavior in pedestrian crossing epochs (-0.33 m/s2; p &lt; 0.1). Vehicle speed demonstrated a similar sensitivity to distance from the pedestrian path across intersection types. Lastly, looking at the outcome of pedestrian behavior (i.e., crossing/not crossing), we find that the mutual information conveyed by acceleration, speed, and standard deviation of speed, peaked when the vehicle was at 30 m (stronger braking -0.37 m/s2; p &lt; 0.1) and 10 m away, with greater acceleration (0.81 m/s2; p &lt; 0.001) and faster speeds (2.41 m/s; p &lt; 0.001) in pedestrian crossing epochs.Significance of results: This study examined driver-pedestrian information exchange using vehicle kinematic behavioral cues. We find that the differences in mutual information are shaped by multiple factors including the intersection type. In general, there was less mutual information gain in protected crossings which may be explained by unambiguous right-of-way rules guiding driver and pedestrian behavior, reducing the need for negotiation. Driver-pedestrian interactions in designated crossings seem to take place over a larger distance range compared to undesignated or protected crossings. These findings may support the design of automated driving and pedestrian safety systems that are able to consider the type, strength, and timing of kinematic cues to optimize driver-pedestrian negotiation. Eventually, such systems may enhance safe, efficient, and social interactions with pedestrians.</t>
  </si>
  <si>
    <t>[Noonan, Zach; Gershon, Pnina; Mehler, Bruce; Reimer, Bryan] MIT, Ctr Transportat &amp; Logist, AgeLab, ?, Cambridge, MA 02139 USA; [Domeyer, Josh] Toyota Collaborat Safety Res Ctr, Ann Arbor, MI USA</t>
  </si>
  <si>
    <t>Massachusetts Institute of Technology (MIT)</t>
  </si>
  <si>
    <t>Gershon, P (corresponding author), MIT, Ctr Transportat &amp; Logist, AgeLab, ?, Cambridge, MA 02139 USA.</t>
  </si>
  <si>
    <t>pgershon@mit.edu</t>
  </si>
  <si>
    <t>Reimer, Bryan/G-6431-2010; Mehler, Bruce/E-4538-2017</t>
  </si>
  <si>
    <t>Reimer, Bryan/0000-0003-4850-8738; Mehler, Bruce/0000-0001-5929-4179</t>
  </si>
  <si>
    <t>Santos Family Foundation; Toyota Collaborative Safety Research Center; Advanced Vehicle Technologies (AVT) Consortium</t>
  </si>
  <si>
    <t>The first author was partially supported as a postdoctoral associate by the Santos Family Foundation. This research was partly supported by the Toyota Collaborative Safety Research Center. Data for this study was drawn from work supported by the Advanced Vehicle Technologies (AVT) Consortium at MIT (http://agelab.mit.edu/avt) . The views and conclusions expressed are those of the authors and have not been sponsored, approved, or endorsed by supporting organizations.</t>
  </si>
  <si>
    <t>0001-4575</t>
  </si>
  <si>
    <t>1879-2057</t>
  </si>
  <si>
    <t>ACCIDENT ANAL PREV</t>
  </si>
  <si>
    <t>Accid. Anal. Prev.</t>
  </si>
  <si>
    <t>10.1016/j.aap.2023.107236</t>
  </si>
  <si>
    <t>Ergonomics; Public, Environmental &amp; Occupational Health; Social Sciences, Interdisciplinary; Transportation</t>
  </si>
  <si>
    <t>Engineering; Public, Environmental &amp; Occupational Health; Social Sciences - Other Topics; Transportation</t>
  </si>
  <si>
    <t>P7EZ2</t>
  </si>
  <si>
    <t>WOS:001052281600001</t>
  </si>
  <si>
    <t>Ohi, K; Fujikane, D; Kuramitsu, A; Takai, K; Muto, Y; Sugiyama, S; Shioiri, T</t>
  </si>
  <si>
    <t>Ohi, Kazutaka; Fujikane, Daisuke; Kuramitsu, Ayumi; Takai, Kentaro; Muto, Yukimasa; Sugiyama, Shunsuke; Shioiri, Toshiki</t>
  </si>
  <si>
    <t>Is adjustment disorder genetically correlated with depression, anxiety, or risk-tolerant personality trait?</t>
  </si>
  <si>
    <t>Adjustment disorder; Subtype; Genetic correlation; Depression; Anxiety; Risk tolerance</t>
  </si>
  <si>
    <t>GENOME-WIDE ASSOCIATION; POSTTRAUMATIC-STRESS-DISORDER; LOCI; DETERMINANTS; PREVALENCE</t>
  </si>
  <si>
    <t>Adjustment disorder has three main subtypes: adjustment disorder with depressed mood, adjustment disorder with anxiety, and adjustment disorder with disturbance of conduct. The disorder is moderately heritable and has lifetime comorbidities with major depressive disorder (MDD), anxiety disorders, or risk-tolerant personality. However, it remains unclear whether the degrees of genetic correlations between adjustment disorder and other psychiatric disorders and intermediate phenotypes are similar or different to those between MDD, anxiety disorders or risk-tolerant personality and these other psychiatric disorders and intermediate phenotypes. To compare patterns of genetic correlations, we utilized large-scale genome-wide association study summary statistics for adjustment disorder-related disorders and personality trait, eleven other psychiatric disorders and fifteen intermediate phenotypes. Adjustment disorder had highly positive genetic correlations with MDD, anxiety disorders, and risk-tolerant personality. Among other psychiatric disorders, adjustment disorder, MDD, anxiety disorders and risk-tolerant personality were positively correlated with risks for schizophrenia (SCZ), bipolar disorder (BD), SCZ + BD, attention-deficit/hyperactivity disorder, and cross disorders. In contrast, adjustment disorder was not significantly correlated with risks for obsessive-compulsive disorder, Tourette syndrome, or posttraumatic stress disorder despite significant genetic correlations of MDD or anxiety disorders with these disorders. Among intermediate phenotypes, adjustment disorder, MDD, anxiety disorders, and risk-tolerant personality commonly had a younger age at first sexual intercourse, first birth, and menopause, lower cognitive ability, and higher rate of smoking initiation. Adjustment disorder was not genetically correlated with extraversion, although the related disorder and personality were correlated with extraversion. Only adjustment disorder was correlated with a higher smoking quantity. These findings suggest that adjustment disorder could share a genetic etiology with MDD, anxiety disorders and risk-tolerant personality trait, as well as have a disorder-specific genetic etiology.</t>
  </si>
  <si>
    <t>[Ohi, Kazutaka; Fujikane, Daisuke; Kuramitsu, Ayumi; Takai, Kentaro; Muto, Yukimasa; Sugiyama, Shunsuke; Shioiri, Toshiki] Gifu Univ, Dept Psychiat, Grad Sch Med, 1-1 Yanagido, Gifu, Gifu 5011194, Japan; [Ohi, Kazutaka] Kanazawa Med Univ, Dept Gen Internal Med, Kanazawa, Ishikawa, Japan</t>
  </si>
  <si>
    <t>Gifu University; Kanazawa Medical University</t>
  </si>
  <si>
    <t>Ohi, K (corresponding author), Gifu Univ, Dept Psychiat, Grad Sch Med, 1-1 Yanagido, Gifu, Gifu 5011194, Japan.</t>
  </si>
  <si>
    <t>k_ohi@gifu-u.ac.jp</t>
  </si>
  <si>
    <t>Japan Society for the Promotion of Science (JSPS) [19K08081, 21K07497, 22K07614]; AMED [JP21uk1024002, JP22dk0307112]; Smoking Research Foundation</t>
  </si>
  <si>
    <t>Japan Society for the Promotion of Science (JSPS)(Ministry of Education, Culture, Sports, Science and Technology, Japan (MEXT)Japan Society for the Promotion of Science); AMED; Smoking Research Foundation</t>
  </si>
  <si>
    <t>This work was supported by Grants-in-Aid for Scientific Research (C) (19K08081, 21K07497, 22K07614) from the Japan Society for the Promotion of Science (JSPS) , AMED under Grant Number JP21uk1024002, AMED under Grant Number JP22dk0307112, and a grant from the Smoking Research Foundation.</t>
  </si>
  <si>
    <t>10.1016/j.jad.2023.08.019</t>
  </si>
  <si>
    <t>R2IJ7</t>
  </si>
  <si>
    <t>WOS:001062630100001</t>
  </si>
  <si>
    <t>Olanya, DR; Lassen, I; Tabo, GO; Zakaria, HL; Awacorach, J; Jensen, I</t>
  </si>
  <si>
    <t>Olanya, David Ross; Lassen, Inger; Tabo, Geoffrey Olok; Zakaria, Hannan Lassen; Awacorach, Judith; Jensen, Iben</t>
  </si>
  <si>
    <t>Exploring hidden curriculum in responsible management education: A narrative inquiry of students' lived experience in management and leadership training programmes</t>
  </si>
  <si>
    <t>INTERNATIONAL JOURNAL OF MANAGEMENT EDUCATION</t>
  </si>
  <si>
    <t>Critical genre analysis; Higher education; Hidden curriculum; Narrative analysis; Responsible management; Uganda</t>
  </si>
  <si>
    <t>GENRE</t>
  </si>
  <si>
    <t>The purpose of this article is to reflect on responsible management education by exploring possible disjunctions between formal and Hidden Curricula in a Business and Management Faculty in Northern Uganda. Using the United Nations (UN) initiated Principles of Responsible Management Education (PRME) as point of departure, we explore intertextual links between the PRME document and two formal master's degree curricula. To unpack Hidden Curricula, we analyse narratives by master's degree students in their final year of study. For this purpose, we apply narrative analysis combined with corpus-assisted genre analysis to identity frequently occurring themes. Our data consists of three documents (PRME, MBA and MPA curricula) and narrative essays from 10 students.While the keywords 'ethical', 'sustainable' and 'responsible management' were salient in the PRME document, themes such as 'management', 'leadership' and 'business' turned out to be more prominent in the formal Master's degree curricula, thus indicating some intertextuality. However, the intertextual relationship between the students' narratives and the PRME was weak.Based on our findings we argue a need for strengthening business and management education along the lines of PRME by paying more attention to the Hidden Curriculum for building ethical, sustainable and responsible competencies.</t>
  </si>
  <si>
    <t>[Olanya, David Ross; Tabo, Geoffrey Olok; Awacorach, Judith] Gulu Univ Uganda, Gulu, Uganda; [Lassen, Inger; Jensen, Iben] Aalborg Univ Denmark, Aalborg, Denmark; [Zakaria, Hannan Lassen] Danish Ctr African Business Denmark, Copenhagen, Denmark</t>
  </si>
  <si>
    <t>Aalborg University</t>
  </si>
  <si>
    <t>Olanya, DR (corresponding author), Gulu Univ Uganda, Gulu, Uganda.</t>
  </si>
  <si>
    <t>d.olanya@gu.ac.ug; hananlassenzakaria@gmail.com; g.tabo@gu.ac.ug; hananlassenzakaria@gmail.com; j.awacorach@gu.ac.ug; ibenj@ikl.aau.dk</t>
  </si>
  <si>
    <t>Lassen, Inger Marie/0000-0002-6272-5846</t>
  </si>
  <si>
    <t>1472-8117</t>
  </si>
  <si>
    <t>2352-3565</t>
  </si>
  <si>
    <t>INT J MANAG EDUC-OXF</t>
  </si>
  <si>
    <t>Int. J. Manag. Educ.</t>
  </si>
  <si>
    <t>10.1016/j.ijme.2023.100861</t>
  </si>
  <si>
    <t>Business; Education &amp; Educational Research; Management</t>
  </si>
  <si>
    <t>Business &amp; Economics; Education &amp; Educational Research</t>
  </si>
  <si>
    <t>P7TO8</t>
  </si>
  <si>
    <t>WOS:001052663100001</t>
  </si>
  <si>
    <t>Ostertag, F; Krolitzki, E; Berensmeier, S; Hinrichs, J</t>
  </si>
  <si>
    <t>Ostertag, Fabian; Krolitzki, Eva; Berensmeier, Sonja; Hinrichs, Jorg</t>
  </si>
  <si>
    <t>Protein valorisation from acid whey- Screening of various micro- and ultrafiltration membranes concerning the filtration performance</t>
  </si>
  <si>
    <t>INTERNATIONAL DAIRY JOURNAL</t>
  </si>
  <si>
    <t>CROSS-FLOW MICROFILTRATION; FLUX; TEMPERATURE; MILK</t>
  </si>
  <si>
    <t>Cross-flow filtration allows a product-preserving and energy-saving unit operation for the production of whey protein concentrates (WPC) from acid whey. In micro-and ultrafiltration applications, size -exclusion is the governing separation mechanism. Flux and retention characteristics of 12 organic membranes of pore sizes between 5 and 450 nm were compared. Screening on a laboratory filtration plant revealed large differences regarding hydraulic resistance of the membrane and resistance of the deposit layer that forms on the membrane surface during filtration. As a result, notable variations in the permeate flux were observed between membranes. In contrast, the differences in protein retention were less pronounced. The protein transmission for all ultrafiltration membranes was below 5% whereas microfiltration membranes showed a deposit layer-dependent transmission behaviour. Compared with the conventional WPC35 production, the overall filtration efficiency with regard to the process duration for a comparable membrane area was 3-fold enhanced by a more appropriate membrane selection.&amp; COPY; 2023 Elsevier Ltd. All rights reserved.</t>
  </si>
  <si>
    <t>[Ostertag, Fabian; Hinrichs, Jorg] Univ Hohenheim, Inst Food Sci &amp; Biotechnol, Dept Soft Matter Sci &amp; Dairy Technol, Garbenstr 21, D-70599 Stuttgart, Germany; [Krolitzki, Eva; Berensmeier, Sonja] Tech Univ Munich, Sch Engn &amp; Design, Chair Bioseparat Engn, Boltzmannstr 15, D-85748 Garching, Germany</t>
  </si>
  <si>
    <t>University Hohenheim; Technical University of Munich</t>
  </si>
  <si>
    <t>Ostertag, F (corresponding author), Univ Hohenheim, Inst Food Sci &amp; Biotechnol, Dept Soft Matter Sci &amp; Dairy Technol, Garbenstr 21, D-70599 Stuttgart, Germany.</t>
  </si>
  <si>
    <t>fabian.ostertag@uni-hohenheim.de</t>
  </si>
  <si>
    <t>German Federal Office for Agriculture and Food [BLE 281A104216]</t>
  </si>
  <si>
    <t>German Federal Office for Agriculture and Food</t>
  </si>
  <si>
    <t>This work was funded by the German Federal Office for Agriculture and Food (BLE 281A104216) . The authors would like to thank the Pall Corporation for their kind donation of the Supor membranes. Furthermore, we want to thank Iris Pfuhl, Lisa Beyer, Sophia Goblirsch and Birgit Greif for their engaged support during the practical experiments and analyses.</t>
  </si>
  <si>
    <t>0958-6946</t>
  </si>
  <si>
    <t>1879-0143</t>
  </si>
  <si>
    <t>INT DAIRY J</t>
  </si>
  <si>
    <t>Int. Dairy J.</t>
  </si>
  <si>
    <t>10.1016/j.idairyj.2023.105745</t>
  </si>
  <si>
    <t>P1QB1</t>
  </si>
  <si>
    <t>WOS:001048445400001</t>
  </si>
  <si>
    <t>Otgonbayar, Z; Oh, WC</t>
  </si>
  <si>
    <t>Otgonbayar, Zambaga; Oh, Won-Chun</t>
  </si>
  <si>
    <t>Bandgap energy controlling of quaternary metal sulfide-graphene-ZnO ternary nanocomposite for photocatalytic reduction of CO2</t>
  </si>
  <si>
    <t>Bandgap energy controlling; Ternary photocatalyst; Citric acid; Methanol; CO2 reduction</t>
  </si>
  <si>
    <t>HETEROJUNCTION; CONVERSION; COMPOSITE</t>
  </si>
  <si>
    <t>Graphene-based semiconductor materials are commonly used in CO2 reduction experiments to provide stability against climate change and energy crises. The lack of charge separation, insufficient active area, and unsuccessful junctions are deficiencies in poor semiconductor materials. This study addresses these deficiencies by designing a ternary nanomaterial structure containing a quaternary chalcogenide nanocomposite for bandgap energy control. Alpha-hydroxide carboxylic acids have been used to synthesize quaternary chalcogenides. Its primary function is to form a chain by inducing transition metal interactions. The AgFeNi2S4-Graphene-ZnO ternary photocatalyst was synthesized using a modified solvothermal method and used for the photoreduction of CO2. The photoreduction of CO2 was conducted under various conditions, such as different light sources (&amp; lambda; = 254 and 565 nm), using two types of electron donors to increase the diffusion of CO2 and prolong the decay time of surface electrons. The hybrid AgFeNi2S4-Graphene-ZnO photocatalyst showed high levels of CO2 reduction to methanol because of the improved charge transfer between graphene, ZnO, and quaternary chalcogenide nanocomposites with successful interconnection. The stability and recyclability of the photocatalysts were determined after six-times recycling tests. This study offers a promising strategy for reducing CO2 emissions and creating a high-capacity catalyst for the production of hydrocarbon fuels.</t>
  </si>
  <si>
    <t>[Otgonbayar, Zambaga; Oh, Won-Chun] Hanseo Univ, Dept Adv Mat Sci &amp; Engn, Seosan 356706, Chungnam, South Korea</t>
  </si>
  <si>
    <t>Hanseo University</t>
  </si>
  <si>
    <t>Oh, WC (corresponding author), Hanseo Univ, Dept Adv Mat Sci &amp; Engn, Seosan 356706, Chungnam, South Korea.</t>
  </si>
  <si>
    <t>wc_oh@hanseo.ac.kr</t>
  </si>
  <si>
    <t>10.1016/j.seppur.2023.124522</t>
  </si>
  <si>
    <t>P1LH0</t>
  </si>
  <si>
    <t>WOS:001048319700001</t>
  </si>
  <si>
    <t>Pan, Y; Zhou, WJ; Qian, XH; Mao, SS; Yang, RW; Yu, L</t>
  </si>
  <si>
    <t>Pan, Yi; Zhou, Wujie; Qian, Xiaohong; Mao, Shanshan; Yang, Rongwang; Yu, Lu</t>
  </si>
  <si>
    <t>CGINet: Cross-modality grade interaction network for RGB-T crowd counting</t>
  </si>
  <si>
    <t>RGB-T image; Crowd counting; RGB-D image; Cooperative enhancement; Thermal information supplementary module; Multilayer decoding</t>
  </si>
  <si>
    <t>Crowd counting is a fundamental and challenging task that requires rich information to generate a pixel-level crowd density map. Additionally, the development of thermal sensing and its applicability to computer vision has enabled the use of thermal information for crowd counting. Considering the complementary characteristics of RGB (red-green-blue) and thermal images in different feature encoding stages, we propose a cross-modality grade interaction network (CGINet) for RGB-T (RGB and thermal) crowd counting. We introduce an RGB cooperative enhancement module for thermal information to correctly extract low-level features from scenes containing objects with different scales. As RGB information is sensitive to lighting and occlusion while extracting high-level features, we propose a thermal information supplementary module to increase the RGB feature robustness. In addition, a novel multilayer decoding module fully integrates features at different levels, exploits the features of different layers, and predicts the crowd density map. Results from comprehensive experiments on the RGBT-CC benchmark demonstrate the effectiveness of the proposed CGINet for RGB-T crowd counting. In addition, CGINet achieves excellent results on the ShanghaiTechRGB dataset containing paired RGB images and depth maps. The experimental results highlight the advanced architecture and generalization ability of CGINet for multimodality crowd counting.</t>
  </si>
  <si>
    <t>[Pan, Yi; Zhou, Wujie; Qian, Xiaohong] Zhejiang Univ Sci &amp; Technol, Sch Informat &amp; Elect Engn, Hangzhou 310023, Peoples R China; [Pan, Yi] Nanjing Univ Sci &amp; Technol, Sch Comp Sci &amp; Engn, Nanjing 210094, Peoples R China; [Zhou, Wujie] Nanyang Technol Univ, Sch Comp Sci &amp; Engn, Singapore 639798, Singapore; [Mao, Shanshan; Yang, Rongwang; Yu, Lu] Zhejiang Univ, Hangzhou 310027, Peoples R China</t>
  </si>
  <si>
    <t>Zhejiang University of Science &amp; Technology; Nanjing University of Science &amp; Technology; Nanyang Technological University &amp; National Institute of Education (NIE) Singapore; Nanyang Technological University; Zhejiang University</t>
  </si>
  <si>
    <t>Zhou, WJ (corresponding author), Zhejiang Univ Sci &amp; Technol, Sch Informat &amp; Elect Engn, Hangzhou 310023, Peoples R China.</t>
  </si>
  <si>
    <t>wujiezhou@163.com</t>
  </si>
  <si>
    <t>National Key Research and Devel- opment Program of China [61502429]; Na- tional Natural Science Foundation of China; [2022YFE0196000]</t>
  </si>
  <si>
    <t>National Key Research and Devel- opment Program of China; Na- tional Natural Science Foundation of China(National Natural Science Foundation of China (NSFC));</t>
  </si>
  <si>
    <t>This work was supported by the National Key Research and Devel- opment Program of China (Grant No. 2022YFE0196000) , and the Na- tional Natural Science Foundation of China (61502429) .</t>
  </si>
  <si>
    <t>10.1016/j.engappai.2023.106885</t>
  </si>
  <si>
    <t>Q0TW5</t>
  </si>
  <si>
    <t>WOS:001054736700001</t>
  </si>
  <si>
    <t>Pang, ZX; Hong, QJ; Liu, D; Wang, B</t>
  </si>
  <si>
    <t>Pang, Zhanxi; Hong, Qingjing; Liu, Dong; Wang, Bo</t>
  </si>
  <si>
    <t>The macro and micro analysis on EOR mechanisms during steam and solvent thermal recovery in heavy oil reservoirs</t>
  </si>
  <si>
    <t>Heavy oil; Steam flooding; Solvent; Steam chamber; EOR mechanisms</t>
  </si>
  <si>
    <t>ASSISTED GRAVITY DRAINAGE; HORIZONTAL-WELL; MASS-TRANSFER; INJECTION; BITUMEN; BEHAVIOR; CHAMBER; COINJECTION; EFFICIENCY; STRATEGY</t>
  </si>
  <si>
    <t>Using only pure steam as a driving medium in heavy oil reservoirs may result in a low oil recovery factor. Solvent is a good oil displacement medium that can be dissolved in heavy oil, which can greatly reduce the viscosity and improve the mobility of heavy oil. Therefore, the method of solvent assisted displacement and drainage has the unique advantage during steam flooding. In this paper, a quantitative method is proposed to choose appropriate solvents. Then a series of experiments are carried out, including oil displacement experiment to measure oil displacement efficiency, 2D visualization experiment to analyze the sweep efficiency and remaining oil distribution, and 3D scaling physical simulation setting with bottom water condition, which are used to analyze production performance, the expanding characteristics of steam chamber and study reservoir fluid distribution. The results show that steam moving upwards to heat and drive heavy oil to production well under the action of displacement and drainage. In a heavy oil reservoir with thin bottom water, if only steam is injected into reservoir, then there is no obvious stage of stable oil production and the oil recovery factor is only 32.7%. However, when solvent and steam are co-injected into reservoir, the stage of stable oil production maintaining about 0.6 PV and the oil recovery factor is 43.2%. During steam and solvent flooding, solvent can greatly reduce the oil viscosity to improve its mobility; meanwhile solvent can promote the expansion of steam chamber. The co-injection of steam and solvent can obviously expand steam chamber and increase oil recovery factor in heavy oil reservoirs (even connecting with bottom water layer). The method of steam and solvent flooding further enriches EOR technologies of thermal recovery in heavy oil reservoirs.</t>
  </si>
  <si>
    <t>[Pang, Zhanxi; Hong, Qingjing] China Univ Petr, State Key Lab Petr Resources &amp; Engn, Beijing 102249, Peoples R China; [Liu, Dong] China Natl Offshore Oil Co CNOOC Ltd, Tianjin Branch, Tianjin 300452, Peoples R China; [Wang, Bo] Sinopec China, Henan Oilfield Inst, Nanyang 473400, Peoples R China</t>
  </si>
  <si>
    <t>China University of Petroleum</t>
  </si>
  <si>
    <t>Pang, ZX (corresponding author), China Univ Petr, State Key Lab Petr Resources &amp; Engn, Beijing 102249, Peoples R China.</t>
  </si>
  <si>
    <t>pxiad9827@163.com</t>
  </si>
  <si>
    <t>Wang, Bo/M-2278-2019</t>
  </si>
  <si>
    <t>Wang, Bo/0000-0001-7002-7901</t>
  </si>
  <si>
    <t>National Natural Science Foundation of China [3192026]; Natural Science Foundation of Beijing Munici-pality, China; [52074321]</t>
  </si>
  <si>
    <t>National Natural Science Foundation of China(National Natural Science Foundation of China (NSFC)); Natural Science Foundation of Beijing Munici-pality, China;</t>
  </si>
  <si>
    <t>The study was supported by National Natural Science Foundation of China (52074321) and Natural Science Foundation of Beijing Munici-pality, China (3192026) .</t>
  </si>
  <si>
    <t>10.1016/j.geoen.2023.212244</t>
  </si>
  <si>
    <t>Q0XU8</t>
  </si>
  <si>
    <t>WOS:001054841700001</t>
  </si>
  <si>
    <t>Panta, H; Narayanasamy, A; Panta, A</t>
  </si>
  <si>
    <t>Panta, Humnath; Narayanasamy, Arun; Panta, Ayush</t>
  </si>
  <si>
    <t>Organizational capital and credit ratings</t>
  </si>
  <si>
    <t>Credit rating; Organizational capital</t>
  </si>
  <si>
    <t>FIRM RESOURCES; INVESTMENTS; AGENCIES; COST</t>
  </si>
  <si>
    <t>This study uses pooled OLS to examine the effect of organizational capital on credit ratings using a large sample of US firm data from 1989 to 2017. The main finding reveals that firms with higher organizational capital receive higher credit ratings. This finding is robust to numerous robustness tests, alternative estimation techniques, and attempts to mitigate omitted variable and endogeneity concerns. Further, the positive effect of organizational capital on credit ratings is more prominent when firms are more financially constrained. Overall, our findings reveal the importance of organizational capital in the credit ratings of a firm.</t>
  </si>
  <si>
    <t>[Panta, Humnath] Cal Poly Humboldt, Sch Business, Finance, Arcata, CA 95521 USA; [Narayanasamy, Arun] Univ Northern Iowa, Coll Business, Cedar Falls, IA 50614 USA; [Panta, Ayush] Univ Calif Berkeley, Berkeley, CA 94720 USA</t>
  </si>
  <si>
    <t>University of Northern Iowa; University of California System; University of California Berkeley</t>
  </si>
  <si>
    <t>Panta, H (corresponding author), Cal Poly Humboldt, Sch Business, Finance, Arcata, CA 95521 USA.</t>
  </si>
  <si>
    <t>humnath.panta@humboldt.edu</t>
  </si>
  <si>
    <t>Panta, Humnath/0000-0002-3460-2371</t>
  </si>
  <si>
    <t>10.1016/j.frl.2023.104277</t>
  </si>
  <si>
    <t>P7TK0</t>
  </si>
  <si>
    <t>WOS:001052658200001</t>
  </si>
  <si>
    <t>Pattinson, S; Cunningham, JA; Preece, D</t>
  </si>
  <si>
    <t>Pattinson, Steven; Cunningham, James A.; Preece, David</t>
  </si>
  <si>
    <t>Harnessing creative tensions: A micro-level study of value creation</t>
  </si>
  <si>
    <t>Innovation projects; Creative tensions; Ambidexterity; Duality; Future innovations; Science -based SME</t>
  </si>
  <si>
    <t>DYNAMIC CAPABILITIES; QUADRUPLE HELIX; INNOVATION; BUSINESS; PERFORMANCE; SCIENCE; MODEL; ORGANIZATIONS; AMBIDEXTERITY; COMMUNITIES</t>
  </si>
  <si>
    <t>This paper explores the emergence of micro-level creative tensions and their interplay within collaborative innovation projects. Our findings demonstrate how, at the microlevel, an evolving set of actors, activities and artifacts support collaborative innovation in science-based SMEs. Our analysis highlights how activities and artifacts are linked through creative tensions emerging from situations of close interaction between diverse actors. We demonstrate how a mutually constitutive duality captures the paradoxical nature of creative tensions. Furthermore, our findings show how actors employ ambidexterity in navigating and harnessing creative tensions and develop artifacts that create value. We propose a framework that captures micro-level value creation in collaborative innovation. We suggest three research propositions that explore interconnectedness between actors from diverse backgrounds, diversity of knowledge and skills in contributing to innovation activities, and ambidexterity in navigating creative tensions in developing artifacts in the form of innovative products, services and processes.</t>
  </si>
  <si>
    <t>[Pattinson, Steven; Preece, David] Northumbria Univ, Newcastle Business Sch, Newcastle Upon Tyne NE1 8ST, England; [Cunningham, James A.] Newcastle Univ Business Sch, Newcastle Univ, Newcastle Upon Tyne, England; [Cunningham, James A.] Lund Univ, Ctr Innovat Res CIRCLE, Lund, Sweden</t>
  </si>
  <si>
    <t>Northumbria University; Newcastle University - UK; Newcastle University - UK; Lund University</t>
  </si>
  <si>
    <t>Pattinson, S (corresponding author), Northumbria Univ, Newcastle Business Sch, Newcastle Upon Tyne NE1 8ST, England.</t>
  </si>
  <si>
    <t>steven2.pattinson@northumbria.ac.uk; james.cunningham@newcastle.ac.uk; dartmouth56@gmail.com</t>
  </si>
  <si>
    <t>Pattinson, Steven/0000-0003-3352-5738</t>
  </si>
  <si>
    <t>10.1016/j.jbusres.2023.114150</t>
  </si>
  <si>
    <t>O0OY6</t>
  </si>
  <si>
    <t>WOS:001040913400001</t>
  </si>
  <si>
    <t>Pedroni, L; Perugino, F; Kurtaga, A; Galaverna, G; Dall'Asta, C; Dellafiora, L</t>
  </si>
  <si>
    <t>Pedroni, Lorenzo; Perugino, Florinda; Kurtaga, Ambra; Galaverna, Gianni; Dall'Asta, Chiara; Dellafiora, Luca</t>
  </si>
  <si>
    <t>The bitter side of toxicity: A big data analysis spotted the interaction between trichothecenes and bitter receptors</t>
  </si>
  <si>
    <t>Trichothecenes; Bitter receptors; Mycotoxin; In silico toxicology; Mechanisms of action</t>
  </si>
  <si>
    <t>TASTE RECEPTORS; MASKED MYCOTOXINS; STRUCTURAL BASIS; IDENTIFICATION; ACTIVATION; STRYCHNINE; EVOLUTION; RELEASE; HEALTH; TOOL</t>
  </si>
  <si>
    <t>The bitter taste perception evolved in human and animals to rapidly perceive and avoid potential toxic com-pounds. This is mediated by taste receptors type 2 (TAS2R), expressed in various tissues, which recently proved to be involved in roles beyond the bitter perception itself. With this study, the interaction between food-related toxic compounds and TAS2R46 has been investigated via computational approaches, starting with a virtual screening and moving to molecular docking and dynamics simulations. The virtual screening analysis identified trichothecolone and the trichothecenes class it belongs to, which includes mycotoxins widespread in several commodities raising food safety concerns, as possible TAS2R46 binders. Molecular docking and dynamics sim-ulations were performed to further explore the trichotecenes-TAS2R46 interaction. The results indicated that deoxynivalenol and its 15-acetylated derivative could activate TAS2R46. Eventually, this study provided initial evidence supporting the involvement of TAS2R46 in the underpinning mechanisms of deoxynivalenol action highlighting the need of digging into the involvement of TAS2R46 and TAS2Rs in the adverse effects of deox-ynivalenol and congeners.</t>
  </si>
  <si>
    <t>[Pedroni, Lorenzo; Perugino, Florinda; Kurtaga, Ambra; Galaverna, Gianni; Dall'Asta, Chiara; Dellafiora, Luca] Univ Parma, Dept Food &amp; Drug, Parma, Italy; [Perugino, Florinda] Univ Naples Federico II, Dept Biol, Naples, Italy; [Dellafiora, Luca] Univ Parma, Dept Food &amp; Drug, Parco Area Sci 27-A, I-43124 Parma, Italy</t>
  </si>
  <si>
    <t>University of Parma; University of Naples Federico II; University of Parma</t>
  </si>
  <si>
    <t>Dellafiora, L (corresponding author), Univ Parma, Dept Food &amp; Drug, Parco Area Sci 27-A, I-43124 Parma, Italy.</t>
  </si>
  <si>
    <t>luca.dellafiora@unipr.it</t>
  </si>
  <si>
    <t>Dall'Asta, Chiara/0000-0003-0716-8394; Dellafiora, Luca/0000-0002-1901-3317; Pedroni, Lorenzo/0000-0003-3666-2631</t>
  </si>
  <si>
    <t>project within the context of BIG DATA per una regione europea pi ecologica, digitale e resiliente [752]; Emilia-Romagna Region [752, Rif. PA 2021-15857/RER]</t>
  </si>
  <si>
    <t>project within the context of BIG DATA per una regione europea pi ecologica, digitale e resiliente; Emilia-Romagna Region(Regione Emilia Romagna)</t>
  </si>
  <si>
    <t>This research benefits from the HPC (High Performance Computing) facility of the University of Parma, Italy. The authors would also like to acknowledge the Emilia-Romagna Region for founding the PhD fellowship and project within the context of BIG DATA per una regione europea piu ecologica, digitale e resiliente (Deliberazione della G.R. n. 752 del 24/05/2021; Rif. PA 2021-15857/RER) . The authors would like to acknowledge Alessio Mariani (aka Murubutu) for being the musical theme helping data analysis and manuscript writing.</t>
  </si>
  <si>
    <t>10.1016/j.foodres.2023.113284</t>
  </si>
  <si>
    <t>P0EA8</t>
  </si>
  <si>
    <t>WOS:001047445500001</t>
  </si>
  <si>
    <t>Peng, B; Xu, XL; Wang, Y; Zhang, JY; Chen, J; Zhang, Q</t>
  </si>
  <si>
    <t>Peng, Bin; Xu, Xiaoling; Wang, Yan; Zhang, Jingyu; Chen, Jing; Zhang, Qiang</t>
  </si>
  <si>
    <t>Antifouling coating of membrane surface with branched poly (2-hydroxyethyl acrylate) brushes via aqueous reversible deactivation radical polymerization</t>
  </si>
  <si>
    <t>PROGRESS IN ORGANIC COATINGS</t>
  </si>
  <si>
    <t>Antifouling coating; Branched polymer; Reversible deactivation radical polymerization; Aqueous</t>
  </si>
  <si>
    <t>FILM COMPOSITE MEMBRANES; HYPERBRANCHED POLYMERS; ZWITTERIONIC POLYMERS; INITIATED ATRP</t>
  </si>
  <si>
    <t>Surface fouling would severely reduce the performance of membrane and increase operating costs. Recently, surface coating based on branched polymer has been developed as a novel antifouling strategy. However, synthesis of branched polymer by controlled radical polymerization in aqueous system is often challenging. Herein, we report the coating of membrane surface with branched poly(2-Hydroxyethyl acrylate) (Poly(HEA)) via copper-based reversible deactivation radical polymerization. Hydrophilic coatings based on branched polymer brushes were fabricated from membrane surface by grafting from strategy under ambient temperature or even lower in aqueous solution. The polymerization kinetics, as well as antifouling performance of respective modified membranes between linear and branched Poly(HEA) were explored. Surface analyses verified that membranes modified with branched polymer brushes have 5.75 times higher coating thickness and enhanced hydrophilicity. Antifouling experiments revealed that branched polymer brushes can endow membranes with better fouling resistance and stability.</t>
  </si>
  <si>
    <t>[Zhang, Qiang] Nanjing Univ Sci &amp; Technol, Sch Environm &amp; Biol Engn, Minist Ind &amp; Informat Technol, Key Lab New Membrane Mat, Nanjing 210094, Peoples R China; Nanjing Univ Sci &amp; Technol, Inst Polymer Ecomat, Sch Environm &amp; Biol Engn, Nanjing 210094, Peoples R China</t>
  </si>
  <si>
    <t>Nanjing University of Science &amp; Technology; Nanjing University of Science &amp; Technology</t>
  </si>
  <si>
    <t>Zhang, Q (corresponding author), Nanjing Univ Sci &amp; Technol, Sch Environm &amp; Biol Engn, Minist Ind &amp; Informat Technol, Key Lab New Membrane Mat, Nanjing 210094, Peoples R China.</t>
  </si>
  <si>
    <t>zhangqiang@njust.edu.cn</t>
  </si>
  <si>
    <t>Fundamental Research Funds for the Central Universities [30922010811]</t>
  </si>
  <si>
    <t>Fundamental Research Funds for the Central Universities(Fundamental Research Funds for the Central Universities)</t>
  </si>
  <si>
    <t>This project was conducted with financial support from the Fundamental Research Funds for the Central Universities (NO.30922010811) .</t>
  </si>
  <si>
    <t>0300-9440</t>
  </si>
  <si>
    <t>1873-331X</t>
  </si>
  <si>
    <t>PROG ORG COAT</t>
  </si>
  <si>
    <t>Prog. Org. Coat.</t>
  </si>
  <si>
    <t>10.1016/j.porgcoat.2023.107868</t>
  </si>
  <si>
    <t>Chemistry, Applied; Materials Science, Coatings &amp; Films</t>
  </si>
  <si>
    <t>Chemistry; Materials Science</t>
  </si>
  <si>
    <t>R7GO8</t>
  </si>
  <si>
    <t>WOS:001066002900001</t>
  </si>
  <si>
    <t>Perez-Poyatos, LT; Pastrana-Martinez, LM; Morales-Torres, S; Sanchez-Moreno, P; Bramini, M; Maldonado-Hodar, FJ</t>
  </si>
  <si>
    <t>Perez-Poyatos, L. T.; Pastrana-Martinez, L. M.; Morales-Torres, S.; Sanchez-Moreno, P.; Bramini, M.; Maldonado-Hodar, F. J.</t>
  </si>
  <si>
    <t>Iron-copper oxide nanoparticles supported on reduced graphene oxide for the degradation of cyclophosphamide by photo-Fenton reaction</t>
  </si>
  <si>
    <t>Bimetallic catalysts; Cyclophosphamide; PhotoFenton; Heterogeneous catalysis; Reduced graphene oxide</t>
  </si>
  <si>
    <t>DIPHENHYDRAMINE; DISPERSIONS; ADSORPTION; REDUCTION</t>
  </si>
  <si>
    <t>Bimetallic (Fe-Cu) and reduced graphene oxide (rGO)/FeCu catalysts at 0.2% wt. were developed by a co -precipitation method, modifying the Fe-Cu molar proportions (i.e., Fe40Cu60, Fe20Cu80 and Fe10Cu90) and tested for the degradation of the cytostatic drug, cyclophosphamide (CP) in aqueous solution using the photo -Fenton process (UV-Vis). Physicochemical characterization was carried out by complementary techniques (gas adsorption, SEM, TEM, XRD, XPS) and results were correlated with the catalytic performance. The effect of pH on the degradation of the contaminant and the catalyst stability (metal leaching) were studied. The results point out the synergetic effect of the rGO/FeCu catalysts in comparison to the monometallic catalysts or without carbo-naceous material. The best performance was achieved with the rGO/Fe10Cu90 catalyst achieving 82% of CP degradation at natural pH regarding 87% obtained under acid conditions (pH 3). This fact avoids the usual acidification of the solutions during Fenton-like processes and prevent the metal leaching, increasing the stability of catalysts, as demonstrated after consecutive degradation cycles, maintaining efficiency above 75%. Cyto-toxicity tests certificated the low toxicity of the by-product derived from the photo-Fenton process.</t>
  </si>
  <si>
    <t>[Perez-Poyatos, L. T.; Pastrana-Martinez, L. M.; Morales-Torres, S.; Maldonado-Hodar, F. J.] Univ Granada, Dept Inorgan Chem, NanoTech Nanomat &amp; Sustainable Chem Technol, Granada 18071, Spain; [Sanchez-Moreno, P.] Univ Granada, Dept Fis Aplicada, Granada 18071, Spain; [Bramini, M.] Univ Granada, Dept Biol Celular, Granada 18071, Spain</t>
  </si>
  <si>
    <t>University of Granada; University of Granada; University of Granada</t>
  </si>
  <si>
    <t>Maldonado-Hodar, FJ (corresponding author), Univ Granada, Dept Inorgan Chem, NanoTech Nanomat &amp; Sustainable Chem Technol, Granada 18071, Spain.</t>
  </si>
  <si>
    <t>fjmaldon@ugr.es</t>
  </si>
  <si>
    <t>Morales-Torres, Sergio/M-4658-2013; Maldonado Hódar, Francisco Jose/L-9287-2015; Bramini, Mattia/Q-6130-2016</t>
  </si>
  <si>
    <t>Morales-Torres, Sergio/0000-0002-0914-1139; Maldonado Hódar, Francisco Jose/0000-0002-2468-8407; Bramini, Mattia/0000-0002-0381-9391</t>
  </si>
  <si>
    <t>FEDER/Junta de Andalucia-Consejeria de Transformacion Economica, Industria; Conocimiento y Universidades [/B-RNM-486-UGR20]; MCIN/AEI [PCI2020-112045, RYC-2019-026634-I, RYC-2016-19347, RYC2019-027692-I]; European Union Next Generation EU/PRTR; PRIMA Programme (Nano4Fresh project); European Social Found (FSE); Ministerio de Ciencia e innovacion y la Agencia Estatal de Investigacion [IJC2018-036305-I]; Universidad de Granada / CBUA</t>
  </si>
  <si>
    <t>FEDER/Junta de Andalucia-Consejeria de Transformacion Economica, Industria; Conocimiento y Universidades; MCIN/AEI; European Union Next Generation EU/PRTR; PRIMA Programme (Nano4Fresh project); European Social Found (FSE); Ministerio de Ciencia e innovacion y la Agencia Estatal de Investigacion; Universidad de Granada / CBUA</t>
  </si>
  <si>
    <t>This work was financially supported by the FEDER/Junta de Andalucia-Consejeria de Transformacion Economica, Industria, Conocimiento y Universidades/B-RNM-486-UGR20 and project PCI2020-112045 from MCIN/AEI/10.13039/501100011033 and European Union Next Generation EU/PRTR, as part of the PRIMA Programme (Nano4Fresh project). S.M.T. (RYC-2019-026634-I), L.M.P.M. (RYC-2016-19347) and M.B. (RYC2019-027692-I) acknowledge the MICIN/AEI/10.13039/501100011033 and the European Social Found (FSE) El FSE invierte en tu futuro for Ramon y Cajal research contracts. P.S.M. acknowledges Ministerio de Ciencia e innovacion y la Agencia Estatal de Investigacion a traves del programa Juan de la Cierva Incorporacion (IJC2018-036305-I). Funding for open access charge: Universidad de Granada / CBUA</t>
  </si>
  <si>
    <t>10.1016/j.cattod.2023.01.017</t>
  </si>
  <si>
    <t>R1RP2</t>
  </si>
  <si>
    <t>WOS:001062186100001</t>
  </si>
  <si>
    <t>Poirot, A; Leygue, N; Delavaux-Nicot, B; Saffon-Merceron, N; Allain, C; Benoist, E; Fery-Forgues, S</t>
  </si>
  <si>
    <t>Poirot, Alexandre; Leygue, Nadine; Delavaux-Nicot, Beatrice; Saffon-Merceron, Nathalie; Allain, Clemence; Benoist, Eric; Fery-Forgues, Suzanne</t>
  </si>
  <si>
    <t>Tuning the photoluminescence properties of SLE- and MRL-active tricarbonylrhenium(I) complexes through minor structural changes of the organic ligand</t>
  </si>
  <si>
    <t>Transition metal complex; Rhenium; Solid-state luminescence enhancement; Aggregation-Induced Emission; Mechanoresponsive luminescence</t>
  </si>
  <si>
    <t>AGGREGATION-INDUCED EMISSION; MOLECULAR-CONFORMATION; METAL-COMPLEXES; AB-INITIO; DESIGN</t>
  </si>
  <si>
    <t>Solid-state luminescence properties depend on numerous parameters, including the molecular geometry and the intermolecular interactions that take place in the solid. To clarify the role played by these parameters on the photoluminescence (PL) properties of tricarbonylrhenium(I) complexes, four molecules incorporating a 3-(2pyridyl)-1,2,4-triazole (pyta) ligand with appended phenylbenzoxazole (PBO) unit were compared. One or two methyl groups were inserted at different places of the organic ligand of the parent compound RePBO, resulting in three new complexes RePBO-Me1, RePBO-Me2 and RePBO-Me3. As shown by NMR, the presence of the methyl group(s) induced some changes in molecular flexibility, but the electronic effects were relatively weak. As a result, the electrochemical and optical properties were little impacted, and the four complexes behaved almost similarly in organic solution, in agreement with theoretical calculations. In contrast, marked differences appeared between the complexes when considering the aggregation-induced emission (AIE) effect, mainly due to the formation of tiny microcrystals in aqueous medium. In the same way, the three methylated complexes in the form of microcrystalline powders showed clear crystallization-induced emission enhancement (CIEE) with respect to solutions, but with distinct characteristics. They emitted less intensely and at longer wavelengths than the unsubstituted complex. Most likely, the methyl groups strongly affect the geometry and the packing mode of the molecules in the crystals, which influence the PL properties in the solid state. After grinding the powders, the emission spectra of the three methylated complexes were shifted to the red, although this shift was weaker than that previously observed for RePBO. This effect was almost reversible after THF fuming. It was attributed to transitions between the crystalline and amorphous phases. Remarkably, in the amorphous phase where molecules regain their mobility, the emission differences between the four complexes almost disappeared. It was then concluded that the amplitude of the mechanoresponsive luminescence (MRL) effect strongly depends on the geometry of the molecules in the pristine powder. This study is one more step toward the rational design of photoluminescent tricarbonylrhenium(I) complexes. More generally, it is also a good example of how very small structural modifications can drastically govern the PL and MRL properties.</t>
  </si>
  <si>
    <t>[Poirot, Alexandre; Leygue, Nadine; Benoist, Eric; Fery-Forgues, Suzanne] Univ Toulouse III Paul Sabatier, CNRS, SPCMIB, UMR 5068, 118 Route Narbonne, F-31062 Toulouse 9, France; [Delavaux-Nicot, Beatrice] Univ Toulouse, CNRS, Lab Chim Coordinat, UPR 8241,UPS,INPT, 205 Route Narbonne, F-31077 Toulouse 4, France; [Saffon-Merceron, Nathalie] Univ Toulouse III Paul Sabatier, Inst Chim Toulouse, Serv Diffract Rayons 10, ICT UAR 2599, 118 Route Narbonne, F-31062 Toulouse 9, France; [Allain, Clemence] Univ Paris Saclay, CNRS, Photophys &amp; Photochim Supramol &amp; Macromol, ENS Paris Saclay, F-91190 Gif Sur Yvette, France</t>
  </si>
  <si>
    <t>Universite de Toulouse; Universite Toulouse III - Paul Sabatier; Centre National de la Recherche Scientifique (CNRS); Universite de Toulouse; Universite Toulouse III - Paul Sabatier; Universite Federale Toulouse Midi-Pyrenees (ComUE); Institut National Polytechnique de Toulouse; Centre National de la Recherche Scientifique (CNRS); CNRS - Institute of Chemistry (INC); Universite de Toulouse; Universite Toulouse III - Paul Sabatier; UDICE-French Research Universities; Universite Paris Saclay; Centre National de la Recherche Scientifique (CNRS)</t>
  </si>
  <si>
    <t>Fery-Forgues, S (corresponding author), Univ Toulouse III Paul Sabatier, CNRS, SPCMIB, UMR 5068, 118 Route Narbonne, F-31062 Toulouse 9, France.</t>
  </si>
  <si>
    <t>suzanne.fery-forgues@univ-tlse3.fr</t>
  </si>
  <si>
    <t>Delavaux-Nicot, Beatrice/0000-0001-9728-8626</t>
  </si>
  <si>
    <t>ANR [ANR-22-CE29-0008-1]</t>
  </si>
  <si>
    <t>ANR(Agence Nationale de la Recherche (ANR))</t>
  </si>
  <si>
    <t>ANR is gratefully acknowledged for funding (ANR-22-CE29-0008-1) . We thank Dr. C.-L. Serpentini for his help in the measurement of PL lifetimes in solution, and Dr. Frederic Rodriguez for his expertise in running softwares. We thank Dr. A. Sournia-Saquet and Mr. A. Moreau (LCC) for their help in electrochemical measurements. We are also indebted to Dr. Stephane Massou and Ms. Caroline Toppan for the measurement of variable temperature NMR spectra.</t>
  </si>
  <si>
    <t>10.1016/j.jphotochem.2023.114982</t>
  </si>
  <si>
    <t>Q3PJ4</t>
  </si>
  <si>
    <t>WOS:001056668100001</t>
  </si>
  <si>
    <t>Prince, AF; Vodermayer, B; Pleintinger, B; Kolb, A; Franchini, G; Staudinger, E; Dietz, E; Schroeder, S; Frohmann, S; Seel, F; Wedler, A</t>
  </si>
  <si>
    <t>Prince, Andre Fonseca; Vodermayer, Bernhard; Pleintinger, Benedikt; Kolb, Alexander; Franchini, Giacomo; Staudinger, Emanuel; Dietz, Enrico; Schroeder, Susanne; Frohmann, Sven; Seel, Fabian; Wedler, Armin</t>
  </si>
  <si>
    <t>Modular Mechatronics Infrastructure for robotic planetary exploration assets in a field operation scenario</t>
  </si>
  <si>
    <t>Mechatronics; Robotics; Modularity; Exploration; Operations</t>
  </si>
  <si>
    <t>In 2021 the Modular Mechatronics Infrastructure (MMI) was introduced as a solution to reduce weight, costs, and development time in robotic planetary missions. With standardized interfaces and multi-functional elements, this modular approach is planned to be used more often in sustainable exploration activities on the Moon and Mars. The German multi-robot research project Autonomous Robotic Networks to Help Modern Societies (ARCHES)has explored this concept with the use of various collaborative robotic assets which have their capabilities extended by the MMI. Different scientific payloads, engineering infrastructure modules, and specific purpose tools can be integrated to and manipulated by a robotic arm and a standardized electromechanical docking-interface. Throughout the MMI's design and implementation phase the performed preliminary tests confirmed that the different systems of the robotic cooperative team such as the Docking Interface System (DIS), the Power Management System (PMS), and the Data Communication System (DCS) functioned successfully. During the summer of 2022 a Demonstration Mission on Mount Etna (Sicily, Italy) was carried out as part of the ARCHES Project. This field scenario allowed the validation of the robotics systems in an analogue harsh environment and the confirmation of enhanced operations with the application of this modular method. Among the numerous activities performed in this volcanic terrain there are the efficient assembling of the Low Frequency Array (LOFAR) network, the energy-saving and reduced complexity of a detached Laser Induced Breakdown Spectroscopy (LIBS) module, and the uninterrupted powered operation between modules when switching between different power sources. The field data collected during this analogue campaign provided important outcomes for the modular robotics application. Modular and autonomous robots certainly benefit from their versatility, re-usability, less complex systems, reduced requirements for space qualification, and lower risks for the mission. These characteristics will ensure that long duration and complex robotic planetary endeavours are not as challenging as they used to be in the past.</t>
  </si>
  <si>
    <t>[Prince, Andre Fonseca; Vodermayer, Bernhard; Pleintinger, Benedikt; Kolb, Alexander; Franchini, Giacomo; Wedler, Armin] German Aerosp Ctr DLR, Inst Robot &amp; Mechatron, Munchener Str 20, D-82234 Wessling, Germany; [Staudinger, Emanuel] German Aerosp Ctr DLR, Inst Commun &amp; Nav, Munchener Str 20, D-82234 Wessling, Germany; [Dietz, Enrico; Schroeder, Susanne; Frohmann, Sven; Seel, Fabian] German Aerosp Ctr DLR, Inst Opt Sensor Syst, Rutherford Str 2, D-12489 Berlin, Germany</t>
  </si>
  <si>
    <t>Helmholtz Association; German Aerospace Centre (DLR); Helmholtz Association; German Aerospace Centre (DLR); Helmholtz Association; German Aerospace Centre (DLR)</t>
  </si>
  <si>
    <t>Prince, AF (corresponding author), German Aerosp Ctr DLR, Inst Robot &amp; Mechatron, Munchener Str 20, D-82234 Wessling, Germany.</t>
  </si>
  <si>
    <t>andre.fonsecaprince@dlr.de</t>
  </si>
  <si>
    <t>Helmholtz Association, Germany [HA-304, ZT-0033]</t>
  </si>
  <si>
    <t>Helmholtz Association, Germany(Helmholtz Association)</t>
  </si>
  <si>
    <t>The authors of this work sincerely thank the involved teams in the DLR-RMC, DLR-KN, DLR-OS, and ROBEX &amp; ARCHES projects. Also, Heinrich Gmeiner for his contributions in the development of the ENVI-CON Docking Interface System, Florian Voggeneder and Felix Oprean for the photos and videos taken during the ARCHES Demo Mission. Special thanks to the Helmholtz Association, Germany for the support to both ROBEX (under contract number HA-304) and ARCHES (under contract number ZT-0033) works.</t>
  </si>
  <si>
    <t>10.1016/j.actaastro.2023.07.037</t>
  </si>
  <si>
    <t>Q9SH8</t>
  </si>
  <si>
    <t>Green Accepted</t>
  </si>
  <si>
    <t>WOS:001060837800001</t>
  </si>
  <si>
    <t>Puente, E; Citores, L; Cuende, E; Krug, I; Basterretxea, M</t>
  </si>
  <si>
    <t>Puente, Esteban; Citores, Leire; Cuende, Elsa; Krug, Inigo; Basterretxea, Mikel</t>
  </si>
  <si>
    <t>Bycatch of short-beaked common dolphin (Delphinus delphis) in the pair bottom trawl fishery of the Bay of Biscay and its mitigation with an active acoustic deterrent device (pinger)</t>
  </si>
  <si>
    <t>FISHERIES RESEARCH</t>
  </si>
  <si>
    <t>Delphinus delphis; Bycatch mitigation; DDD pinger; Pair bottom trawling; Bay of Biscay</t>
  </si>
  <si>
    <t>MARINE-MAMMALS; DEPREDATION; CETACEANS; MEGAFAUNA</t>
  </si>
  <si>
    <t>Bycatch of common dolphin (Delphinus delphis) in commercial trawl fisheries in the Bay of Biscay (NE Atlantic) is of concern and its mitigation a priority. Active acoustic deterrent devices (pingers) attached to fishing gear seem to be promising for bycatch mitigation, as they have demonstrated to effectively reduce cetacean bycatch in some set-net fisheries. However, the low occurrence of common dolphin bycatch in many trawl fisheries, coupled with the extensive amount of time needed to monitor them, makes it difficult to prove the effectiveness of pingers. Remote electronic monitoring (REM) systems in fisheries can substantially increase onboard observation, providing access to extensive databases to comprehensively address bycatch mitigation studies. In this study, the effectiveness of DDD &amp; REG;03H Dolphin Dissuasive Device (hereinafter DDD pingers) to reduce common dolphin bycatch was evaluated in a demersal pair trawler in FAO Division 27.8.c. In 195 fishing days, one of the vessels in the pair operated with a set of DDD pingers whereas the other operated without them, and the bycatch of common dolphin was monitored through the REM system. In total, 660 fishing hauls were conducted of which 223 hauls had the DDDs attached. The results showed that the DDDs reduced common dolphin bycatch by more than 90%, with both bycatch frequency and the number of individuals bycaught per haul being significantly lower. The results also showed that common dolphin bycatch in this fishery is related to factors such as the fishing zone and depth, whereas the type of net deployed, time of day and haul duration were found to not significantly affect the bycatch of this species.</t>
  </si>
  <si>
    <t>[Puente, Esteban; Cuende, Elsa; Krug, Inigo; Basterretxea, Mikel] AZTI, Marine Res, Basque Res &amp; Technol Alliance BRTA, Sukarrieta 48395, Bizkaia, Spain; [Citores, Leire] AZTI, Marine Res, Basque Res &amp; Technol Alliance BRTA, Pasaia 20110, Spain</t>
  </si>
  <si>
    <t>AZTI; AZTI</t>
  </si>
  <si>
    <t>Cuende, E (corresponding author), AZTI, Marine Res, Basque Res &amp; Technol Alliance BRTA, Sukarrieta 48395, Bizkaia, Spain.</t>
  </si>
  <si>
    <t>ecuende@azti.es</t>
  </si>
  <si>
    <t>General Fisheries Secretariat of the Spanish Fisheries Ministry</t>
  </si>
  <si>
    <t>We are thankful to the ship owner and to the crew of the two vessels for their valuable collaboration during the organization and execution of the sea trials. We are also grateful to the General Fisheries Secretariat of the Spanish Fisheries Ministry for funding the research. Finally, we thank the Editor of the journal and the two anonymous reviewers who helped improving the quality of the manuscript. This paper is contribution n 1175 from AZTI, Marine Research, Basque Research and Technology Alliance (BRTA) .</t>
  </si>
  <si>
    <t>0165-7836</t>
  </si>
  <si>
    <t>1872-6763</t>
  </si>
  <si>
    <t>FISH RES</t>
  </si>
  <si>
    <t>Fish Res.</t>
  </si>
  <si>
    <t>10.1016/j.fishres.2023.106819</t>
  </si>
  <si>
    <t>Fisheries</t>
  </si>
  <si>
    <t>Q9JH0</t>
  </si>
  <si>
    <t>WOS:001060601800001</t>
  </si>
  <si>
    <t>Qin, P; Han, DL; Ma, BY; Zeng, XY; Lin, YP</t>
  </si>
  <si>
    <t>Qin, Peng; Han, Denglin; Ma, Binyu; Zeng, Xingyao; Lin, Yipeng</t>
  </si>
  <si>
    <t>Diagenetic differentiation of tuffaceous interstitial materials in sandy conglomerate and their effect on reservoir properties</t>
  </si>
  <si>
    <t>MARINE AND PETROLEUM GEOLOGY</t>
  </si>
  <si>
    <t>Sandy conglomerate reservoir; Tuffaceous interstitial material; Baikouquan formation; Junggar basin</t>
  </si>
  <si>
    <t>CARDIUM FORMATION; VOLCANIC ASH; OIL-FIELD; COAL BED; BASIN; EXPLORATION; SANDSTONE; EVOLUTION; PETROGRAPHY; PROVENANCE</t>
  </si>
  <si>
    <t>Tuffaceous material of the Lower Triassic Baikouquan Fm., NE Junggar Basin is closely associated with detrital particles and particularly with crenulated quartz grains and kaolinite. The amount tuff is reduced closed to the source area. The main component of the tuffaceous interstitial material is SiO2, followed by K2O, FeO, and MgO. The tuffaceous interstitial material can be further divided into three types: medium (basic) potassium-rich tuffaceous material, ultrabasic iron-magnesium tuffaceous material, and ultrabasic iron-magnesium rich tuffaceous material. Medium (basic) potassium-rich is dominated by fusiform shrinkage pores, often associated with kaolinite, while ultrabasic iron-magnesium rich tuff pores are not developed, and ultrabasic iron-magnesium tuffaceous material is dominated by dissolution pores. The solution pores have large diameters and large volume of pores and throats, but low pores and throats coordination number. The pore size and the pores and throats volume of shrinkage fractures are small, but the pores and throats coordination number are large. Dissolution pores are mainly distributed in Mbr 1, whereas shrinkage pores mainly occur in Mbr 2. However, the interlayer productivity data from a single well show that the Mbr 1 has a higher productivity than Mbr 2. However, the interlayer productivity data from a single well show that Mbr 1 has a higher productivity than Mbr 2. In addition, tuff is not responsible for wind action, but the cause of intermittent water flow transport in volcanic rocks. Distributary channels at the fan delta front comprise the dominant facies for development of tuffaceous interstitial materials. The composition of tuffaceous interstitial material clearly determines reservoir quality. Medium basic potassium-rich tuff has a high SiO2 content and is prone to devitrification, so it is dominated by shrinkage pores, whereas ultrabasic iron-magnesium tuff contains FeO and MgO and is vulnerable to acid corrosion and the formation of corrosion pores. However, acid minerals such as kaolinite reduce reservoir connectivity. Compared with solution pores, shrinkage pores have a small pore volume, but high pores and throats coordination number, indicating that they have a high seepage capacity. Shrinkage pores are an important factor in causing production differences between single layers and should be given more attentions.</t>
  </si>
  <si>
    <t>[Qin, Peng; Han, Denglin; Ma, Binyu; Lin, Yipeng] Lab Reservoir Microstruct Evolut &amp; Digital Charact, Wuhan, Peoples R China; [Qin, Peng; Han, Denglin; Ma, Binyu; Lin, Yipeng] Yangtze Univ, Sch Geosci, Wuhan 430100, Peoples R China; [Zeng, Xingyao] CCDC Geol Explorat &amp; Dev Res Inst CNPC, Chengdu 610051, Peoples R China</t>
  </si>
  <si>
    <t>Yangtze University</t>
  </si>
  <si>
    <t>Qin, P; Han, DL (corresponding author), Yangtze Univ, Sch Geosci, Wuhan 430100, Peoples R China.</t>
  </si>
  <si>
    <t>National Natural Science Founda-tion of China [42072121]</t>
  </si>
  <si>
    <t>This study was supported by the National Natural Science Founda-tion of China (42072121) . We are grateful to the journal editor and reviewers, for their critical, constructive and helpful comments that sonsderabley improve the quality of this manuscript. tofiEORM</t>
  </si>
  <si>
    <t>0264-8172</t>
  </si>
  <si>
    <t>1873-4073</t>
  </si>
  <si>
    <t>MAR PETROL GEOL</t>
  </si>
  <si>
    <t>Mar. Pet. Geol.</t>
  </si>
  <si>
    <t>10.1016/j.marpetgeo.2023.106476</t>
  </si>
  <si>
    <t>S8KR9</t>
  </si>
  <si>
    <t>WOS:001073607600001</t>
  </si>
  <si>
    <t>Qin, T; Lu, QX; Xiang, H; Luo, XL; Yuan, SF</t>
  </si>
  <si>
    <t>Qin, Tao; Lu, Qiuxiang; Xiang, Hao; Luo, Xiulin; Yuan, Shenfu</t>
  </si>
  <si>
    <t>Ca promoted Ni-Co bimetallic catalyzed coal pyrolysis and char steam gasification</t>
  </si>
  <si>
    <t>Coal pyrolysis; Ni-Co alloy; Ca promoting effect; Char steam gasification; DFT calculation</t>
  </si>
  <si>
    <t>Coal catalytic pyrolysis has been applied in the clean and efficient utilization of low-rank coal to obtain combustible gases and high value-added chemicals. Herein, Ni-Co-Ca catalysts were added into coal through impregnation for catalytic pyrolysis of Yunnan lignite and the char steam gasification. The H2 production reached 3.24 mmol/g of coal and the gas conversion was 27.84% of the coal pyrolysis under 5Ni-5Co-1Ca. The char conversion reached 98.21% and the H2 production was 90.68 mmol/g of char steam gasification. Ni and Co could promote coal catalytic pyrolysis by cracking the C-H and C-C bonds. The formation of Ni-Co alloy could prevent catalysts inactivation due to the metal oxidation, lattice distortion and carbon deposition. Density functional theory (DFT) calculations indicated that the electron transfer from Co to Ni has been improved due to the Ca promoting effect, enhancing Ni catalytic activity and promoting coal pyrolysis for more small gaseous molecules. Ca could endow char with abundant pore structure, improving the irregular degree of char crystallite structure, which was attributed to the char gasification at high temperature to obtain H2. This study provided guidance to modulate pyrolysis products distribution by regulating catalysts properties.</t>
  </si>
  <si>
    <t>[Qin, Tao; Lu, Qiuxiang; Xiang, Hao; Luo, Xiulin; Yuan, Shenfu] Yunnan Univ, Natl Demonstrat Ctr Expt Chem &amp; Chem Engn Educ, Sch Chem Sci &amp; Engn, Key Lab Med Chem Nat Resource,Minist Educ,Yunnan K, 2 North Cuihu Rd, Kunming 650091, Yunan, Peoples R China</t>
  </si>
  <si>
    <t>Yunnan University</t>
  </si>
  <si>
    <t>Yuan, SF (corresponding author), Yunnan Univ, Natl Demonstrat Ctr Expt Chem &amp; Chem Engn Educ, Sch Chem Sci &amp; Engn, Key Lab Med Chem Nat Resource,Minist Educ,Yunnan K, 2 North Cuihu Rd, Kunming 650091, Yunan, Peoples R China.</t>
  </si>
  <si>
    <t>yuanshenfu@ynu.edu.cn</t>
  </si>
  <si>
    <t>National Natural Science Foundation of China [21968037]; Reserve Program for Young and Middle-aged Academic and Technical Leaders in Yunnan Province [202105AC160064]; Yunnan Fundamental Research Projects [202301BF070001-010]</t>
  </si>
  <si>
    <t>National Natural Science Foundation of China(National Natural Science Foundation of China (NSFC)); Reserve Program for Young and Middle-aged Academic and Technical Leaders in Yunnan Province; Yunnan Fundamental Research Projects</t>
  </si>
  <si>
    <t>The authors sincerely acknowledge the National Natural Science Foundation of China (21968037) , Reserve Program for Young and Middle-aged Academic and Technical Leaders in Yunnan Province (202105AC160064) , Yunnan Fundamental Research Projects (202301BF070001-010) .</t>
  </si>
  <si>
    <t>10.1016/j.energy.2023.128374</t>
  </si>
  <si>
    <t>O7RT5</t>
  </si>
  <si>
    <t>WOS:001045746200001</t>
  </si>
  <si>
    <t>Qiu, T; Chen, XS; Su, D; Zhang, JQ; Song, R; Wang, J; Meng, D</t>
  </si>
  <si>
    <t>Qiu, Tong; Chen, Xiangsheng; Su, Dong; Zhang, Jiqing; Song, Ran; Wang, Jian; Meng, Dong</t>
  </si>
  <si>
    <t>Full-scale experimental study and mechanical model for beam-wall joints of prefabricated enclosure structure</t>
  </si>
  <si>
    <t>Prefabricated enclosure structure; Precast diaphragm walls; Beam-wall joint; Wet-assembled joint; Joint coordinating contact model</t>
  </si>
  <si>
    <t>EMISSIONS; PRECAST</t>
  </si>
  <si>
    <t>Owing to long exposure to the urban environment, the construction technology of the enclosure structure is closely related to the urban low-carbon development. Shenzhen Metro has recently proposed a novel prefabricated enclosure structure and demonstrated its application. Among them, the mechanical properties of the beam-wall joint between precast diagram wall and precast beam are the core for the performance of the prefabricated enclosure structure. This study demonstrated foremost the application of prefabricated enclosure structure and its key joint mechanical model in Shenzhen Metro Phase V stations. First, this study conducted a full-scale bending experimental study on beam-wall joints and continuous joints. Second, the Joint Coordinating Contact Model (JCCM) of the beam-wall joint was proposed. Third, the model was validated and assessed by using the experiment data. The main conclusions include: (1) The beam-wall joint showed semi-rigid properties despite using reliable assembly. (2) The performance degradation of the beam-wall joint originated from the interface. The interface weak link changed the solid continuity of the joint. (3) With reasonable rebar splices (&amp; GE;66%), the joint stiffness does not change substantially. However, the joint performance with too few rebar splice showed significant degradation (&amp; LE;33%). (4) JCCM assessment suggested a rigid beam-wall joint by enlarging the joint height by 31.3% and using 44% rebar splice ratio. The research achievement provides a theoretical basis and application value for the assessment of beam-wall joints and the promotion of prefabricated enclosure structures.</t>
  </si>
  <si>
    <t>[Qiu, Tong; Chen, Xiangsheng; Su, Dong] Shenzhen Univ, Coll Civil &amp; Transportat Engn, Shenzhen, Peoples R China; [Qiu, Tong; Chen, Xiangsheng; Su, Dong] Shenzhen Key Lab Green, Efficient &amp; Intelligent Construct Underground Subw, Shenzhen, Peoples R China; [Qiu, Tong; Chen, Xiangsheng; Su, Dong] Shenzhen Univ, Coll Civil &amp; Transportat Engn, Key Lab Resilient Infrastructures Coastal Cities, MOE, Shenzhen, Peoples R China; [Zhang, Jiqing; Song, Ran] China Railway Design Corp, Tianjin, Peoples R China; [Wang, Jian; Meng, Dong] Shenzhen Metro Corp, Shenzhen, Peoples R China</t>
  </si>
  <si>
    <t>Shenzhen University; Shenzhen University</t>
  </si>
  <si>
    <t>Chen, XS (corresponding author), Shenzhen Univ, Coll Civil &amp; Transportat Engn, Shenzhen, Peoples R China.;Song, R (corresponding author), China Railway Design Corp, Tianjin, Peoples R China.</t>
  </si>
  <si>
    <t>tongqiuszu@qq.com; xschen@szu.edu.cn; sudong@szu.edu.cn; zhangjiqing@crdc.com; songran@crdc.com; 68267303@qq.com; mengdongde@outlook.com</t>
  </si>
  <si>
    <t>Chen, Xiangsheng/0000-0002-0880-579X</t>
  </si>
  <si>
    <t>National Natural Science Foundation of China (NSFC); [51938008]</t>
  </si>
  <si>
    <t>National Natural Science Foundation of China (NSFC)(National Natural Science Foundation of China (NSFC));</t>
  </si>
  <si>
    <t>This study was supported by the National Natural Science Foundation of China (NSFC, project Number 51938008) .</t>
  </si>
  <si>
    <t>10.1016/j.engstruct.2023.116807</t>
  </si>
  <si>
    <t>S4CN8</t>
  </si>
  <si>
    <t>WOS:001070665200001</t>
  </si>
  <si>
    <t>Rapti, I; Kosma, C; Albanis, T; Konstantinou, I</t>
  </si>
  <si>
    <t>Rapti, I.; Kosma, C.; Albanis, T.; Konstantinou, I.</t>
  </si>
  <si>
    <t>Solar photocatalytic degradation of inherent pharmaceutical residues in real hospital WWTP effluents using titanium dioxide on a CPC pilot scale reactor</t>
  </si>
  <si>
    <t>Pharmaceuticals; Hospital wastewaters; Solar photocatalysis; Pilot plant; CPC reactors; TiO2</t>
  </si>
  <si>
    <t>EMERGING CONTAMINANTS; RISK-ASSESSMENT; PHOTO-FENTON; WASTE; WATER; BIODEGRADABILITY; ENVIRONMENT; PLANTS; TIO2</t>
  </si>
  <si>
    <t>Hospital wastewaters (HWW) contain a complex mixture of pharmaceutical compounds that cannot be removed by conventional treatment processes. This study reports on the degradation of Pharmaceutical Active Compounds (PhACs) in hospital wastewater treatment plant (WWTP) secondary effluents using TiO2 and solar compound parabolic collector pilot plant. Inherent concentration loadings of pharmaceuticals in secondary wastewater were photocatalytically treated in a ''real-world approach. Among the detected pharmaceuticals, amisulpride, venlafaxine and metabolite O-desmethyl venlafaxine, citalopram and carbamazepine occurred in all experimental runs. The analysis of the samples before and after the photocatalytic treatment was accomplished by solid phase extraction, followed by liquid chromatography-Orbitrap high-resolution mass spectrometry. Results showed that photocatalytic degradation of PhAcs followed first order kinetics. Catalyst loadings higher between 150 mgL(-1) resulted in removal percentages higher than 73% with accumulative energy c.a. &gt; 25 kJL(-1) depending on the initial wastewater characteristics. For 200 mgL(-1) catalyst loading pharmaceutical removal rate constants ranged between 0.018 and 0.039 LkJ(-1) recorded for citalopram and venlafaxine, respectively. Photocatalytic treatment resulted also in the amelioration of the effluent quality physicochemical characteristics i.e. COD, BOD as well of the biodegradability index. The catalyst reusability was studied without any treatment for three consecutive cycles showing a significant efficiency decrease mainly between the first and the second cycle i. e. from 21% to 80% in the respective reaction constants. Finally, the effluent toxicity before and during the photocatalytic treatment was evaluated by Vibrio fischeri bioassay revealing that toxicity is sharply decreased leading to non-toxicity in the final treated effluents. Further studies on TiO2 photocatalytic applications should focus on the separation and regeneration of catalyst.</t>
  </si>
  <si>
    <t>[Rapti, I.; Kosma, C.; Albanis, T.; Konstantinou, I.] Univ Ioannina, Dept Chem, Lab Ind Chem, Ioannina 45110, Greece; [Albanis, T.; Konstantinou, I.] Univ Res Ctr Ioannina URCI, Inst Environm &amp; Sustainable Dev, Ioannina 45110, Greece</t>
  </si>
  <si>
    <t>University of Ioannina</t>
  </si>
  <si>
    <t>Konstantinou, I (corresponding author), Univ Ioannina, Dept Chem, Lab Ind Chem, Ioannina 45110, Greece.</t>
  </si>
  <si>
    <t>iokonst@uoi.gr</t>
  </si>
  <si>
    <t>European Union; Interreg-IPA CBC, Greece-Albania, Project: PhaRem [MIS:5031756]</t>
  </si>
  <si>
    <t>European Union(European Union (EU)); Interreg-IPA CBC, Greece-Albania, Project: PhaRem</t>
  </si>
  <si>
    <t>This research was co-funded by the European Union and National Funds of the participating countries (Interreg-IPA CBC, Greece-Albania, Project: PhaRem, MIS:5031756). The authors would like to thank the Unit of Environmental, Organic and Biochemical high-resolution analysis-Orbitrap-LC-MS of the University of Ioannina for providing access to the facilities.</t>
  </si>
  <si>
    <t>10.1016/j.cattod.2022.08.026</t>
  </si>
  <si>
    <t>R7VE1</t>
  </si>
  <si>
    <t>WOS:001066387700001</t>
  </si>
  <si>
    <t>Ribes, S; Arnal, M; Talens, P</t>
  </si>
  <si>
    <t>Ribes, Susana; Arnal, Milagros; Talens, Pau</t>
  </si>
  <si>
    <t>Influence of food oral processing, bolus characteristics, and digestive conditions on the protein digestibility of turkey cold meat and fresh cheese</t>
  </si>
  <si>
    <t>Food oral processing; Deficient mastication; Bolus properties; In vitro gastrointestinal digestion; Protein digestibility</t>
  </si>
  <si>
    <t>IN-VITRO DIGESTION; TEXTURE; MODEL; MASTICATION; QUALITY</t>
  </si>
  <si>
    <t>During mastication, foods are progressively transformed to achieve swallowable boluses and their characteristics are crucial for the subsequent digestion events. The main goal of this work was to evaluate the impact of food oral processing, bolus properties, and different digestive conditions on the protein digestibility of turkey cold meat and fresh cheese. In vivo normal and deficient masticated food boluses were prepared by a young volunteer. Besides, three digestion models were used to simulate the different physiological conditions frequently observed in adults and the elderly, presenting good or poor oral health: i) Normal Masticated-Normal Digested model; ii) Deficient Masticated-Normal Digested model; and iii) Deficient Masticated-Elderly Digested model. The oral processing behaviour (number of chews, chewing time, chewing rate, and saliva uptake), bolus particle size, textural and viscoelastic properties of boluses, and protein digestibility of samples were determined. Results showed that deficient masticated boluses exhibited lower amounts of saliva uptake and greater particle sizes, hardness, stiffness, and rigidity, notably in deficient masticated turkey cold meat boluses. Moreover, the worst digestive scenario (Deficient Masticated-Elderly Digested model) negatively impacted on the proteolysis extend of samples, especially for total soluble proteins and soluble peptides contents. The current study demonstrates that the oral processing behaviour and degree of food fragmentation impacted on the granulometric, texture, and viscoelastic properties of both food boluses, whereas the worst digestive scenario commonly observed in the elderly reduced the proteolysis extend of the products evaluated.</t>
  </si>
  <si>
    <t>[Ribes, Susana; Arnal, Milagros; Talens, Pau] Univ Politecn Valencia, Inst Univ Ingn Alimentos Desarrollo, Dept Tecnol Alimentos, Camino Vera S-N, E-46022 Valencia, Spain</t>
  </si>
  <si>
    <t>Universitat Politecnica de Valencia</t>
  </si>
  <si>
    <t>Ribes, S (corresponding author), Univ Politecn Valencia, Inst Univ Ingn Alimentos Desarrollo, Dept Tecnol Alimentos, Camino Vera S-N, E-46022 Valencia, Spain.</t>
  </si>
  <si>
    <t>surillo@upv.es</t>
  </si>
  <si>
    <t>Ribes Llop, Susana/0000-0002-6813-2590</t>
  </si>
  <si>
    <t>Generalitat Valenciana (Spain) [FPU19/02401]; Spanish Ministry of Science, Innovation, and Universities; CRUE-Universitat Politecnica de Valencia; [APOSTD/2020/264]</t>
  </si>
  <si>
    <t>Generalitat Valenciana (Spain)(Center for Forestry Research &amp; Experimentation (CIEF)); Spanish Ministry of Science, Innovation, and Universities(Spanish Government); CRUE-Universitat Politecnica de Valencia;</t>
  </si>
  <si>
    <t>Susana Ribes gratefully acknowledges the postdoctoral grant (APOSTD/2020/264) from Generalitat Valenciana (Spain) . Milagros Arnal gratefully thanks the Predoctoral contract (FPU19/02401) from the Spanish Ministry of Science, Innovation, and Universities . Funding for open access charge: CRUE-Universitat Politecnica de Valencia.</t>
  </si>
  <si>
    <t>10.1016/j.foodres.2023.113297</t>
  </si>
  <si>
    <t>Q6NO8</t>
  </si>
  <si>
    <t>WOS:001058674400001</t>
  </si>
  <si>
    <t>Rigana, K; Wit, EJC; Cook, S</t>
  </si>
  <si>
    <t>Rigana, Katerina; Wit, Ernst-Jan Camiel; Cook, Samantha</t>
  </si>
  <si>
    <t>A new way of measuring effects of financial crisis on contagion in currency markets</t>
  </si>
  <si>
    <t>Contagion; Causal Inference; Exchange Rates; Covid19; Financial Crises; Safe Haven Currencies; Explainable Machine Learning</t>
  </si>
  <si>
    <t>GRAPHICAL MODELS; STOCK-MARKET; NETWORKS; CAUSALITY; RISK; TOPOLOGY</t>
  </si>
  <si>
    <t>Contagion is an extremely important topic in finance. Contagion is at the core of most major financial crises, in particular the global financial crisis that started in 2007. Although various approaches to quantifying contagion have been proposed, many of them lack a causal interpretation. We will present a new measure for contagion among individual currencies within the Foreign exchange market and show how the paths of contagion work within the Forex market using causal inference. This approach will allow us to pinpoint sources of contagion and to find which currencies offer good options for diversification and which are more susceptible to systemic risk, ultimately resulting in feedback on the level of global systemic risk. In particular, we will focus on the effects of the Covid-19 global pandemic.</t>
  </si>
  <si>
    <t>[Rigana, Katerina] Univ Svizzera Italiana, Swiss Finance Inst, CH-6904 Lugano, Switzerland; [Wit, Ernst-Jan Camiel] Univ Svizzera Italiana, Lugano, Switzerland; [Cook, Samantha] FNA, London, England</t>
  </si>
  <si>
    <t>Universita della Svizzera Italiana; Swiss Finance Institute (SFI); Universita della Svizzera Italiana</t>
  </si>
  <si>
    <t>Rigana, K (corresponding author), Univ Svizzera Italiana, Swiss Finance Inst, CH-6904 Lugano, Switzerland.</t>
  </si>
  <si>
    <t>katerina.rigana@usi.ch</t>
  </si>
  <si>
    <t>Swiss National Science Foundation (SNSF) [188534]</t>
  </si>
  <si>
    <t>Swiss National Science Foundation (SNSF)(Swiss National Science Foundation (SNSF))</t>
  </si>
  <si>
    <t>KR would like to express her gratitude to Giovanni Barone-Adesi for his valuable suggestions that have improved the paper. EW acknowledges funding from the Swiss National Science Foundation (SNSF 188534) .</t>
  </si>
  <si>
    <t>10.1016/j.irfa.2023.102764</t>
  </si>
  <si>
    <t>Q4MG2</t>
  </si>
  <si>
    <t>WOS:001057270600001</t>
  </si>
  <si>
    <t>Riquetti, NB; Beskow, S; Guo, L; Mello, CR</t>
  </si>
  <si>
    <t>Riquetti, Nelva B.; Beskow, Samuel; Guo, Li; Mello, Carlos R.</t>
  </si>
  <si>
    <t>Soil erosion assessment in the Amazon basin in the last 60 years of deforestation</t>
  </si>
  <si>
    <t>Amazon LULC; Water erosion; Environmental quality; Deforestation; Sustainability</t>
  </si>
  <si>
    <t>CLIMATE VARIABILITY; SEDIMENT YIELD; WATER EROSION; RIVER-BASIN; LAND-USE; IMPACTS; DEPOSITION; DYNAMICS; BALANCE; SOY</t>
  </si>
  <si>
    <t>Anthropic activities in the Amazon basin have been compromising the environmental sustainability of this complex biome. The main economic activities depend on the deforestation of the rainforest for pasture cattle ranching and agriculture. This study analyzes soil erosion to understand how deforestation has impacted the Amazon basin in this context, using three land-use temporal maps (1960, 1990, 2019) through the revised universal soil loss equation (RUSLE). Our results point to a significant influence of deforestation due to the expansion of agricultural and livestock activities on soil erosion rates in the Amazon Basin. The average soil erosion rate has increased by more than 600% between 1960 and 2019, ranging from 0.015 Mg ha-1 year- 1 to 0.117 Mg ha-1 year-1. During this period, deforestation of the Amazon rainforest was approximately 7% (411,857 km2), clearly the leading cause of this increase in soil erosion, especially between 1990 and 2019. The south and southeast regions are the most impacted by increasing soil erosion, in which deforestation was accelerated for expanding agriculture and livestock activities, mainly in the sub-basins of the Madeira, Solimo &amp; SIM;es, Xingu, and Tapaj &amp; PRIME;os that present soil erosion increases of 390%, 350%, 280%, and 240%, respectively. The sub-basins with the highest sediment delivery rate (SDR) are under the influence of the Andes, highlighting Solimo &amp; SIM;es (27%), Madeira (13%), and Negro (6%) due to the increase in the soil erosion rate increase in these sub-basins.</t>
  </si>
  <si>
    <t>[Riquetti, Nelva B.; Beskow, Samuel] Univ Fed Pelotas, Water Resources Grad Program, Campus Porto,Rua Gomes Carneiro 1, BR-96010610 Pelotas, RS, Brazil; [Mello, Carlos R.] Univ Fed Lavras, Water Resources Dept, Campus Univ,CP 3037, BR-37200900 Lavras, MG, Brazil; [Guo, Li] Sichuan Univ, Coll Water Resource &amp; Hydropower, State Key Lab Hydraul &amp; Mt River Engn, Chengdu 610065, Peoples R China; [Mello, Carlos R.] Univ Illinois Ubana Champaign, Coll ACES, Dept Agr &amp; Biol Engn, Urbana, IL 61801 USA</t>
  </si>
  <si>
    <t>Universidade Federal de Pelotas; Universidade Federal de Lavras; Sichuan University</t>
  </si>
  <si>
    <t>Mello, CR (corresponding author), Univ Fed Lavras, Water Resources Dept, Campus Univ,CP 3037, BR-37200900 Lavras, MG, Brazil.</t>
  </si>
  <si>
    <t>crmello@ufla.br</t>
  </si>
  <si>
    <t>Mello, Carlos/G-5821-2012; Beskow, Samuel/B-5758-2015</t>
  </si>
  <si>
    <t>Mello, Carlos/0000-0002-6033-5342; Beskow, Samuel/0000-0003-3900-0895</t>
  </si>
  <si>
    <t>Coordenagao de Aperfeigoamento Pessoal de Nivel Superior (CAPES); Conselho Nacional de Pesquisa (CNPq) [302483/2022-5]; [401156/2022-2]</t>
  </si>
  <si>
    <t>Coordenagao de Aperfeigoamento Pessoal de Nivel Superior (CAPES); Conselho Nacional de Pesquisa (CNPq)(Conselho Nacional de Desenvolvimento Cientifico e Tecnologico (CNPQ));</t>
  </si>
  <si>
    <t>This study was financed in part by the Coordenagao de Aperfeigoamento Pessoal de Nivel Superior (CAPES) and Conselho Nacional de Pesquisa (CNPq) grant n. 401156/2022-2 and 302483/2022-5.</t>
  </si>
  <si>
    <t>10.1016/j.envres.2023.116846</t>
  </si>
  <si>
    <t>Q7OJ6</t>
  </si>
  <si>
    <t>WOS:001059378100001</t>
  </si>
  <si>
    <t>Rittelmann-Woods, E; Lachaise, T; van Kleunen, M</t>
  </si>
  <si>
    <t>Rittelmann-Woods, Elina; Lachaise, Tom; van Kleunen, Mark</t>
  </si>
  <si>
    <t>Negative effects of EPDM microplastic and cork granules on plant growth are mitigated by earthworms and likely caused by their structural properties</t>
  </si>
  <si>
    <t>Plastic pollution; Soil organisms; Plant biomass; Root traits; Lumbricus; Arti ficial grass</t>
  </si>
  <si>
    <t>SOIL; PLASTICITY; KNOWLEDGE; WATER</t>
  </si>
  <si>
    <t>Soil microplastic pollution can have negative effects on organisms, including plants, but the underlying mechanisms are not fully understood. We tested whether structural or chemical properties of a microplastic cause its effects on plant above- and belowground growth and whether these effects can be influenced by earthworms. We conducted a factorial experiment in a greenhouse with seven common Central European grassland species. Microplastic granules of the synthetic rubber ethylene propylene diene monomer (EPDM),1 a frequently used infill material of artificial turfs, and cork granules with a comparable size and shape to the EPDM granules were used to test for structural effects of granules in general. To test for chemical effects, EPDM-infused fertilizer was used, which should have contained any leached water-soluble chemical components of EPDM. Two Lumbricus terrestris individuals were added to half of the pots, to test whether these earthworms modify effects of EPDM on plant growth. EPDM granules had a clear negative effect on plant growth, but since cork granules had a negative effect of similar magnitude, with an average decrease in biomass of 37 % in presence of granules, this is likely due to the structural properties of granules (i.e., size and shape). For some belowground plant traits, EPDM had a stronger effect than cork, which shows that there must be other factors playing into the effects of EPDM on plant growth. The EPDM-infused fertilizer did not have any significant effect on plant growth by itself, but it had in interaction with other treatments. Earthworms had an overall positive effect on plant growth and mitigated most of the negative effects of EPDM. Our study shows that EPDM microplastic can have negative effects on plant growth, and that these might be more related to its structural than to its chemical properties.</t>
  </si>
  <si>
    <t>[Rittelmann-Woods, Elina; Lachaise, Tom; van Kleunen, Mark] Univ Konstanz, Dept Biol, Ecol, Univ Str 10, D-78457 Constance, Germany; [van Kleunen, Mark] Taizhou Univ, Zhejiang Prov Key Lab Plant Evolutionary Ecol &amp; Co, Taizhou 318000, Peoples R China; [Rittelmann-Woods, Elina] Univ Bayreuth, Univ Str, D-95447 Bayreuth, Germany</t>
  </si>
  <si>
    <t>University of Konstanz; Taizhou University; University of Bayreuth</t>
  </si>
  <si>
    <t>Rittelmann-Woods, E (corresponding author), Univ Bayreuth, Univ Str, D-95447 Bayreuth, Germany.</t>
  </si>
  <si>
    <t>elina.rittelmann@gmail.com</t>
  </si>
  <si>
    <t>Rittelmann-Woods, Elina/0000-0002-6894-8143</t>
  </si>
  <si>
    <t>University of Konstanz</t>
  </si>
  <si>
    <t>The study was funded by the University of Konstanz.</t>
  </si>
  <si>
    <t>10.1016/j.scitotenv.2023.165354</t>
  </si>
  <si>
    <t>O6OQ0</t>
  </si>
  <si>
    <t>WOS:001044982000001</t>
  </si>
  <si>
    <t>Robert, R; Mangalassery, S; Rao, DN; Vidyasagar, K</t>
  </si>
  <si>
    <t>Robert, Rintu; Mangalassery, Shilpa; Rao, D. Narayana; Vidyasagar, Kanamaluru</t>
  </si>
  <si>
    <t>Syntheses and characterization of quaternary selenites and tellurite of antimony, NaSbSe2O7, AgSbSe2O7 and Na2Sb4Te2O14</t>
  </si>
  <si>
    <t>JOURNAL OF SOLID STATE CHEMISTRY</t>
  </si>
  <si>
    <t>Selenite; Tellurite; Antimony; Synthesis; Structure; Second harmonic generation</t>
  </si>
  <si>
    <t>STRUCTURAL-CHARACTERIZATION; HYDROTHERMAL SYNTHESIS; VANADIUM SELENITE; CRYSTAL-STRUCTURE; CS; OXIDES; RB</t>
  </si>
  <si>
    <t>NaSbSe2O7, AgSbSe2O7 and Na2Sb4Te2O14 compounds have been synthesized by solid state reactions and characterized by single crystal X-ray diffraction, thermal analysis, reflectance spectroscopy, and second harmonic generation (SHG) response studies. The isostructural NaSbSe2O7 and AgSbSe2O7 selenites crystallize in centrosymmetric Cmcm space group with respective orthorhombic unit cell parameter values of a = 10.0704(4) and 10.0449(5) &amp; ANGS;, b = 8.3074(4) and 8.3825(5) &amp; ANGS; and c = 7.1449(3) and 7.1438(5) &amp; ANGS;. Their one-dimensional structure consists of Na+ or Ag+ cations and anionic [SbSe2O7]- chains made up of SbO6 octahedra and SeO3 trigonal pyramids. Na2Sb4Te2O14 is a mixed-valent compound, which crystallizes in noncentrosymmetric P3121 space group with hexagonal unit cell parameter values of a = 7.32670(10) &amp; ANGS; and c =18.5150(5) &amp; ANGS;. It has a threedimensional hexagonal-tungsten-oxide (HTO) related anionic [Sb4Te2O14]2-structural framework and shows powder SHG response equivalent to 0.4 x KDP.</t>
  </si>
  <si>
    <t>[Robert, Rintu; Vidyasagar, Kanamaluru] Indian Inst Technol Madras, Dept Chem, Chennai 600036, India; [Mangalassery, Shilpa; Rao, D. Narayana] Univ Hyderabad, Sch Phys, Hyderabad 500046, India</t>
  </si>
  <si>
    <t>Indian Institute of Technology System (IIT System); Indian Institute of Technology (IIT) - Madras; University of Hyderabad</t>
  </si>
  <si>
    <t>Vidyasagar, K (corresponding author), Indian Inst Technol Madras, Dept Chem, Chennai 600036, India.</t>
  </si>
  <si>
    <t>kvsagarwork@gmail.com</t>
  </si>
  <si>
    <t>Robert, Rintu/0009-0002-7935-9624</t>
  </si>
  <si>
    <t>SERC Division of Department of Science and Technology, Ministry of Science and Technology, Government of India [SR/FST/CSI-158/2007]; Council of Sci-entific amp; Industrial Research, Government of India [:09/084 (0669) /2015-EMR-I]</t>
  </si>
  <si>
    <t>SERC Division of Department of Science and Technology, Ministry of Science and Technology, Government of India; Council of Sci-entific amp; Industrial Research, Government of India</t>
  </si>
  <si>
    <t>The X-ray powder diffractometer in our department of chemistry was purchased with financial assistance, received under FIST scheme (SR/FST/CSI-158/2007) , from SERC Division of Department of Science and Technology, Ministry of Science and Technology, Government of India. Indian Institute of Technology Madras provided the single-crystal X-ray diffractometer facility in the department of chemistry. We also thank Sophisticated Analytical Instrument Facility of our institute for electron microscopic and single-crystal X-ray diffractometer facilities. We thank Mrs. S. Srividya, Dr. V. Ramkumar and Dr. Sudhadevi for the powder and single crystal X-ray data collection. Research Fellowship (File No:09/084 (0669) /2015-EMR-I) for Rintu Robert, from Council of Sci-entific &amp; Industrial Research, Government of India, is gratefully acknowledged.</t>
  </si>
  <si>
    <t>0022-4596</t>
  </si>
  <si>
    <t>1095-726X</t>
  </si>
  <si>
    <t>J SOLID STATE CHEM</t>
  </si>
  <si>
    <t>J. Solid State Chem.</t>
  </si>
  <si>
    <t>10.1016/j.jssc.2023.124228</t>
  </si>
  <si>
    <t>Chemistry, Inorganic &amp; Nuclear; Chemistry, Physical</t>
  </si>
  <si>
    <t>P7NF0</t>
  </si>
  <si>
    <t>WOS:001052496900001</t>
  </si>
  <si>
    <t>Saratale, RG; Ponnusamy, VK; Piechota, G; Igli, B; Shobana, S; Park, JH; Saratale, GD; Shin, HS; Banu, JR; Kumar, V; Kumar, G</t>
  </si>
  <si>
    <t>Saratale, Rijuta Ganesh; Ponnusamy, Vinoth Kumar; Piechota, Grzegorz; Igli, Bartlomiej; Shobana, S.; Park, Jeong-Hoon; Saratale, Ganesh Dattatraya; Shin, Han Seung; Banu, J. Rajesh; Kumar, Vinod; Kumar, Gopalakrishnan</t>
  </si>
  <si>
    <t>Green chemical and hybrid enzymatic pretreatments for lignocellulosic biorefineries: Mechanism and challenges</t>
  </si>
  <si>
    <t>Lignocellulosic biorefineries; Greener chemical; Hybrid enzymatic pretreatments; Delignification; Enzymatic accessibility</t>
  </si>
  <si>
    <t>IONIC LIQUID PRETREATMENT; DEEP EUTECTIC SOLVENTS; BIOLOGICAL PRETREATMENT; PHYSICOCHEMICAL PROPERTIES; STEAM PRETREATMENT; WATER PRETREATMENT; BIOFUEL PRODUCTION; SUGARCANE BAGASSE; LIGNIN; HYDROLYSIS</t>
  </si>
  <si>
    <t>The greener chemical and enzymatic pretreatments for lignocellulosic biomasses are portraying a crucial role owing to their recalcitrant nature. Traditional pretreatments lead to partial degradation of lignin and hemicellulose moieties from the pretreated biomass. But it still restricts the enzyme accessibility for the digestibility towards the celluloses and the interaction of lignin-enzymes, nonproductively. Moreover, incursion of certain special chemical treatments and other lignin sulfonation techniques to the enzymatic pretreatment (hybrid enzymatic pretreatment) enhances the lignin structural modification, solubilization of the hemicelluloses and both saccharification and fermentation processes (SAF). This article concentrates on recent developments in various chemical and hybrid enzymatic pretreatments on biomass materials with their mode of activities. Furthermore, the issues on strategies of the existing pretreatments towards their industrial applications are highlighted, which could lead to innovative ideas to overcome the challenges and give guideline for the researchers towards the lignocellulosic biorefineries.</t>
  </si>
  <si>
    <t>[Saratale, Rijuta Ganesh] Dongguk Univ Seoul, Res Inst Integrat Life Sci, Goyang Si 10326, Gyeonggi Di, South Korea; [Ponnusamy, Vinoth Kumar] Kaohsiung Med Univ, Dept Med &amp; Appl Chem, Kaohsiung 807, Taiwan; [Piechota, Grzegorz] GPCHEM Lab Biogas Res &amp; Anal, Ul Legionow 40a-3, PL-87100 Torun, Poland; [Igli, Bartlomiej] Nicolaus Copernicus Univ, Fac Chem, Gagarina 7, PL-87100 Torun, Poland; [Shobana, S.] Van Lang Univ, Van Lang Sch Engn &amp; Technol, Green Technol &amp; Sustainable Dev Construct Res Grp, Ho Chi Minh City, Vietnam; [Park, Jeong-Hoon] Korea Inst Ind Technol KITECH, Sustainable Technol &amp; Wellness R&amp;D Grp, Jeju, South Korea; [Saratale, Ganesh Dattatraya; Shin, Han Seung] Dongguk Univ Seoul, Dept Food Sci &amp; Biotechnol, Goyang Si 10326, Gyeonggi Do, South Korea; [Banu, J. Rajesh] Cent Univ Tamil Nadu, Dept Biotechnol, Thiruvarur 610005, Tamil Nadu, India; [Kumar, Vinod] Cranfield Univ, Sch Water Energy &amp; Environm, Cranfield MK43 0AL, England; [Kumar, Gopalakrishnan] Univ Stavanger, Inst Chem Biosci &amp; Environm Engn, Fac Sci &amp; Technol, Box 8600 Forus, N-4036 Stavanger, Norway; [Kumar, Gopalakrishnan] Yonsei Univ, Sch Civil &amp; Environm Engn, Seoul 03722, South Korea</t>
  </si>
  <si>
    <t>Dongguk University; Kaohsiung Medical University; Nicolaus Copernicus University; Van Lang University; Korea Institute of Industrial Technology (KITECH); Dongguk University; Central University of Tamil Nadu; Cranfield University; Universitetet i Stavanger; Yonsei University</t>
  </si>
  <si>
    <t>Kumar, G (corresponding author), Univ Stavanger, Inst Chem Biosci &amp; Environm Engn, Fac Sci &amp; Technol, Box 8600 Forus, N-4036 Stavanger, Norway.</t>
  </si>
  <si>
    <t>gopalakrishnan.kumar@uis.no</t>
  </si>
  <si>
    <t>Jeyakumar, Rajesh Banu/D-1983-2011; Ponnusamy, Vinoth Kumar/G-5540-2011; Piechota, Grzegorz/AEQ-6289-2022</t>
  </si>
  <si>
    <t>Jeyakumar, Rajesh Banu/0000-0001-7708-452X; Ponnusamy, Vinoth Kumar/0000-0003-2112-2085; Piechota, Grzegorz/0000-0002-1169-2837</t>
  </si>
  <si>
    <t>NRF Korea through NRF [5433890]</t>
  </si>
  <si>
    <t>NRF Korea through NRF</t>
  </si>
  <si>
    <t>Authors would like to acknowledge NRF Korea for their financial assistance through NRF (grant number 5433890).</t>
  </si>
  <si>
    <t>10.1016/j.biortech.2023.129560</t>
  </si>
  <si>
    <t>P4ZD4</t>
  </si>
  <si>
    <t>WOS:001050752700001</t>
  </si>
  <si>
    <t>Sartaj, S; Kumar, S; Samiullah, FNU</t>
  </si>
  <si>
    <t>Sartaj, Sahil; Kumar, Satesh; Samiullah, F. N. U.</t>
  </si>
  <si>
    <t>Opioid Usage After Left Ventricular Assist Device Implantation: A Single Center Retrospective Analysis</t>
  </si>
  <si>
    <t>[Sartaj, Sahil] Melmaruvathur Adiparasakthi Inst Med Sci &amp; Res, Melmaruvathur, India; [Kumar, Satesh; Samiullah, F. N. U.] Shaheed Mohtarma Benazir Bhutto Med Coll Lyari, Karachi, Pakistan</t>
  </si>
  <si>
    <t>Sartaj, S (corresponding author), Melmaruvathur Adiparasakthi Inst Med Sci &amp; Res, Melmaruvathur, India.</t>
  </si>
  <si>
    <t>sahilsartaj2003@gmail.com</t>
  </si>
  <si>
    <t>kumar, Satesh/0000-0001-7975-6297; Sartaj, Sahil/0009-0004-1632-7005; Samiullah, FNU/0000-0002-8445-1727</t>
  </si>
  <si>
    <t>10.1016/j.cpcardiol.2023.101932</t>
  </si>
  <si>
    <t>P5ZV8</t>
  </si>
  <si>
    <t>WOS:001051465300001</t>
  </si>
  <si>
    <t>Scodari, BT; Chacko, S; Matsumura, R; Jacobson, NC</t>
  </si>
  <si>
    <t>Scodari, Bruno T.; Chacko, Sarah; Matsumura, Rina; Jacobson, Nicholas C.</t>
  </si>
  <si>
    <t>Using machine learning to forecast symptom changes among subclinical depression patients receiving stepped care or usual care</t>
  </si>
  <si>
    <t>Subclinical depression; Stepped care; Machine learning; PHQ-9; HADS-A</t>
  </si>
  <si>
    <t>CORONARY-HEART-DISEASE; QUALITY-OF-LIFE; MINOR DEPRESSION; MAJOR DEPRESSION; TREATMENT OUTCOMES; SUBSYNDROMAL DEPRESSION; SUBTHRESHOLD DEPRESSION; MEDICATION ADHERENCE; CONTROL ORIENTATION; OLDER-ADULTS</t>
  </si>
  <si>
    <t>Background: Subclinical depression (SD) is a mental health disorder characterized by minor depressive symptoms. Most SD patients are treated in the primary practice, but many respond poorly to treatment at the expense of provider resources. Stepped care approaches are appealing for tiering SD care to efficiently allocate scarce resources while jointly optimizing patient outcomes. However, stepped care can be time inefficient, as some persons may respond poorly and be forced to suffer with their symptoms for prolonged periods. Machine learning can offer insight into optimal treatment paths and inform clinical recommendations for incident patients.Methods: As part of the Step-Dep trial, participants with SD were randomized to receive stepped care (N=96) or usual care (N=140). Machine learning was used to predict changes in depressive symptoms every three months over a year for each treatment group.Results: Tree-based models were effective in predicting PHQ-9 changes among patients who received stepped care (r=0.35-0.46, MAE=0.14-0.17) and usual care (r=0.34-0.49, MAE=0.15-0.18). Patients who received stepped care were more likely to reduce PHQ-9 scores if they had high PHQ-9 but low HADS-A scores at baseline, a low number of chronic illnesses, and an internal locus of control.Limitations: Models may suffer from potential overfitting due to sample size limitations.Conclusion: Our findings demonstrate the promise of machine learning for predicting changes in depressive symptoms for SD patients receiving different treatments. Trained models can intake incident patient information and predict outcomes to inform personalized care.</t>
  </si>
  <si>
    <t>[Scodari, Bruno T.; Jacobson, Nicholas C.] Geisel Sch Med Dartmouth, Dept Biomed Data Sci, Lebanon, NH USA; [Chacko, Sarah; Matsumura, Rina; Jacobson, Nicholas C.] Geisel Sch Med Dartmouth, Ctr Technol &amp; Behav Hlth, Lebanon, NH USA; [Jacobson, Nicholas C.] Geisel Sch Med Dartmouth, Dept Psychiat, Lebanon, NH USA; [Jacobson, Nicholas C.] Dartmouth Coll, Dept Comp Sci, Hanover, NH USA; [Scodari, Bruno T.] 1 Med Ctr Dr, Lebanon, NH 03766 USA</t>
  </si>
  <si>
    <t>Dartmouth College; Dartmouth College; Dartmouth College; Dartmouth College</t>
  </si>
  <si>
    <t>Scodari, BT (corresponding author), 1 Med Ctr Dr, Lebanon, NH 03766 USA.</t>
  </si>
  <si>
    <t>Bruno.Scodari.GR@dartmouth.edu</t>
  </si>
  <si>
    <t>National Institute of Mental Health (NIMH); National Institute of General Medical Sciences (NIGMS) [R01-MH123482-01]</t>
  </si>
  <si>
    <t>National Institute of Mental Health (NIMH)(United States Department of Health &amp; Human ServicesNational Institutes of Health (NIH) - USANIH National Institute of Mental Health (NIMH)); National Institute of General Medical Sciences (NIGMS)(United States Department of Health &amp; Human ServicesNational Institutes of Health (NIH) - USANIH National Institute of General Medical Sciences (NIGMS))</t>
  </si>
  <si>
    <t>This work was partially funded by the National Institute of Mental Health (NIMH) and the National Institute of General Medical Sciences (NIGMS) [R01-MH123482-01].</t>
  </si>
  <si>
    <t>10.1016/j.jad.2023.08.004</t>
  </si>
  <si>
    <t>R1KI9</t>
  </si>
  <si>
    <t>WOS:001061996500001</t>
  </si>
  <si>
    <t>Sedaghatnia, P; Hassanabadi, H; Junker, G; Kriz, J; Hassanabadi, S; Chung, W</t>
  </si>
  <si>
    <t>Sedaghatnia, P.; Hassanabadi, H.; Junker, G.; Kriz, J.; Hassanabadi, S.; Chung, W. S.</t>
  </si>
  <si>
    <t>Investigation of the generalised Wigner-Dunkl harmonic oscillator and its coherent states</t>
  </si>
  <si>
    <t>ANNALS OF PHYSICS</t>
  </si>
  <si>
    <t>Generalised-Wigner-Dunkl operator; Propagator; Coherent states; Mandel parameter; (Anti)bunching effect</t>
  </si>
  <si>
    <t>ALGEBRA; POLYNOMIALS; SYMMETRY</t>
  </si>
  <si>
    <t>This study investigates the quantum mechanics of the harmonic oscillator in the presence of the Generalised-Wigner-Dunkl for-malism based on creation and annihilation operators, which include also the reflection operator. We provide explicit results on the spectral properties of the Hamiltonian and an explicit form of the quantum propagator. Deformed coherent states are introduced and their non-classical properties such as photon statistics, Mandel parameter, and bunching or anti-bunching effect are studied.&amp; COPY; 2023 Elsevier Inc. All rights reserved.</t>
  </si>
  <si>
    <t>[Sedaghatnia, P.; Hassanabadi, H.] Shahrood Univ Technol, Fac Phys, POB 3619995161-316, Shahrood, Iran; [Hassanabadi, H.; Kriz, J.; Hassanabadi, S.] Univ Hradec Kralove, Dept Phys, Rokitanskeho 62, Hradec Kralove 50003, Czech Republic; [Junker, G.] European Southern Observ, Karl Schwarzschild Str 2, D-85748 Garching, Germany; [Junker, G.] Friedrich Alexander Univ Erlangen Nuremberg, Inst Theoret Phys 1, Staudtstr 7, D-91058 Erlangen, Germany; [Chung, W. S.] Gyeongsang Natl Univ, Dept Phys, Jinju 660701, South Korea; [Chung, W. S.] Gyeongsang Natl Univ, Res Inst Nat Sci, Coll Nat Sci, Jinju 660701, South Korea</t>
  </si>
  <si>
    <t>Shahrood University of Technology; University of Hradec Kralove; European Southern Observatory; University of Erlangen Nuremberg; Gyeongsang National University; Gyeongsang National University</t>
  </si>
  <si>
    <t>Sedaghatnia, P (corresponding author), Shahrood Univ Technol, Fac Phys, POB 3619995161-316, Shahrood, Iran.</t>
  </si>
  <si>
    <t>pa.sedaghatnia@gmail.com; h.hasanabadi@shahroodut.ac.ir; gjunker@eso.org; jan.kriz@uhk.cz; s.hassanabadi@yahoo.com; mimip44@naver.com</t>
  </si>
  <si>
    <t>0003-4916</t>
  </si>
  <si>
    <t>1096-035X</t>
  </si>
  <si>
    <t>ANN PHYS-NEW YORK</t>
  </si>
  <si>
    <t>Ann. Phys.</t>
  </si>
  <si>
    <t>10.1016/j.aop.2023.169445</t>
  </si>
  <si>
    <t>Physics, Multidisciplinary</t>
  </si>
  <si>
    <t>Physics</t>
  </si>
  <si>
    <t>Q8XF3</t>
  </si>
  <si>
    <t>WOS:001060287200001</t>
  </si>
  <si>
    <t>Shang, ER; Sun, SY; Zhang, RL; Cao, ZH; Chen, QW; Shi, LM; Wu, JS; Wu, S; Liu, YC; Zheng, YT</t>
  </si>
  <si>
    <t>Shang, Erfei; Sun, Shanyue; Zhang, Ruolan; Cao, Zehui; Chen, Qingwang; Shi, Leming; Wu, Jinsong; Wu, Shuai; Liu, Yingchao; Zheng, Yuanting</t>
  </si>
  <si>
    <t>Overexpression of CD99 is associated with tumor adaptiveness and indicates the tumor recurrence and therapeutic responses in gliomas</t>
  </si>
  <si>
    <t>TRANSLATIONAL ONCOLOGY</t>
  </si>
  <si>
    <t>CD99; Glioma; Tumor adaptive response; Multiomics; Tumor microenvironment</t>
  </si>
  <si>
    <t>MICROENVIRONMENTAL LANDSCAPE; EXPRESSION; HYPOXIA; CELLS; BIOMARKER; DRUG</t>
  </si>
  <si>
    <t>Glioma undergoes adaptive changes, leading to poor prognosis and resistance to treatment. CD99 influences the migration and invasion of glioma cells and plays an oncogene role. However, whether CD99 can affect the adaptiveness of gliomas is still lacking in research, making its clinical value underestimated. Here, we enrolled our in-house and public multiomics datasets for bioinformatic analysis and conducted immunohistochemistry staining to investigate the role of CD99 in glioma adaptive response and its clinical implications.CD99 is expressed in more adaptative glioma subtypes and cell states. Under hypoxic conditions, CD99 is upregulated in glioma cells and is associated with angiogenesis and metabolic adaptations. Gliomas with overexpressed CD99 also increased the immunosuppressive tumor-associated macrophages. The relevance with tumor adaptiveness of CD99 presented clinical significance. We discovered that CD99 overexpression is associated with short-time recurrence and validated its prognostic value. Additionally, Glioma patients with high expression of CD99 were resistant to chemotherapy and radiotherapy. The CD99 expression was also related to anti-angiogenic and immune checkpoint inhibitor therapy response. Inhibitors of the PI3K-AKT pathway have therapeutic potential against CD99-overexpressing gliomas.Our study identified CD99 as a biomarker characterizing the adaptive response in glioma. Gliomas with high CD99 expression are highly tolerant to stress conditions such as hypoxia and antitumor immunity, making treatment responses dimmer and tumor progression. Therefore, for patients with CD99-overexpressing gliomas, tumor adaptiveness should be fully considered during treatment to avoid drug resistance, and closer clinical monitoring should be carried out to improve the prognosis.</t>
  </si>
  <si>
    <t>[Shang, Erfei; Zhang, Ruolan; Cao, Zehui; Chen, Qingwang; Shi, Leming; Zheng, Yuanting] Fudan Univ, Human Phenome Inst, Sch Life Sci, Shanghai, Peoples R China; [Sun, Shanyue; Liu, Yingchao] Shandong First Med Univ, Shandong Prov Hosp, Jinan, Peoples R China; [Shi, Leming] Fudan Univ, Canc Inst, Shanghai Canc Ctr, Shanghai, Peoples R China; [Wu, Jinsong; Wu, Shuai] Fudan Univ, Neurol Surg Dept, Huashan Hosp, Glioma Surg Div, Shanghai, Peoples R China</t>
  </si>
  <si>
    <t>Fudan University; Shandong First Medical University &amp; Shandong Academy of Medical Sciences; Fudan University; Fudan University</t>
  </si>
  <si>
    <t>Zheng, YT (corresponding author), Fudan Univ, Human Phenome Inst, Sch Life Sci, Shanghai, Peoples R China.;Liu, YC (corresponding author), Shandong First Med Univ, Shandong Prov Hosp, Jinan, Peoples R China.;Wu, S (corresponding author), Fudan Univ, Neurol Surg Dept, Huashan Hosp, Glioma Surg Div, Shanghai, Peoples R China.</t>
  </si>
  <si>
    <t>wushuai1991320@163.com; 13805311573@126.com; zhengyuanting@fudan.edu.cn</t>
  </si>
  <si>
    <t>Chen, Qingwang/0000-0002-7191-5801</t>
  </si>
  <si>
    <t>National Natural Science Foundation of China [31720103909, 32170657]; Shanghai Municipal Science and Technology Major Project [2017SHZDZX01]; State Key Laboratory of Genetic Engineering [SKLGE-2117]; 111 Project [B13016]; Taishan Scholars Program [tsqn20161070]</t>
  </si>
  <si>
    <t>National Natural Science Foundation of China(National Natural Science Foundation of China (NSFC)); Shanghai Municipal Science and Technology Major Project; State Key Laboratory of Genetic Engineering; 111 Project(Ministry of Education, China - 111 Project); Taishan Scholars Program</t>
  </si>
  <si>
    <t>This study was supported in part by the National Natural Science Foundation of China (31720103909 and 32170657) , Shanghai Municipal Science and Technology Major Project (2017SHZDZX01) , State Key Laboratory of Genetic Engineering (SKLGE-2117) , the 111 Project (B13016) , and Taishan Scholars Program (No. tsqn20161070) .</t>
  </si>
  <si>
    <t>1936-5233</t>
  </si>
  <si>
    <t>TRANSL ONCOL</t>
  </si>
  <si>
    <t>Transl. Oncol.</t>
  </si>
  <si>
    <t>10.1016/j.tranon.2023.101759</t>
  </si>
  <si>
    <t>Oncology</t>
  </si>
  <si>
    <t>R0PH5</t>
  </si>
  <si>
    <t>WOS:001061443500001</t>
  </si>
  <si>
    <t>Shen, FY; Zang, BW; Song, LJ; Huo, JT; Zhang, Y; Wang, JQ</t>
  </si>
  <si>
    <t>Shen, Fayuan; Zang, Bowen; Song, Lijian; Huo, Juntao; Zhang, Yan; Wang, Jun-Qiang</t>
  </si>
  <si>
    <t>Ultra-fine microstructure and exceptional low coercivity developed in a high-Bs Fe-Si-B-P alloy by co-alloying Ni, Mo, and Cu</t>
  </si>
  <si>
    <t>Nanocrystalline alloy; Soft magnet; High saturation magnetic induction; Micro-alloying; Microstructure refinement</t>
  </si>
  <si>
    <t>SOFT-MAGNETIC PROPERTIES; CRYSTALLIZATION; GLASS; NANOCRYSTALS; NB</t>
  </si>
  <si>
    <t>Designing soft magnetic alloys with high saturation magnetic induction (Bs) is of great importance for improving the power density of electric and electronic devices. For high-Bs nanocrystalline alloys, the main problem is the grain coarsening effect induced by high Fe content (&gt;80 at.%), which deteriorates the soft magnetic properties. In present work, we designed new Fe-based nanocrystalline alloys by microalloying a Fe-Si-B-P alloy. The coalloying of Ni, Mo, and Cu effectively refines the microstructure of nanocrystalline alloys from 28.5 nm to 13.1 nm and increased the stability of soft magnetic properties. Even though there are 28-nm-large surface crystallites in the amorphous precursors, an exceptional low coercivity of 1-2 A/m with a high Bs of 1.81 T was developed after nanocrystallization. These excellent magnetic properties could be maintained within a wide annealing temperature window of 50 K and an annealing time window up to 600 s for high heating rate annealing.</t>
  </si>
  <si>
    <t>[Shen, Fayuan; Zhang, Yan] Zhejiang Univ Technol, Sch Mat Sci &amp; Engn, Hangzhou 310014, Peoples R China; [Shen, Fayuan; Zang, Bowen; Song, Lijian; Huo, Juntao; Wang, Jun-Qiang] Chinese Acad Sci, Ningbo Inst Mat Technol &amp; Engn, CAS Key Lab Magnet Mat &amp; Devices, Ningbo 315201, Peoples R China; [Shen, Fayuan; Zang, Bowen; Song, Lijian; Huo, Juntao; Wang, Jun-Qiang] Chinese Acad Sci, Ningbo Inst Mat Technol &amp; Engn, Zhejiang Prov Key Lab Magnet Mat &amp; Applicat Techno, Ningbo 315201, Peoples R China; [Huo, Juntao; Wang, Jun-Qiang] Univ Chinese Acad Sci, Ctr Mat Sci &amp; Optoelect Engn, Beijing 100049, Peoples R China</t>
  </si>
  <si>
    <t>Zhejiang University of Technology; Chinese Academy of Sciences; Ningbo Institute of Materials Technology and Engineering, CAS; Chinese Academy of Sciences; Ningbo Institute of Materials Technology and Engineering, CAS; Chinese Academy of Sciences; University of Chinese Academy of Sciences, CAS</t>
  </si>
  <si>
    <t>Zang, BW; Wang, JQ (corresponding author), Chinese Acad Sci, Ningbo Inst Mat Technol &amp; Engn, CAS Key Lab Magnet Mat &amp; Devices, Ningbo 315201, Peoples R China.;Zang, BW; Wang, JQ (corresponding author), Chinese Acad Sci, Ningbo Inst Mat Technol &amp; Engn, Zhejiang Prov Key Lab Magnet Mat &amp; Applicat Techno, Ningbo 315201, Peoples R China.;Wang, JQ (corresponding author), Univ Chinese Acad Sci, Ctr Mat Sci &amp; Optoelect Engn, Beijing 100049, Peoples R China.</t>
  </si>
  <si>
    <t>zangbowen@nimte.ac.cn; jqwang@nimte.ac.cn</t>
  </si>
  <si>
    <t>Zhang, Yan/0000-0002-1178-8177</t>
  </si>
  <si>
    <t>National Natural Science Foundation of China [NSFC 52101205, 52271158, 92163108, 52231006]; Zhejiang Province Key R amp; D Program [2022C01023]</t>
  </si>
  <si>
    <t>National Natural Science Foundation of China(National Natural Science Foundation of China (NSFC)); Zhejiang Province Key R amp; D Program</t>
  </si>
  <si>
    <t>The authors thank the financial supports from National Natural Science Foundation of China (NSFC 52101205, 52271158, 92163108, 52231006) , Zhejiang Province Key R &amp; D Program (2022C01023) .</t>
  </si>
  <si>
    <t>10.1016/j.scriptamat.2023.115666</t>
  </si>
  <si>
    <t>P2BQ0</t>
  </si>
  <si>
    <t>WOS:001048749000001</t>
  </si>
  <si>
    <t>Shen, HL; Lien, JY; Lu, CW; Yang, ZP; Su, HC</t>
  </si>
  <si>
    <t>Shen, Hsiang-Ling; Lien, Jiun-Yi; Lu, Chin-Wei; Yang, Zu-Po; Su, Hai-Ching</t>
  </si>
  <si>
    <t>Low-color-temperature white QD light-emitting electrochemical cells</t>
  </si>
  <si>
    <t>Light-emitting electrochemical cells; Quantum dots; Correlated color temperature; Color rendering index; White light</t>
  </si>
  <si>
    <t>BLUE-GREEN; DEVICE EFFICIENCIES; ELECTROLUMINESCENCE; COMPLEXES</t>
  </si>
  <si>
    <t>Low-color-temperature white light-emitting devices have become popular in healthy lighting applications since blue light affects human physiology and psychology significantly. Solid-state white light-emitting electrochemical cells (LECs) show promising advantages of simple solution fabrication processes, low operation voltage, and compatibility with air-stable cathode metals, which are beneficial in lighting applications. However, lowcolor-temperature white LECs have been rarely studied so far. In this work, low-color-temperature white LECs based on blue, green, yellow, and red CdZnSeS/ZnS core-shell quantum dots (QDs) are demonstrated. The proposed white LEC contains an emissive layer of mixed blue, green, yellow, and red QDs and a carrier injection layer of an ionic transition metal complex (iTMC). The iTMC layer forms the electrochemically doped layers and improves the carrier injection efficiency under a bias. The white QD LECs exhibit white electroluminescence (EL) with a low correlated color temperature (CCT) &lt; 1800 K and a high color rendering index (CRI) &gt; 90 under lower currents. However, increasing the device current accompanies by the enhancement of the brightness results in more emission from the wider-energy-gap QDs and thus the CCT increases significantly (&gt;3000 K). Removing the blue QDs from the white QD LECs not only prevents the CCT from increasing under a higher device current but also improves the device efficiency. The CCTs of EL spectra from the proposed white QD LECs are among the reported lowest values of the white LECs and thus reveal excellent color tuning feasibility of these mixed QD emissive layers.</t>
  </si>
  <si>
    <t>[Shen, Hsiang-Ling; Su, Hai-Ching] Natl Yang Ming Chiao Tung Univ, Inst Lighting &amp; Energy Photon, Tainan 71150, Taiwan; [Lien, Jiun-Yi] Natl Cheng Kung Univ, Ctr Quantum Frontiers Res &amp; Technol QFort, Tainan 70101, Taiwan; [Lu, Chin-Wei] Providence Univ, Dept Appl Chem, Taichung 43301, Taiwan; [Yang, Zu-Po] Natl Yang Ming Chiao Tung Univ, Inst Photon Syst, Tainan 71150, Taiwan</t>
  </si>
  <si>
    <t>National Yang Ming Chiao Tung University; National Cheng Kung University; Providence University - Taiwan; National Yang Ming Chiao Tung University</t>
  </si>
  <si>
    <t>Su, HC (corresponding author), Natl Yang Ming Chiao Tung Univ, Inst Lighting &amp; Energy Photon, Tainan 71150, Taiwan.;Lu, CW (corresponding author), Providence Univ, Dept Appl Chem, Taichung 43301, Taiwan.;Yang, ZP (corresponding author), Natl Yang Ming Chiao Tung Univ, Inst Photon Syst, Tainan 71150, Taiwan.</t>
  </si>
  <si>
    <t>cwlu@pu.edu.tw; zupoyang@nctu.edu.tw; haichingsu@nycu.edu.tw</t>
  </si>
  <si>
    <t>Ministry of Science and Technology [MOST 111-2221-E-A49-046-MY3, MOST 111-2113-M-126-001]</t>
  </si>
  <si>
    <t>Ministry of Science and Technology(Ministry of Science, ICT &amp; Future Planning, Republic of KoreaSpanish Government)</t>
  </si>
  <si>
    <t>The authors would like to thank the financial support from the Ministry of Science and Technology (MOST 111-2221-E-A49-046-MY3 and MOST 111-2113-M-126-001) .</t>
  </si>
  <si>
    <t>10.1016/j.orgel.2023.106896</t>
  </si>
  <si>
    <t>P7MT7</t>
  </si>
  <si>
    <t>WOS:001052485600001</t>
  </si>
  <si>
    <t>Sheng, BC; Su, HP; Yu, JG; Lin, S</t>
  </si>
  <si>
    <t>Sheng, Bingchun; Su, Haiping; Yu, Jianguo; Lin, Sen</t>
  </si>
  <si>
    <t>Lithium extraction process from low grade Na plus /K plus brines dependent on high layer charge layered double hydroxides</t>
  </si>
  <si>
    <t>High layer charge; Li; Al-LDHs; Na plus; K plus brines; Lithium extraction; Adsorption; Layered double hydroxides</t>
  </si>
  <si>
    <t>RECOVERY; ADSORPTION; WATER</t>
  </si>
  <si>
    <t>To meet the rigorous separation demand for lithium in monovalent ion systems, high layer charge layered double hydroxides (H-LDHs) were used to extract lithium resource from Na+/K+ brines dependent on a stronger Li+ adsorption effect than conventional Li/Al-LDHs. Adsorption kinetics, isotherms and selectivity of H-LDHs were thoroughly investigated and it was found that H-LDHs had a high selectivity to Li+, and could extract the low concentration Li+ in 3 M Na+/K+ brines in &lt;30 min. Additionally, the effects of desorption temperature and initial Li+ concentration in the eluent were explored in detail. It could be clearly seen that the Li+ desorption rate was increased with less Li+ in the eluent and higher desorption temperature, and the Li/Al molar ratios of H-LDHs dramatically decreased after desorption as the initial Li+ concentration in the eluent was lower than 100 mg/L. Under optimal conditions, the Li+ adsorption capacities of H-LDHs always maintained &gt;4.0 mg/g in 10 adsorption-desorption cycles, reflecting a great stability on the adsorption performance and the crystal structure. These experimental results confirmed great potential application prospects of H-LDHs in lithium extraction from Na+/K+ brines.</t>
  </si>
  <si>
    <t>[Sheng, Bingchun; Yu, Jianguo; Lin, Sen] East China Univ Sci &amp; Technol, Natl Engn Res Ctr Integrated Utilizat Salt Lake Re, Shanghai 200237, Peoples R China; [Sheng, Bingchun; Yu, Jianguo; Lin, Sen] East China Univ Sci &amp; Technol, State Environm Protect Key Lab Environm Risk Asses, Shanghai 200237, Peoples R China; [Su, Haiping] East China Univ Sci &amp; Technol, Shanghai Engn Res Ctr Hierarch Nanomat, State Key Lab Chem Engn, Shanghai 200237, Peoples R China; [Lin, Sen] Shanghai Inst Pollut Control &amp; Ecol Secur, Shanghai 200092, Peoples R China</t>
  </si>
  <si>
    <t>East China University of Science &amp; Technology; East China University of Science &amp; Technology; East China University of Science &amp; Technology</t>
  </si>
  <si>
    <t>Lin, S (corresponding author), East China Univ Sci &amp; Technol, Natl Engn Res Ctr Integrated Utilizat Salt Lake Re, Shanghai 200237, Peoples R China.;Su, HP (corresponding author), East China Univ Sci &amp; Technol, Shanghai Engn Res Ctr Hierarch Nanomat, State Key Lab Chem Engn, Shanghai 200237, Peoples R China.</t>
  </si>
  <si>
    <t>hpsu@ecust.edu.cn; linsen@ecust.edu.cn</t>
  </si>
  <si>
    <t>National Natural Science Foundation of China [21978094, U20A20142]; Shanghai Rising-Star Program [22QA1402700]</t>
  </si>
  <si>
    <t>National Natural Science Foundation of China(National Natural Science Foundation of China (NSFC)); Shanghai Rising-Star Program</t>
  </si>
  <si>
    <t>This work was supported by the National Natural Science Foundation of China (21978094, U20A20142) , and Shanghai Rising-Star Program (22QA1402700) .</t>
  </si>
  <si>
    <t>10.1016/j.desal.2023.116856</t>
  </si>
  <si>
    <t>O9YM3</t>
  </si>
  <si>
    <t>WOS:001047300100001</t>
  </si>
  <si>
    <t>Silva, RC; Pisanu, C; Maffioletti, E; Menesello, V; Gennarelli, M; Baune, BT; Squassina, A; Minelli, A; PROMPT consortium</t>
  </si>
  <si>
    <t>Silva, Rosana Carvalho; Pisanu, Claudia; Maffioletti, Elisabetta; Menesello, Valentina; Gennarelli, Massimo; Baune, Bernhard T.; Squassina, Alessio; Minelli, Alessandra; PROMPT consortium</t>
  </si>
  <si>
    <t>Bortolomasi, M</t>
  </si>
  <si>
    <t>Biological markers of sex-based differences in major depressive disorder and in antidepressant response</t>
  </si>
  <si>
    <t>EUROPEAN NEUROPSYCHOPHARMACOLOGY</t>
  </si>
  <si>
    <t>Major depressive; Sex-based molecular; Antidepressant</t>
  </si>
  <si>
    <t>GENDER-DIFFERENCES; NEUROTROPHIC FACTORS; ANXIETY DISORDERS; GENE-EXPRESSION; SUICIDE BRAIN; RECEPTOR; OXYTOCIN; METHYLATION; SYMPTOMS; GABA</t>
  </si>
  <si>
    <t>Major depressive disorder (MDD) presents different clinical features in women and men, with women being more affected and responding differently to antidepressant treatment. Specific molecular mechanisms underlying these differences are not well studied and this narrative review aims at providing an overview of the neurobiological features underlying sex-differences in biological systems involved in MDD pathophysiology and response to antidepressant treatment, focusing on human studies. The majority of the reviewed studies were performed through candidate gene approaches, focusing on biological systems involved in MDD pathophysiology, including the stress response, inflammatory and immune, monoaminergic, neurotrophic, gamma-aminobutyric acid and glutamatergic, and oxytocin systems. The influence of the endocrine system and sex-specific hormone effects are also discussed. Genome, epigenome and transcriptome-wide approaches are less frequently performed and most of these studies do not focus on sex-specific alterations, revealing a paucity of omics studies directed to unravel sexbased differences in MDD. Few studies about sex-related differences in antidepressant treatment response have been conducted, mostly involving the inflammatory system, with less evidence on the monoaminergic system and sparse evidence in omics approaches. Our review covers the importance of accounting for sex-differences in research, optimizing patient stratification for a more precise diagnostic and individualized treatment for women and men. &amp; COPY; 2023 The Authors. Published by Elsevier B.V. This is an open access article under the CC</t>
  </si>
  <si>
    <t>[Silva, Rosana Carvalho; Gennarelli, Massimo; Minelli, Alessandra] Univ Brescia, Dept Mol &amp; Translat Med, Brescia, Italy; [Pisanu, Claudia; Minelli, Alessandra] Univ Cagliari, Dept Biomed Sci, Sect Neurosci &amp; Clin Pharmacol, Cagliari, Italy; [Menesello, Valentina; Gennarelli, Massimo; Minelli, Alessandra] IRCCS Ist Ctr San Giovanni Dio Fatebenefratelli, Genet Unit, Brescia, Italy; [PROMPT consortium] Psychiat Hosp Villa Santa Chiara, Verona, Italy; [Baune, Bernhard T.] Univ Munster, Dept Psychiat &amp; Psychotherapy, Munster, Germany; [Baune, Bernhard T.] Univ Melbourne, Melbourne Med Sch, Dept Psychiat, Parkville, Vic 3010, Australia; [Baune, Bernhard T.] Univ Melbourne, Florey Inst Neurosci &amp; Mental Hlth, Parkville, Vic, Australia; [Minelli, Alessandra] Dalhousie Univ, Dept Psychiat, Halifax, NS B3H 2E2, Canada; [Minelli, Alessandra] Univ Brescia, Dept Mol &amp; Translat Med, Biol &amp; Genet Div, Viale Europa 11, I-25123 Brescia, Italy</t>
  </si>
  <si>
    <t>University of Brescia; University of Cagliari; IRCCS Fatebenefratelli; University of Munster; University of Melbourne; Florey Institute of Neuroscience &amp; Mental Health; University of Melbourne; Dalhousie University; University of Brescia</t>
  </si>
  <si>
    <t>Minelli, A (corresponding author), Univ Brescia, Dept Mol &amp; Translat Med, Biol &amp; Genet Div, Viale Europa 11, I-25123 Brescia, Italy.</t>
  </si>
  <si>
    <t>alessandra.minelli@unibs.it</t>
  </si>
  <si>
    <t>Baune, Bernhard/JGD-5133-2023</t>
  </si>
  <si>
    <t>Pisanu, Claudia/0000-0002-9151-4319; Carvalho Silva, Rosana/0000-0001-7984-5628; Minelli, Alessandra/0000-0002-9463-7808</t>
  </si>
  <si>
    <t>Italian Ministry of Health [IT-MoH ERP-2020-23671059]; Psychiatric Hospital Villa Santa Chiara, Verona, Italy; ERA-PerMed PROMPT project; [2022]</t>
  </si>
  <si>
    <t>Italian Ministry of Health(Ministry of Health, Italy); Psychiatric Hospital Villa Santa Chiara, Verona, Italy; ERA-PerMed PROMPT project;</t>
  </si>
  <si>
    <t>This work was supported by the Italian Ministry of Health under Grant [Ricerca Corrente 2022] . The post-doc position of Dr. Rosana Carvalho Silva was partly funded by the Psychiatric Hospital Villa Santa Chiara, Verona, Italy. The assistant research position of Valentina Menesello is funded by ERA-PerMed PROMPT project [IT-MoH ERP-2020-23671059]</t>
  </si>
  <si>
    <t>0924-977X</t>
  </si>
  <si>
    <t>1873-7862</t>
  </si>
  <si>
    <t>EUR NEUROPSYCHOPHARM</t>
  </si>
  <si>
    <t>Eur. Neuropsychopharmacol.</t>
  </si>
  <si>
    <t>10.1016/j.euroneuro.2023.07.012</t>
  </si>
  <si>
    <t>Clinical Neurology; Neurosciences; Pharmacology &amp; Pharmacy; Psychiatry</t>
  </si>
  <si>
    <t>Neurosciences &amp; Neurology; Pharmacology &amp; Pharmacy; Psychiatry</t>
  </si>
  <si>
    <t>Q7SM0</t>
  </si>
  <si>
    <t>WOS:001059484700001</t>
  </si>
  <si>
    <t>Simonsen, G; Kjolaas, J; Leinan, PR; Schumann, H</t>
  </si>
  <si>
    <t>Simonsen, Galina; Kjolaas, Jorn; Leinan, Paul Roger; Schumann, Heiner</t>
  </si>
  <si>
    <t>Literature review on surface-active components in emulsions and foams: Theory and modelling efforts</t>
  </si>
  <si>
    <t>Surface-active components; Emulsions; Foams; Flow behaviour; Coalescence; Separation</t>
  </si>
  <si>
    <t>THIN LIQUID-FILMS; IN-OIL EMULSIONS; DROP SIZE; RHEOLOGICAL PROPERTIES; ADSORPTION-KINETICS; GRAVITY SETTLER; STABILITY; DRAINAGE; COALESCENCE; EMULSIFICATION</t>
  </si>
  <si>
    <t>In this paper we present a literature review on the role of surface-active components in emulsions and foams. Models are presently unable to accurately predict scenarios involving multiphase flows with complex chemistry, and this is a major obstacle for many petroleum production/transport systems. This paper highlights some of the most important physical phenomena that are relevant for understanding and ultimately predicting the flow behaviour of complex fluid systems. Some of the main topics addressed are fluid interfaces with surfactants, droplet coalescence and breakup, emulsions, and foams.</t>
  </si>
  <si>
    <t>[Simonsen, Galina; Kjolaas, Jorn; Leinan, Paul Roger; Schumann, Heiner] SINTEF Ind, Dept Proc Technol, N-7034 Trondheim, Norway</t>
  </si>
  <si>
    <t>SINTEF</t>
  </si>
  <si>
    <t>Simonsen, G (corresponding author), SINTEF Ind, Dept Proc Technol, N-7034 Trondheim, Norway.</t>
  </si>
  <si>
    <t>galina.simonsen@sintef.no</t>
  </si>
  <si>
    <t>Simonsen, Galina/0000-0002-7861-557X</t>
  </si>
  <si>
    <t>NFR [295035, 280610, 314165]; Research Council of Norway; TotalEnergies EP Norge AS, Lundin Energy, ConocoPhillips</t>
  </si>
  <si>
    <t>NFR(Research Council of Norway); Research Council of Norway(Research Council of Norway); TotalEnergies EP Norge AS, Lundin Energy, ConocoPhillips</t>
  </si>
  <si>
    <t>The work was supported by the knowledge-building projects for industry  Nexflow  (NFR project number 295035) and  Enabling non-disruptive production conditions-slug flow with surfactants  (NFR Project number 280610) and the innovation project  ChemFlow  (NFR project number 314165) . The authors acknowledge the Research Council of Norway and the industrial partners TotalEnergies EP Norge AS, Lundin Energy, ConocoPhillips for their financial support.</t>
  </si>
  <si>
    <t>10.1016/j.geoen.2023.212156</t>
  </si>
  <si>
    <t>P7BH4</t>
  </si>
  <si>
    <t>WOS:001052184200001</t>
  </si>
  <si>
    <t>Simsek, B; Uygunoglu, T; Dilmac, OF; Ugur, M; Sevgili, I</t>
  </si>
  <si>
    <t>Simsek, Baris; Uygunoglu, Tayfun; Dilmac, Omer Faruk; Ugur, Mucahit; Sevgili, Inci</t>
  </si>
  <si>
    <t>Analyzing the effect of tannic acid as a bio-additive and water purification agent in cement pastes</t>
  </si>
  <si>
    <t>Biomaterials; Composite materials; Tannic acid; Water purification</t>
  </si>
  <si>
    <t>Non-toxic and bio-based additives create opportunities for cementitious composites, such as reducing carbon emissions. This study aims to analyze the functionality and availability of tannic acid as a purifying agent in cement pastes. Tannic acid created a porous structure in cement pastes and decreased the compressive strength and ultrasonic pulse velocity due to excessive hydroxyl groups. However, tannic acid showed a crucial improvement ratio of 97% in the inhibition of total viable micro-organisms at the end of the fourth day. Moreover, micro-organisms growth was inhibited after 4 days with the use of 1% tannic acid and 0.1% graphene oxide instead of cement in the paste. It is envisaged that tannic acid can be used in the production of permeable concrete with its water treatment performance, and can be used in filter design in sewage and city infrastructures.</t>
  </si>
  <si>
    <t>[Simsek, Baris; Dilmac, Omer Faruk; Ugur, Mucahit; Sevgili, Inci] Cankiri Karatekin Univ, Fac Engn, Dept Chem Engn, Uluyazi Campus, TR-18100 Cankiri, Turkiye; [Uygunoglu, Tayfun] Afyon Kocatepe Univ, Fac Engn, Dept Civil Engn, Ahmet Necdet Sezer Campus, TR-03200 Afyon, Turkiye</t>
  </si>
  <si>
    <t>Cankiri Karatekin University; Afyon Kocatepe University</t>
  </si>
  <si>
    <t>Simsek, B (corresponding author), Cankiri Karatekin Univ, Fac Engn, Dept Chem Engn, Uluyazi Campus, TR-18100 Cankiri, Turkiye.</t>
  </si>
  <si>
    <t>barissimsek@karatekin.edu.tr</t>
  </si>
  <si>
    <t>Simsek, Baris/0000-0002-0655-4368</t>
  </si>
  <si>
    <t>10.1016/j.matlet.2023.134969</t>
  </si>
  <si>
    <t>P7KS6</t>
  </si>
  <si>
    <t>WOS:001052432500001</t>
  </si>
  <si>
    <t>Singh, G; Tamana; Devi, A; Saini, A; Thakur, Y; Khurana, S; Sharma, S; Diskit, T; Singh, KN</t>
  </si>
  <si>
    <t>Singh, Gurjaspreet; Tamana, Anita; Devi, Anita; Saini, Anamika; Thakur, Yamini; Khurana, Sumesh; Sharma, Samiksha; Diskit, Tsering; Singh, K. N.</t>
  </si>
  <si>
    <t>Aldol-click generated silane: A turn-on fluorescent sensor for Al3+ion and exploring its anti-Alzheimer activity via molecular docking</t>
  </si>
  <si>
    <t>Acetylcholinesterase; Aluminium; Alzheimer's; Chalcone; Fluorescent sensor; Molecular docking; Triazole</t>
  </si>
  <si>
    <t>ACETYLCHOLINESTERASE; DISCOVERY</t>
  </si>
  <si>
    <t>Alzheimer's disease (AD) is one of the leading neurodegenerative disorder whose cure is yet to be developed. Elevated levels of Aluminium ion and acetylcholinesterase in brain tissue are main concern for progression of AD. Hence, both detection of Aluminium ion and inhibition of acetylcholinesterase are important research areas that have gained attention. Aldol-generated chalcones and Click-derived triazoles are among the emerging privileged scaffolds for selective and sensitive detection of metal ions and as promising pharmacological drugs. The present work focuses on design and development of 'chalcogenyl-based triazole coupled organosilane' that could selectively detect neurotoxic Aluminium ion. The binding strength and ratio between the two was discovered from B-H plot and Job's plot method respectively from fluorescent studies. Further linear calibration curve was utilized to calculate the limit of detection (LOD). The possible binding site of chemosensor for Aluminium ion has been recognized from 1H NMR studies and DFT calculations. Molecular docking, a computational approach was used to scrutinize the synthesized 'chalcogenyl based triazole coupled organosilane' as whether it could inhibit the activity of acetylcholinesterase and thus be further examined as potent pharmacological drug in treatment of AD.</t>
  </si>
  <si>
    <t>[Singh, Gurjaspreet; Tamana, Anita; Devi, Anita; Saini, Anamika; Thakur, Yamini; Khurana, Sumesh; Sharma, Samiksha; Diskit, Tsering; Singh, K. N.] Panjab Univ, Dept Chem, Chandigarh 160014, India; [Singh, Gurjaspreet; Tamana, Anita] Panjab Univ, Dept Chem, Chandigarh, India; [Singh, Gurjaspreet; Tamana, Anita] Panjab Univ, Ctr Adv Studies, Chandigarh, India</t>
  </si>
  <si>
    <t>Panjab University; Panjab University; Panjab University</t>
  </si>
  <si>
    <t>Singh, G; Tamana (corresponding author), Panjab Univ, Dept Chem, Chandigarh, India.;Singh, G; Tamana (corresponding author), Panjab Univ, Ctr Adv Studies, Chandigarh, India.</t>
  </si>
  <si>
    <t>gjpsingh@pu.ac.in; tamanamadaan23@gmail.com</t>
  </si>
  <si>
    <t>Singh, Gurjaspreet/L-8695-2016</t>
  </si>
  <si>
    <t>Singh, Gurjaspreet/0000-0002-8627-420X</t>
  </si>
  <si>
    <t>10.1016/j.dyepig.2023.111537</t>
  </si>
  <si>
    <t>O5MP5</t>
  </si>
  <si>
    <t>WOS:001044252400001</t>
  </si>
  <si>
    <t>Singh, S; Naithani, A; Kandari, K; Roy, S; Sain, S; Roy, SS; Wadhwa, S; Tauseef, SM; Mathur, A</t>
  </si>
  <si>
    <t>Singh, Sonam; Naithani, Aparna; Kandari, Krish; Roy, Souradeep; Sain, Sourav; Roy, Susanta Sinha; Wadhwa, Shikha; Tauseef, Syed Mohammad; Mathur, Ashish</t>
  </si>
  <si>
    <t>Oxygenated graphitic carbon nitride based electrochemical sensor for dibenzofuran detection</t>
  </si>
  <si>
    <t>DIAMOND AND RELATED MATERIALS</t>
  </si>
  <si>
    <t>Dibenzofuran; Microplastics; Oxygen -doped graphitic carbon nitride (O; gCN); Environmental sensor; Electrochemical transduction</t>
  </si>
  <si>
    <t>DEGRADATION; DIOXYGENASE; OXIDATION; POLLUTION; FATE</t>
  </si>
  <si>
    <t>Dibenzofuran (DBF) is one of the carcinogenic species which is stamped among the 'pollutants of concern' by international environmental protection agencies. This tenacious Persistent, Bioaccumulate and Toxic (PBT) compound is generated as a result of industrial effluents, agricultural wastes, aqueous chlorination and by-products of various pharmaceutical processes. Prolonged exposure to DBF results in significant degradation of environment quality and human health, as it has a slower decomposition capability. Furthermore, there are no relevant technologies in the market which can efficiently detect the presence of DBF due to which numerous human lives are being lost because of its after-effects/complications. Thus, the development of an efficient sensor platform for the trace quantification of this highly toxic species is essential and of utmost requirement which then is the novelty of this work. The current study is focused on the development of an electroanalytical sensing platform, based on oxygenated graphitic carbon nitride (O-gCN) nanostructures, for the detection of DBF in water. The electroanalytical activity of O-gCN is studied using Electrochemical Impedance Spectroscopy (EIS) and Cyclic Voltammetry (CV). The developed sensor exhibited a Limit of Detection (LoD) of 1.58 pM, and is found to be selective in the presence of interferants with shelf life of 50 days; thereby demonstrating a huge potential to be translated towards on-field applications.</t>
  </si>
  <si>
    <t>[Singh, Sonam; Wadhwa, Shikha] Univ Petr &amp; Energy Studies UPES, Sch Adv Engn, Dept Chem, Dehra Dun 248007, India; [Naithani, Aparna] Amity Univ Uttar Pradesh, Amity Inst Appl Sci, Noida 201301, India; [Kandari, Krish; Tauseef, Syed Mohammad] Univ Petr &amp; Energy Studies, Sustainabil Cluster, Dehra Dun 248007, India; [Roy, Souradeep; Tauseef, Syed Mohammad; Mathur, Ashish] Univ Petr &amp; Energy Studies UPES, Ctr Interdisciplinary Res &amp; Innovat CIDRI, Dehra Dun 248007, India; [Roy, Souradeep] Univ Petr &amp; Energy Studies UPES, Sch Hlth Sci &amp; Technol, Dehra Dun 248007, India; [Sain, Sourav; Roy, Susanta Sinha] Shiv Nadar Inst Eminence SNIoE, Sch Nat Sci, Dept Phys, NH 91, Greater Noida 201314, Uttar Pradesh, India</t>
  </si>
  <si>
    <t>University of Petroleum &amp; Energy Studies (UPES); Amity University Noida; University of Petroleum &amp; Energy Studies (UPES); University of Petroleum &amp; Energy Studies (UPES); University of Petroleum &amp; Energy Studies (UPES)</t>
  </si>
  <si>
    <t>Wadhwa, S (corresponding author), Univ Petr &amp; Energy Studies UPES, Sch Adv Engn, Dept Chem, Dehra Dun 248007, India.;Tauseef, SM; Mathur, A (corresponding author), Univ Petr &amp; Energy Studies UPES, Ctr Interdisciplinary Res &amp; Innovat CIDRI, Dehra Dun 248007, India.</t>
  </si>
  <si>
    <t>shikha.wadhwa@ddn.upes.ac.in; smtauseef@ddn.upes.ac.in; ashish.mathur@ddn.upes.ac.in</t>
  </si>
  <si>
    <t>BIRAC grant [BIRAC/KIIT01161/BIG 17/20]; UPES [UPES/R&amp;D-SEED-INFRA/11032022/01]; Central Instrumentation Centre (CIC) at UPES</t>
  </si>
  <si>
    <t>BIRAC grant; UPES; Central Instrumentation Centre (CIC) at UPES</t>
  </si>
  <si>
    <t>AM and SR would like to acknowledge BIRAC grant BIRAC/KIIT01161/BIG 17/20. The authors would also like to acknowledge Green India flagship project initiated by UPES, Dehradun, India. This work aims to be a preliminary contribution towards the project. The authors also acknowledge the SEED infrastructure grant UPES/R &amp; amp;D-SEED-INFRA/11032022/01 provided by UPES, as well the Central Instrumentation Centre (CIC) at UPES for supporting and assisting in this research.</t>
  </si>
  <si>
    <t>0925-9635</t>
  </si>
  <si>
    <t>1879-0062</t>
  </si>
  <si>
    <t>DIAM RELAT MATER</t>
  </si>
  <si>
    <t>Diam. Relat. Mat.</t>
  </si>
  <si>
    <t>10.1016/j.diamond.2023.110276</t>
  </si>
  <si>
    <t>Materials Science, Multidisciplinary; Materials Science, Coatings &amp; Films; Physics, Applied; Physics, Condensed Matter</t>
  </si>
  <si>
    <t>Q7AP1</t>
  </si>
  <si>
    <t>WOS:001059015300001</t>
  </si>
  <si>
    <t>Skwarzec, B; Borylo, A; Wieczorek, J; Lanczewska, K</t>
  </si>
  <si>
    <t>Skwarzec, Bogdan; Borylo, Alicja; Wieczorek, Jaroslaw; Lanczewska, Klaudia</t>
  </si>
  <si>
    <t>Polonium on the 125th anniversary of its discovery: its chemistry, radiotoxicity and application</t>
  </si>
  <si>
    <t>JOURNAL OF ENVIRONMENTAL RADIOACTIVITY</t>
  </si>
  <si>
    <t>Polonium; Discovery</t>
  </si>
  <si>
    <t>The article recounts the discovery of the development of polonium chemistry. The development of its chemistry and the discovery of its properties and uses, both useful and criminal. In addition, it provides biographical details of its discoverers and the scientists who systematically uncovered its secrets.</t>
  </si>
  <si>
    <t>[Skwarzec, Bogdan; Borylo, Alicja; Wieczorek, Jaroslaw; Lanczewska, Klaudia] Dept Environm Chem &amp; Radiochem, Lab Environm Analyt &amp; Radiochem, Gdansk, Pomerania, Poland</t>
  </si>
  <si>
    <t>Borylo, A (corresponding author), Dept Environm Chem &amp; Radiochem, Lab Environm Analyt &amp; Radiochem, Gdansk, Pomerania, Poland.</t>
  </si>
  <si>
    <t>bogdan.skwarzec@ug.edu.pl; alicja.borylo@ug.edu.pl; jaroslaw.wieczorek@ug.edu.pl; lanczewskak@gmail.com</t>
  </si>
  <si>
    <t>Ministry of Higher Education of Poland [531-T030-D745-23]</t>
  </si>
  <si>
    <t>Ministry of Higher Education of Poland</t>
  </si>
  <si>
    <t>Funding Grant number: 531-T030-D745-23 Ministry of Higher Education of Poland.</t>
  </si>
  <si>
    <t>0265-931X</t>
  </si>
  <si>
    <t>1879-1700</t>
  </si>
  <si>
    <t>J ENVIRON RADIOACTIV</t>
  </si>
  <si>
    <t>J. Environ. Radioact.</t>
  </si>
  <si>
    <t>10.1016/j.jenvrad.2023.107259</t>
  </si>
  <si>
    <t>P3JT3</t>
  </si>
  <si>
    <t>WOS:001049644800001</t>
  </si>
  <si>
    <t>Song, T; Zhu, WX; Su, SB; Wang, WW</t>
  </si>
  <si>
    <t>Song, Tao; Zhu, Wen-Xing; Su, Shi-Bin; Wang, Wen-Wen</t>
  </si>
  <si>
    <t>Distributed End-Edge-Cloudstructural car-following control system for intelligent connected vehicle using sliding mode strategy</t>
  </si>
  <si>
    <t>End-Edge-Cloudcar-following model; Intelligent connected vehicle; Dynamic performance analysis; Slide mode control</t>
  </si>
  <si>
    <t>DRIVERS BOUNDED RATIONALITY; TRAFFIC FLOW; AUTOMATED VEHICLES</t>
  </si>
  <si>
    <t>This paper proposes a new car-following model to describe the characteristics of the urban Internet of vehicle (IoV) of the End-Edge-Cloudarchitecture. The stability of the proposed CF model is analyzed using the perturbation method. Furtherly, in order to overcome the disturbances in the operation of the newly proposed system in this paper, a sliding mode controller is designed based on non-homogeneous terminal sliding mode variables, and after setting up the controller, the dynamic performance of the system is analyzed by solving the linear inhomogeneous differential equation and the Lyapunov method, and it is proved that the system can converge in finite time. Finally, the rationality of the model proposed in this paper and the significant improvement in the dynamic performance of the system under the action of the controller are effectively demonstrated through numerical experiments conducted in MATLAB and simulation experiment carried out in the ROS-Gazebo environment.&amp; COPY; 2023 Elsevier B.V. All rights reserved.</t>
  </si>
  <si>
    <t>[Song, Tao; Zhu, Wen-Xing] Shandong Univ, Sch Control Sci &amp; Engn, Jinan 250061, Peoples R China; [Su, Shi-Bin; Wang, Wen-Wen] Qingdao Hisense Network Technol Co Ltd, Qingdao 266075, Peoples R China</t>
  </si>
  <si>
    <t>Shandong University</t>
  </si>
  <si>
    <t>Zhu, WX (corresponding author), Shandong Univ, Sch Control Sci &amp; Engn, Jinan 250061, Peoples R China.</t>
  </si>
  <si>
    <t>zhuwenxing@sdu.edu.cn</t>
  </si>
  <si>
    <t>Industry University Research Innovation Fund of Science and Technology Development Center of the Ministry of Education, China [2019TSLH0203]; Major Technology Innovation Projects of Shandong Province, China [2020YFB1600501]; National Key Research and Development Program of China; [2021JQR007]</t>
  </si>
  <si>
    <t>Industry University Research Innovation Fund of Science and Technology Development Center of the Ministry of Education, China; Major Technology Innovation Projects of Shandong Province, China; National Key Research and Development Program of China;</t>
  </si>
  <si>
    <t>This work is supported by the Industry University Research Innovation Fund of Science and Technology Development Center of the Ministry of Education, China (Grant No. 2021JQR007) , Major Technology Innovation Projects of Shandong Province, China (Grant No. 2019TSLH0203) and the National Key Research and Development Program of China (Grant No. 2020YFB1600501) .</t>
  </si>
  <si>
    <t>10.1016/j.cnsns.2023.107468</t>
  </si>
  <si>
    <t>Q1KD0</t>
  </si>
  <si>
    <t>WOS:001055165500001</t>
  </si>
  <si>
    <t>Subramanian, N; Madejski, P</t>
  </si>
  <si>
    <t>Subramanian, Navaneethan; Madejski, Pawel</t>
  </si>
  <si>
    <t>Analysis of CO2 capture process from flue-gases in combined cycle gas turbine power plant using post-combustion capture technology</t>
  </si>
  <si>
    <t>Combined cycle gas turbine; Heat recovery steam generator; Carbon capture and storage; Post-combustion CO2 capture; Negative CO2 emission; Syngas</t>
  </si>
  <si>
    <t>CARBON CAPTURE; BOUNDARY DAM; OPTIMIZATION; ABSORPTION; SIMULATION; REMOVAL; LEVEL; MODEL; PLUS; MEA</t>
  </si>
  <si>
    <t>Combined cycle gas turbine power plants (CCGTs) are a combined cycle consisting of a gas turbine and a steam turbine to generate electricity. Sometimes CCGTs incorporate cogeneration to produce both heat and power. After the gas fuel combustion in the gas turbine combustion chamber, the flue gases are passed through the Heat Recovery Steam Generator (HRSG) to extract heat and generate additional electrical power using the steam turbine. The CCGT technology is recognized for its highest efficiency of 58% in electricity production among the power production technology. A highly efficient CCGT power plant with 60% efficiency produces even 2.5 times less CO2 than a modern coal power plant with an efficiency of 45% because of the use of gas fuel and electrical efficiency. The CO2 emission can be reduced further when the post-combustion CO2 capture methods are applied. To perform CO2 capture and to reduce the CO2 emission from power plants, the CO2 mass fraction in flue gas is the crucial parameter for the operation of the Post-combustion Carbon Capture and Storage (PCCS) technology. The PCCS technology uses solvents, which is the aqueous solution of amine that reacts with flue gas and absorbs the CO2, which is treated and separated later. The paper presents the results of the energy analysis of a postcombustion carbon capture process when integrated with a combined cycle gas power plant. The study considered two different gas fuels such as methane and syngas. Syngas composition was determined from the sewage sludge gasification process and can be treated as zero-emission CO2 gas fuel. When the flue gas produced from the syngas is used in PCCS at more than 50% of load conditions, the negative CO2 emission level in largescale CCGT power plants can be reached. The paper presents the results of mass and energy balance analysis of HRSG of a CCGT integrated with PCCS to perform CO2 capture. The analysis of HRSG using flue gases from methane and syngas is performed by calculating the enthalpy of flue gas, rate of heat exchange, and temperature distribution of each component of HRSG. The comparison of the result shows slight differences due to the different composition and flow rates of flue gases. The flue gas at the outlet of two HRSG is used in the PCCS at different load conditions. An aqueous solution of 30 wt% Monoethanolamine (MEA) with rich loading of 0.5 molCO2/mol-MEA and a mixture of 16 wt% 2-amino-2-methyl-1-propanol (AMP) - 14 wt% Piperazine (PZ) with rich loading of 0.62 and 0.86 mol-CO2/mol-amine respectively are used in the PCCS. Due to the reboiler duty of amines, the steam consumed by the PCCS for AMP-PZ regeneration is less compared to MEA. Depending upon the flue gas and solvent used in the PCCS, the power consumed by the PCCS from CCGT power plant is measured from 9.6% to 11.6%. For the given operating condition of the CCGT and PCCS at more than 50% load condition, the negative CO2 emission level can be achieved.</t>
  </si>
  <si>
    <t>[Subramanian, Navaneethan; Madejski, Pawel] AGH Univ Sci &amp; Technol, Fac Mech Engn &amp; Robot, Al Mickiewicza 30, PL-30059 Krakow, Poland</t>
  </si>
  <si>
    <t>AGH University of Krakow</t>
  </si>
  <si>
    <t>Subramanian, N (corresponding author), AGH Univ Sci &amp; Technol, Fac Mech Engn &amp; Robot, Al Mickiewicza 30, PL-30059 Krakow, Poland.</t>
  </si>
  <si>
    <t>subraman@agh.edu.pl</t>
  </si>
  <si>
    <t>; Madejski, Pawel/S-1294-2018</t>
  </si>
  <si>
    <t>Subramanian, Navaneethan/0000-0002-5776-4947; Madejski, Pawel/0000-0002-9097-679X</t>
  </si>
  <si>
    <t>National Center for Research and Development in Poland [2014-2021]; program Applied research under the Norwegian Financial Mechanisms</t>
  </si>
  <si>
    <t>National Center for Research and Development in Poland; program Applied research under the Norwegian Financial Mechanisms</t>
  </si>
  <si>
    <t>The research leading to these results has received funding from the Norway Grants 2014-2021 via the National Center for Research and Development in Poland. Article has been prepared within the frame ofthe project: Negative CO2 emission gas power plant-NOR/POL-NORCCS/NEGATIVE-CO2-PP/0009/2019-00 which is co-financed by program Applied research under the Norwegian Financial Mechanisms 2014-2021 POLNOR CCS 2019-Development of CO2 capture solutions integrated in power and industry processes.</t>
  </si>
  <si>
    <t>10.1016/j.energy.2023.128311</t>
  </si>
  <si>
    <t>O8RQ1</t>
  </si>
  <si>
    <t>WOS:001046436300001</t>
  </si>
  <si>
    <t>Sun, JX; Zhang, L; Huang, YF; Chen, BS; Zhou, JT; Liu, WS; Ma, YZ</t>
  </si>
  <si>
    <t>Sun, Jingxuan; Zhang, Lei; Huang, Yufeng; Chen, Baishan; Zhou, Jiatao; Liu, Wensheng; Ma, Yunzhu</t>
  </si>
  <si>
    <t>Strain hardening rate and strain rate sensitivity behavior of bcc/ fcc-dual-phase tungsten heavy alloy</t>
  </si>
  <si>
    <t>INTERNATIONAL JOURNAL OF REFRACTORY METALS &amp; HARD MATERIALS</t>
  </si>
  <si>
    <t>90W-7Ni-3Fe alloy; Heterogeneous biphasic alloy; Strain hardening rate; Strain rate sensitivity</t>
  </si>
  <si>
    <t>COMPRESSIVE DEFORMATION-BEHAVIOR; GRAIN-SIZE DEPENDENCE; DISLOCATION MOBILITY; SCREW DISLOCATIONS; MICROSTRUCTURE; PLASTICITY; FLOW; ORIENTATION; MECHANISMS; EVOLUTION</t>
  </si>
  <si>
    <t>90W-7Ni-3Fe alloy is a heterogeneous biphasic alloy, and it is essential to investigate the impact of the biphasic microstructure on key mechanical properties at varying strain rates. To address this issue, the quasi-static and dynamic compressive mechanical properties of dual-phase 90W-7Ni-3Fe alloy, single-phase pure W, and single -phase NiFe alloy were comparatively analyzed in conjunction with characterization analysis. The results indicate that the flow stress, strain hardening rate (SHR), and strain rate sensitivity (SRS) of the 90W-7Ni-3Fe alloy at various strain rates are mainly due to the involvement of W particles during the initial strain, although the overall plastic deformation of the alloy is attributed to the continuous coordinated deformation of the W particles with &amp; gamma;-(Ni, Fe) phases in various regions. In addition, the compressed W phase shows a typical (111) and (100) BCC compression texture and the compressed &amp; gamma;-(Ni, Fe) phase shows a typical (110) FCC compression texture, both with high Schmidt factors. These characteristics are essential for slip transfer and strain transfer from the &amp; gamma;-(Ni, Fe) phase to the W phase. Notably, the increased number of slip systems at high strain rates makes them more susceptible to both types of transfer, resulting in higher flow stress, SHR, and SRS during initial deformation.</t>
  </si>
  <si>
    <t>[Sun, Jingxuan; Zhang, Lei; Huang, Yufeng; Zhou, Jiatao; Liu, Wensheng; Ma, Yunzhu] Cent South Univ, Natl Key Lab Sci &amp; Technol High Strength Struct Ma, Changsha 410083, Peoples R China; [Chen, Baishan] Cent South Univ, Inst Adv Study, Changsha 410083, Peoples R China</t>
  </si>
  <si>
    <t>Central South University; Central South University</t>
  </si>
  <si>
    <t>Huang, YF; Ma, YZ (corresponding author), Cent South Univ, Natl Key Lab Sci &amp; Technol High Strength Struct Ma, Changsha 410083, Peoples R China.</t>
  </si>
  <si>
    <t>huangyufeng@csu.edu.cn; zhuzipm@csu.edu.cn</t>
  </si>
  <si>
    <t>National Natural Science Foundation of China; [51931012]</t>
  </si>
  <si>
    <t>The support from the National Natural Science Foundation of China (Grant No. 51931012) is gratefully acknowledged. The support of the Hunan Center for Electron Microscopy, Changsha 410083 is gratefully acknowledged.</t>
  </si>
  <si>
    <t>0263-4368</t>
  </si>
  <si>
    <t>2213-3917</t>
  </si>
  <si>
    <t>INT J REFRACT MET H</t>
  </si>
  <si>
    <t>Int. J. Refract. Met. Hard Mat.</t>
  </si>
  <si>
    <t>10.1016/j.ijrmhm.2023.106363</t>
  </si>
  <si>
    <t>Materials Science, Multidisciplinary; Metallurgy &amp; Metallurgical Engineering</t>
  </si>
  <si>
    <t>Materials Science; Metallurgy &amp; Metallurgical Engineering</t>
  </si>
  <si>
    <t>Q5ED0</t>
  </si>
  <si>
    <t>WOS:001057739700001</t>
  </si>
  <si>
    <t>Sun, ZR; Shi, CG; Xiao, XK; Luo, XC; Xia, ZQ; Yin, Q</t>
  </si>
  <si>
    <t>Sun, Zerui; Shi, Changgen; Xiao, Xinke; Luo, Xuchuan; Xia, Zhiqun; Yin, Qin</t>
  </si>
  <si>
    <t>Investigation of mechanical behavior, constitutive modeling, and fracture criteria for as-cast Al0.3CoCrFeNi high entropy alloy</t>
  </si>
  <si>
    <t>INTERMETALLICS</t>
  </si>
  <si>
    <t>High entropy alloy; Mechanical behaviour; Constitutive model; Failure criterion</t>
  </si>
  <si>
    <t>STRAIN-RATE SENSITIVITY; THERMOMECHANICAL RESPONSE; STRESS TRIAXIALITY; TITANIUM-ALLOY; DEFORMATION; RATES; MICROSTRUCTURE; TEMPERATURE; DEPENDENCE; STRENGTH</t>
  </si>
  <si>
    <t>High entropy alloys (HEAs) have garnered significant attention in recent years, primarily focusing on alloying design and thermal processing. The objective of this study was to investigate the mechanical response of Al0.3CoCrFeNi, a representative HEA, under various stress states, temperatures, and strain rates, aiming to establish its constitutive equation and fracture criteria. Employing a hybrid FEM/EX approach, the constitutive behaviour of the alloy was characterized using the modified Johnson-Cook (MJC) model, while the fracture properties were assessed using the Hosford-Coulomb (HC) equation. Experimental findings highlighted the remarkable tensile strength (578.1 MPa) and ductility (69%) of the as-cast Al0.3CoCrFeNi at room temperature. However, at elevated temperatures ranging from 400 degrees C to 650 degrees C, a reduction in ductility was observed, accompanied by serration behaviour. Notably, precipitation hardening was detected at 800 degrees C, indicative of strengthening through precipitate formation. Additionally, Al0.3CoCrFeNi exhibited significant strain rate sensitivity and a positive strain rate effect, emphasizing its dynamic response under different loading conditions. The accuracy of the constitutive model and fracture criteria was validated through the examination of deformation and fracture modes in Taylor impact tests. The MJC model demonstrated predictions within a 10% deviation from experimental data, while the HC fracture criterion, accounting for stress triaxiality and Lode parameters, effectively predicted shear fracture in the projectiles. Crack formation in the projectiles resulted from a combination of tension and shear, followed by propagation at a 45 degrees angle under combined compression and shear loading. This comprehensive study enhances understanding of the mechanical properties of Al0.3CoCrFeNi, providing valuable insights for its application in engineering, particularly in impact protection.</t>
  </si>
  <si>
    <t>[Sun, Zerui; Shi, Changgen; Luo, Xuchuan; Xia, Zhiqun; Yin, Qin] PLA Army Engn Univ, Nanjing 210007, Peoples R China; [Xiao, Xinke] Nanyang Inst Technol, Henan Int Joint Lab Dynam Impact &amp; Disaster Engn S, 80 Changjiang Rd, Nanyang 473004, Peoples R China; [Shi, Changgen] PLA Army Engn Univ, Sch field Engn, Nanjing 210007, Peoples R China</t>
  </si>
  <si>
    <t>Army Engineering University of PLA; Nanyang Institute of Technology; Army Engineering University of PLA</t>
  </si>
  <si>
    <t>Xiao, XK (corresponding author), Nanyang Inst Technol, Henan Int Joint Lab Dynam Impact &amp; Disaster Engn S, 80 Changjiang Rd, Nanyang 473004, Peoples R China.;Shi, CG (corresponding author), PLA Army Engn Univ, Sch field Engn, Nanjing 210007, Peoples R China.</t>
  </si>
  <si>
    <t>shichanggen71@sina.com; xiaoxinke@foxmail.com</t>
  </si>
  <si>
    <t>National Natural Science Foundation of China [51541112]; Natural Science Foundation of Jiangsu Province [BK20211232]</t>
  </si>
  <si>
    <t>National Natural Science Foundation of China(National Natural Science Foundation of China (NSFC)); Natural Science Foundation of Jiangsu Province(Natural Science Foundation of Jiangsu Province)</t>
  </si>
  <si>
    <t>This work was supported by the National Natural Science Foundation of China [grant number 51541112] , and the Natural Science Foundation of Jiangsu Province [grant number BK20211232] .</t>
  </si>
  <si>
    <t>0966-9795</t>
  </si>
  <si>
    <t>1879-0216</t>
  </si>
  <si>
    <t>Intermetallics</t>
  </si>
  <si>
    <t>10.1016/j.intermet.2023.108029</t>
  </si>
  <si>
    <t>R5LM0</t>
  </si>
  <si>
    <t>WOS:001064764900001</t>
  </si>
  <si>
    <t>Supraja, KV; Kachroo, H; Viswanathan, G; Verma, VK; Behera, B; Doddapaneni, TRKC; Kaushal, P; Ahammad, SZ; Singh, V; Awasthi, MK; Jain, R</t>
  </si>
  <si>
    <t>Supraja, Kolli Venkata; Kachroo, Himanshu; Viswanathan, Gayatri; Verma, Vishal Kumar; Behera, Bunushree; Doddapaneni, Tharaka Rama Krishna C.; Kaushal, Priyanka; Ahammad, Sk. Ziauddin; Singh, Vijai; Awasthi, Mukesh Kumar; Jain, Rohan</t>
  </si>
  <si>
    <t>Biochar production and its environmental applications: Recent developments and machine learning insights</t>
  </si>
  <si>
    <t>Biochar; Machine learning; Thermochemical processes; Techno-economics; Environmental sustainability</t>
  </si>
  <si>
    <t>BIOMASS GASIFICATION; MICROWAVE PYROLYSIS; ENGINEERED BIOCHAR; ECONOMIC-ANALYSIS; MICROALGAE; REMOVAL; CARBON; TECHNOLOGIES; ADSORPTION; AMENDMENTS</t>
  </si>
  <si>
    <t>Biochar production through thermochemical processing is a sustainable biomass conversion and waste management approach. However, commercializing biochar faces challenges requiring further research and development to maximize its potential for addressing environmental concerns and promoting sustainable resource management. This comprehensive review presents the state-of-the-art in biochar production, emphasizing quantitative yield and qualitative properties with varying feedstocks. It discusses the technology readiness level and commercialization status of different production strategies, highlighting their environmental and economic impacts. The review focuses on integrating machine learning algorithms for process control and optimization in biochar production, improving efficiency. Additionally, it explores biochar's environmental applications, including soil amendment, carbon sequestration, and wastewater treatment, showcasing recent advancements and case studies. Advances in biochar technologies and their environmental benefits in various sectors are discussed herein.</t>
  </si>
  <si>
    <t>[Supraja, Kolli Venkata; Verma, Vishal Kumar; Ahammad, Sk. Ziauddin] Indian Inst Technol Delhi, Dept Biochem Engn &amp; Biotechnol, Waste Treatment Lab, New Delhi 110016, India; [Kachroo, Himanshu; Viswanathan, Gayatri] Indian Inst Technol Delhi, Sch Interdisciplinary Res SIRe, New Delhi 110016, India; [Behera, Bunushree] Thapar Inst Engn &amp; Technol, Dept Biotechnol, Bioproc Lab, Patiala 147004, Punjab, India; [Doddapaneni, Tharaka Rama Krishna C.] Estonian Univ Life Sci, Inst Forestry &amp; Engn, Chair Biosyst Engn, Kreutzwaldi 56, EE-51014 Tartu, Estonia; [Kaushal, Priyanka] Indian Inst Technol Delhi, Ctr Rural Dev &amp; Technol, New Delhi 110016, India; [Singh, Vijai] Indrashil Univ, Sch Sci, Dept Biosci, Rajpur 382715, India; [Awasthi, Mukesh Kumar] Northwest A&amp;F Univ, Coll Nat Resources &amp; Environm, Yangling 712100, Peoples R China; [Jain, Rohan] Helmholtz Zent Dresden Rossendorf, Helmholtz Inst Freiberg Resource Technol, Bautzner landstr 400, D-01328 Dresden, Germany</t>
  </si>
  <si>
    <t>Indian Institute of Technology System (IIT System); Indian Institute of Technology (IIT) - Delhi; Indian Institute of Technology System (IIT System); Indian Institute of Technology (IIT) - Delhi; Thapar Institute of Engineering &amp; Technology; Estonian University of Life Sciences; Indian Institute of Technology System (IIT System); Indian Institute of Technology (IIT) - Delhi; Northwest A&amp;F University - China; Helmholtz Association; Helmholtz-Zentrum Dresden-Rossendorf (HZDR)</t>
  </si>
  <si>
    <t>Jain, R (corresponding author), Helmholtz Zent Dresden Rossendorf, Helmholtz Inst Freiberg Resource Technol, Bautzner landstr 400, D-01328 Dresden, Germany.</t>
  </si>
  <si>
    <t>r.jain@hzdr.de</t>
  </si>
  <si>
    <t>Doddapaneni, Tharaka Rama K C/ABE-9942-2020</t>
  </si>
  <si>
    <t>Doddapaneni, Tharaka Rama K C/0000-0001-8059-7852; Behera, Bunushree/0000-0003-3326-6158; Kachroo, Himanshu/0000-0001-5847-2148; Singh, Vijai/0000-0002-6394-4370</t>
  </si>
  <si>
    <t>Kolli Venkata Supraja thank Ministry of Education, Govt. of India [1401210]; MHRD fellowships; Department of Science &amp; Technology, India [DST/TDT/ WMT/AG WASTE/2021/14(6)]; Estonian Research Council (ETAG) [RESTA5]</t>
  </si>
  <si>
    <t>Kolli Venkata Supraja thank Ministry of Education, Govt. of India; MHRD fellowships; Department of Science &amp; Technology, India(Department of Science &amp; Technology (India)); Estonian Research Council (ETAG)</t>
  </si>
  <si>
    <t>Kolli Venkata Supraja thank Ministry of Education, Govt. of India for the Prime Minister's Research Fellowship (PMRF ID: 1401210) to support her doctoral research. Himanshu Kachroo and Gayatri Viswanathan acknowledges MHRD fellowships and the Department of Science &amp; Technology, India for providing financial support (File No. DST/TDT/ WMT/AG WASTE/2021/14(6)). Tharaka Rama Krishna C. Doddapaneni acknowledges Estonian Research Council (ETAG) for the project funding provided under ResTA program grant agreement No RESTA5.</t>
  </si>
  <si>
    <t>10.1016/j.biortech.2023.129634</t>
  </si>
  <si>
    <t>R1BE6</t>
  </si>
  <si>
    <t>WOS:001061754800001</t>
  </si>
  <si>
    <t>Tang, JY; Chen, XR; Zhang, HA; Tian, Y; Zhang, WW; Jiang, SY; Deng, ZQ</t>
  </si>
  <si>
    <t>Tang, Junyue; Chen, Xiren; Zhang, Hongan; Tian, Ye; Zhang, Weiwei; Jiang, Shengyuan; Deng, Zongquan</t>
  </si>
  <si>
    <t>Soil flowing characteristics during flexible tube coring for lunar exploration: Modeling and verification</t>
  </si>
  <si>
    <t>Lunar regolith; Flexible tube coring; Flowing characteristics; Coring ratio</t>
  </si>
  <si>
    <t>STRESSES; DRILL</t>
  </si>
  <si>
    <t>Obtaining planetary soil samples and returning them to the Earth is the most effective solution to detect the distribution and reserves of planetary resources. In order to maintain the stratification and a high coring ratio of soil samples during the sampling process, China National Space Administration adopted a flexible tube coring (FTC) method for the upcoming Chang'e-6 mission. In this paper, the lunar regolith FTC characteristics, coupled with its spiral debris discharge were modeled. Orthogonal experiments were carried out with different drilling parameters using the prepared high-density lunar regolith simulant. The results show that the coring height and coring ratio are greatly determined by the penetration per revolution (PPR) index. The lunar regolith simulant's coring ratio was as high as 90% when the PPR was optimized. The physical and mechanical parameters of artificial lunar regolith were characterized with respect to the PPR index as well as the dynamic flowing of the internal core, with a resulting accurately tuned coring ratio prediction model. Furthermore, the drilling load analysis can be applied to the optimization of drilling parameters employed by Chang'e-6 when collecting lunar regolith.</t>
  </si>
  <si>
    <t>[Tang, Junyue; Chen, Xiren; Tian, Ye; Zhang, Weiwei; Jiang, Shengyuan; Deng, Zongquan] Harbin Inst Technol, State Key Lab Robot &amp; Syst, 92 Xidazhi St, Harbin 150001, Peoples R China; [Zhang, Hongan] Yanshan Univ, Coll Mech Engn, 438 Hebei St, Qinhuangdao 066004, Peoples R China</t>
  </si>
  <si>
    <t>Harbin Institute of Technology; Yanshan University</t>
  </si>
  <si>
    <t>Tang, JY (corresponding author), Harbin Inst Technol, State Key Lab Robot &amp; Syst, 92 Xidazhi St, Harbin 150001, Peoples R China.</t>
  </si>
  <si>
    <t>tangjunyue@hit.edu.cn</t>
  </si>
  <si>
    <t>National Natural Science Foundation of China [52105549, U2013603]; China Postdoctoral Science Foundation [2021M690828]; Heilongjiang Postdoctoral Grant [LBH-Z20145]; Self Planned Task of State Key Laboratory of Robotics and System (HIT) [SKLRS202113B]</t>
  </si>
  <si>
    <t>National Natural Science Foundation of China(National Natural Science Foundation of China (NSFC)); China Postdoctoral Science Foundation(China Postdoctoral Science Foundation); Heilongjiang Postdoctoral Grant; Self Planned Task of State Key Laboratory of Robotics and System (HIT)</t>
  </si>
  <si>
    <t>The authors thank the support by National Natural Science Foundation of China (52105549, U2013603), China Postdoctoral Science Foundation (No. 2021M690828), Heilongjiang Postdoctoral Grant (No. LBH-Z20145), and Self Planned Task (No. SKLRS202113B) of State Key Laboratory of Robotics and System (HIT).</t>
  </si>
  <si>
    <t>10.1016/j.actaastro.2023.07.041</t>
  </si>
  <si>
    <t>R5XF5</t>
  </si>
  <si>
    <t>WOS:001065074300001</t>
  </si>
  <si>
    <t>Tang, L; Wang, LY; Jin, F; Hao, YH; Zhao, TM; Zheng, WX; He, ZY</t>
  </si>
  <si>
    <t>Tang, Ling; Wang, Liyuan; Jin, Feng; Hao, Yuehan; Zhao, Tianming; Zheng, Wenxu; He, Zhiyi</t>
  </si>
  <si>
    <t>Inflammatory regulation by restraining M2 microglial polarization: Neurodestructive effects of Kallikrein-related peptidase 8 activation in intracerebral hemorrhage</t>
  </si>
  <si>
    <t>INTERNATIONAL IMMUNOPHARMACOLOGY</t>
  </si>
  <si>
    <t>KLK8; ICH; Neuroinflammation; Microglial; CCR5/PKA/CREB; CCL14</t>
  </si>
  <si>
    <t>BV2 MICROGLIA; BRAIN; NEUROPSIN; PROTEASE; EXPRESSION; INJURY; OLIGODENDROCYTES; INVOLVEMENT; PROGRESS; DEATH</t>
  </si>
  <si>
    <t>Intracerebral hemorrhage (ICH) is a cerebrovascular disease. Kallikrein-related peptidase 8 (KLK8) is a serine peptidase, while its role in ICH remains unclarified. Western blot (WB) showed that KLK8 was upregulated in rat perihematomal tissues 24 h following autologous blood injection. KLK8 overexpression aggravated behavioral deficits and increased water content and Fluoro-Jade B (FJB)-positive neuron numbers in brain tissue of rats. Immunofluorescence (IF) assay showed that overexpressed-KLK8 promoted Iba-1 and iNOS expression in perihematomal tissue of rats. Overexpressed-KLK8 increased COX-2, iNOS, and Arg-1 expression and the content of IL-6, IL-1 &amp; beta;, and TNF-&amp; alpha; in perihematomal tissue of rats, confirmed by WB and ELISA. IF staining confirmed the expression of CCR5 was co-expressed with Iba-1, and the WB results shown increased CCR5 expression and decreased p-PKA and p-CREB expression in perihematomal tissue. Maraviroc (MVC, CCR5 inhibitor) administration rescued KLK8-induced behavioral deficits and brain injury (decreased water content and FJB-positive neuron numbers) in rats. Additionally, MVC suppressed p-PKA and p-CREB expression and the content of IL-6, IL-1 &amp; beta;, and TNF-&amp; alpha; in perihematomal tissue, induced by overexpressed-KLK8. Co-IP confirmed the binding of CCR5 and CCL14 in HMC3 cells. Transwell assay shown that KLK8 plus CCL4 promoted the chemotactic activity of cells, which was rescued by MVC. The biological function of KLK8/CCL14/CCR5 axis in ICH injury was also proved by MVC administration in HMC3 cells. Overall, our work revealed that KLK8 overexpression aggravated ICH process and involved in microglial activation. KLK8 might activate CCL14 thereby turning on downstream CCR5/PKA/CREB pathway, providing a theoretical basis for future therapy.</t>
  </si>
  <si>
    <t>[Tang, Ling; Wang, Liyuan; Jin, Feng; Hao, Yuehan; Zhao, Tianming; He, Zhiyi] China Med Univ, Hosp 1, Dept Neurol, Shenyang, Liaoning, Peoples R China; [Zheng, Wenxu] Dalian Friendship Hosp, Geriatr Dept, Dalian, Liaoning, Peoples R China</t>
  </si>
  <si>
    <t>China Medical University</t>
  </si>
  <si>
    <t>He, ZY (corresponding author), China Med Univ, Hosp 1, Dept Neurol, Shenyang, Liaoning, Peoples R China.;Zheng, WX (corresponding author), Dalian Friendship Hosp, Geriatr Dept, Dalian, Liaoning, Peoples R China.</t>
  </si>
  <si>
    <t>Zheng_wenxu@126.com; hezhiyi0301@sina.com</t>
  </si>
  <si>
    <t>National Natural Science Foundation of China [81971125]</t>
  </si>
  <si>
    <t>Funding This work was supported by the National Natural Science Foundation of China [Grant numbers 81971125] .</t>
  </si>
  <si>
    <t>1567-5769</t>
  </si>
  <si>
    <t>1878-1705</t>
  </si>
  <si>
    <t>INT IMMUNOPHARMACOL</t>
  </si>
  <si>
    <t>Int. Immunopharmacol.</t>
  </si>
  <si>
    <t>10.1016/j.intimp.2023.110855</t>
  </si>
  <si>
    <t>Immunology; Pharmacology &amp; Pharmacy</t>
  </si>
  <si>
    <t>S8LM2</t>
  </si>
  <si>
    <t>WOS:001073628000001</t>
  </si>
  <si>
    <t>Tang, XX; Liu, C; Wang, H; Sun, WW; Wang, Y</t>
  </si>
  <si>
    <t>Tang, Xuxu; Liu, Chao; Wang, Han; Sun, Weiwei; Wang, Yong</t>
  </si>
  <si>
    <t>Pristine metal-organic frameworks for next-generation batteries</t>
  </si>
  <si>
    <t>Metal -organic frameworks; Sodium -ion batteries; Potassium -ion batteries; Multivalent metal ion batteries; Lithium -sulfur batteries</t>
  </si>
  <si>
    <t>LITHIUM-SULFUR BATTERY; SODIUM-ION BATTERIES; LI-S BATTERIES; PRUSSIAN BLUE; CATHODE MATERIALS; NANOSTRUCTURED POTASSIUM; AROMATIC RINGS; MOF; STORAGE; SITES</t>
  </si>
  <si>
    <t>Li-ion batteries (LIBs) are meeting the emerging bottleneck originated from the low elemental abundance and high cost of lithium. Therefore, other energy-storage batteries beyond LIBs, including sodium-ion, potassium-ion, multivalent metal-ion, and lithium-sulfur batteries, have aroused great research interest and gradually become effective alternatives. But, the large ion radius of sodium/potassium ions and the dissolution effect of the formed polysulfides during cycling result in the higher demands imposed on the electrodes of sodium/potassium-ion and lithium-sulfur batteries. Originated from the uniform porosity and high surface area, infinite possibility of functionalization of ligands, pores and metal ions, chemical tunability and other special properties, the metal organic frameworks (MOFs) can furnish more possibilities and are directly explored as the electrodes to address these concerns besides MOFs derivatives. This review summarizes the synthesis and design strategies of pristine MOFs for direct electrode applications in sodium-ion, potassium-ion, multivalent metal-ion and lithium-sulfur batteries. Their applications as the solid-state electrolyte and the protective film or artificial solid electrolyte film for metal anode batteries are also discussed. Besides the illumination and comparison of various design principles for MOFs and related materials, the electrochemical energy-storage mechanism of specific MOFinvolved materials has also been discussed in details. In addition, prospects for developing pristine MOFbased materials and their direct applications as electrodes for next-generation batteries are also presented.</t>
  </si>
  <si>
    <t>[Tang, Xuxu; Liu, Chao; Wang, Han; Sun, Weiwei; Wang, Yong] Shanghai Univ, Sch Environm &amp; Chem Engn, 99 Shangda Rd, Shanghai 200444, Peoples R China</t>
  </si>
  <si>
    <t>Shanghai University</t>
  </si>
  <si>
    <t>Sun, WW; Wang, Y (corresponding author), Shanghai Univ, Sch Environm &amp; Chem Engn, 99 Shangda Rd, Shanghai 200444, Peoples R China.</t>
  </si>
  <si>
    <t>vivisun@shu.edu.cn; yongwang@shu.edu.cn</t>
  </si>
  <si>
    <t>Wang, Yong/B-1125-2012</t>
  </si>
  <si>
    <t>Wang, Yong/0000-0003-3489-7672</t>
  </si>
  <si>
    <t>National Natural Science Foundation of China [52073170]; Innovation Program of Shanghai Municipal Education Commission [2019-01-07-00-09- E00021]; Innovative research team of high -level local universities in Shanghai</t>
  </si>
  <si>
    <t>National Natural Science Foundation of China(National Natural Science Foundation of China (NSFC)); Innovation Program of Shanghai Municipal Education Commission(Innovation Program of Shanghai Municipal Education Commission); Innovative research team of high -level local universities in Shanghai</t>
  </si>
  <si>
    <t>Xuxu Tang and Chao Liu contributed equally to this work. We gratefully acknowledged for the financial supports from National Natural Science Foundation of China (52073170) , Innovation Program of Shanghai Municipal Education Commission (2019-01-07-00-09- E00021) and the Innovative research team of high -level local universities in Shanghai.</t>
  </si>
  <si>
    <t>10.1016/j.ccr.2023.215361</t>
  </si>
  <si>
    <t>P6LF2</t>
  </si>
  <si>
    <t>WOS:001051764300001</t>
  </si>
  <si>
    <t>Teixido-Orries, I; Molino, F; Gatius, F; Sanchis, V; Marin, S</t>
  </si>
  <si>
    <t>Teixido-Orries, Irene; Molino, Francisco; Gatius, Ferran; Sanchis, Vicente; Marin, Sonia</t>
  </si>
  <si>
    <t>Near-infrared hyperspectral imaging as a novel approach for T-2 and HT-2 toxins estimation in oat samples</t>
  </si>
  <si>
    <t>T-2 toxin; HT-2 toxin; Near-infrared; Hyperspectral imaging; Oat; Cereal sorting</t>
  </si>
  <si>
    <t>DEOXYNIVALENOL CONTAMINATION; SPECTROSCOPY; FOOD; PRODUCTS; KERNELS; QUALITY; GROWTH; WHEAT</t>
  </si>
  <si>
    <t>Oat and oat-based products are expected to present the highest levels of some Fusarium mycotoxins, such as T-2 and HT-2 toxins. The content of these trichothecenes has been increasing in oats in the last few years. Moreover, oat and oat-based products consumption is expanding, so it is even more relevant to control their mycotoxin content at the reception of the food and feed companies. Near-infrared hyperspectral imaging (NIR-HSI) is considered a promising technique for determining mycotoxins in cereals because it is quicker, cheaper and more sustainable than conventional techniques. However, it has never been used to assess T-2 and HT-2 toxins content. In the present study, NIR-HSI has been applied in 119 oat naturally contaminated samples to quantify T-2+HT-2 toxins and classify samples according to the EU indicative level for unprocessed oats (1000 &amp; mu;g/kg). Hyperspectral images were taken for unground and ground samples and the sum of T-2 and HT-2 toxins content was analysed by ELISA as the reference method. The data were pre-treated and analysed by multivariate tools, applying PLS regression for quantification and four classification models. The best-fitted T-2+HT-2 toxins prediction model was for unground samples and SNV plus 1st derivative pre-treatment (R2 = 0.64 and RMSECV = 157.80 &amp; mu;g/kg). The correlation between the predicted and observed T-2+HT-2 toxins values was 0.80, and the most characteristic wavelengths were 1038, 1110 and 1393 nm. The maximum classification accuracy was 94.1% for whole and milled samples according to the EU indicative level. These findings suggest that T-2 and HT-2 toxins detection by NIR-HSI is possible in oat grains, even if further investigations are needed.</t>
  </si>
  <si>
    <t>[Teixido-Orries, Irene; Molino, Francisco; Sanchis, Vicente; Marin, Sonia] Univ Lleida, CERCA Ctr, Dept Food Technol Engn &amp; Sci, Appl Mycol Unit,AGROTECNIO, Ave Rovira Roure 191, Lleida 25198, Spain; [Gatius, Ferran] Univ Lleida, Dept Chem, Ave Rovira Roure 191, Lleida 25198, Spain</t>
  </si>
  <si>
    <t>Universitat de Lleida; Universitat de Lleida</t>
  </si>
  <si>
    <t>Molino, F (corresponding author), Univ Lleida, CERCA Ctr, Dept Food Technol Engn &amp; Sci, Appl Mycol Unit,AGROTECNIO, Ave Rovira Roure 191, Lleida 25198, Spain.</t>
  </si>
  <si>
    <t>francisco.molino@udl.cat</t>
  </si>
  <si>
    <t>Molino, Francisco/AAD-3144-2020; Cortiella, Ferran Gatius/D-9184-2012</t>
  </si>
  <si>
    <t>Molino, Francisco/0000-0002-1286-3482; Cortiella, Ferran Gatius/0000-0002-1867-5319</t>
  </si>
  <si>
    <t>Spanish Ministry of Science and Innovation [FPU21/00073, PID 2020- 114836RB-I00, MCIN/AEI/10.13039/501100011033]</t>
  </si>
  <si>
    <t>Spanish Ministry of Science and Innovation(Spanish Government)</t>
  </si>
  <si>
    <t>This work was supported by the Spanish Ministry of Science and Innovation (predoctoral grant FPU21/00073 and Project PID 2020- 114836RB-I00 funded by MCIN/AEI/10.13039/501100011033) .</t>
  </si>
  <si>
    <t>10.1016/j.foodcont.2023.109952</t>
  </si>
  <si>
    <t>O8ZS1</t>
  </si>
  <si>
    <t>WOS:001046652400001</t>
  </si>
  <si>
    <t>Thomas, P; Pang, YF; Kelder, J</t>
  </si>
  <si>
    <t>Thomas, Peter; Pang, Yefei; Kelder, Jan</t>
  </si>
  <si>
    <t>Membrane progesterone receptors on the cell membrane: A review highlighting potential export motifs in mPRa regulating its trafficking to the cell surface</t>
  </si>
  <si>
    <t>mPR &amp; alpha;; Membrane progesterone receptor alpha; Membrane trafficking; Membrane topology; Export motif; Palmitoylation</t>
  </si>
  <si>
    <t>PROTEIN-COUPLED RECEPTORS; ENDOPLASMIC-RETICULUM; N-GLYCOSYLATION; HELIX 8; ALPHA; EXPRESSION; TRANSPORT; PALMITOYLATION; MATURATION; PGRMC1</t>
  </si>
  <si>
    <t>Substantial progress has been made in our understanding of the nongenomic actions, ligand binding, intracellular signaling pathways, and functions of membrane progesterone receptors (mPRs) in reproductive and nonreproductive tissues since their discovery 20 years ago. The five mPRs are members of the progestin adipoQ receptor (PAQR) family which also includes adiponectin receptors (AdipoRs). However, unlike AdipoRs, the 3-D structures of mPRs are unknown, and their structural characteristics remain poorly understood. The mechanisms regulating mPR functions and their trafficking to the cell surface have received little attention and have not been systematically reviewed. This paper summarizes some structural aspects of mPRs, including the ligand binding pocket of mPRa recently derived from homology modeling with AdipoRs, and the proposed topology of mPRs from the preponderance of positively charged amino acid residues in their intracellular domains. The mechanisms of trafficking membrane receptors to the cell surface are discussed, including the amino acid motifs involved with their export to the cell surface, the roles of adaptor proteins, and post-translational glycosylation and palmitoylation modifications that promote cell surface expression and retention. Evidence for similar mechanisms regulating the expression and functions of mPRs on the cell surface is discussed, including the identification of potential export motifs on mPRa required for its trafficking to the cell membrane. Collectively, these results have identified several potential mechanisms regulating the expression and functions of mPRs on the cell membrane for further investigation.</t>
  </si>
  <si>
    <t>[Thomas, Peter; Pang, Yefei] Univ Texas Austin, Marine Sci Inst, 750 Channel View Dr, Port Aransas, TX 78373 USA; [Kelder, Jan] Radboud Univ Nijmegen, Theoret &amp; Computat Chem, Heyendaalseweg 135, NL-6525 AJ Nijmegen, Netherlands; [Thomas, Peter] Univ Texas, Marine Sci Inst, 750 Channel View Dr, Port Aransas, TX 78373 USA; [Kelder, Jan] Beethovengaarde 97, NL-5344 CD Oss, Netherlands</t>
  </si>
  <si>
    <t>University of Texas System; University of Texas Austin; Radboud University Nijmegen; University of Texas System</t>
  </si>
  <si>
    <t>Thomas, P (corresponding author), Univ Texas, Marine Sci Inst, 750 Channel View Dr, Port Aransas, TX 78373 USA.</t>
  </si>
  <si>
    <t>peter.thomas@utexas.edu</t>
  </si>
  <si>
    <t>10.1016/j.steroids.2023.109295</t>
  </si>
  <si>
    <t>R2BB7</t>
  </si>
  <si>
    <t>WOS:001062433300001</t>
  </si>
  <si>
    <t>Tirkolaee, EB; Torkayesh, AE; Tavana, M; Goli, A; Simic, V; Ding, WP</t>
  </si>
  <si>
    <t>Tirkolaee, Erfan Babaee; Torkayesh, Ali Ebadi; Tavana, Madjid; Goli, Alireza; Simic, Vladimir; Ding, Weiping</t>
  </si>
  <si>
    <t>An integrated decision support framework for resilient vaccine supply chain network design</t>
  </si>
  <si>
    <t>Resilient supply chain; Vaccine distribution; Neutrosophic set; Robust optimization; Decision support system; NSGA-II</t>
  </si>
  <si>
    <t>RUNGE-KUTTA METHOD; SELECTION</t>
  </si>
  <si>
    <t>Designing resilient supply chain networks for vaccine development and distribution requires reliable and robust infrastructure. This stud develops a novel two-stage decision support framework for configuring multi-echelon Supply Chain Networks (SCNs), resilient supplier selection, and order allocation under uncertainty. Resilient supplier selection is done using a hybrid Multi-Criteria Decision-Making (MCDM) approach based on Best-Worst Method (BWM), Weighted Aggregated Sum Product Assessment (WASPAS), and Type-2 Neutrosophic Fuzzy Numbers (T2NN). A robust multi-objective optimization model is then built for order allocation considering resiliency scores, reliability of facilities, and uncertain supply and demand. The objectives are to minimize the total cost of SCN design, maximize the resiliency score, and maximize the reliability of SC, respectively. A Nondominated Sorting Genetic Algorithm II (NSGA-II) is developed to tackle the problem on large scales, tuned by the Taguchi design technique. The NSGA-II solution is compared to the &amp; epsilon;-constraint and Multi-objective Particle Swarm Optimization (MOPSO) solutions using test problems. We demonstrate the superiority of the suggested NSGA-II method over the two competing methods according to five performance metrics. A case study is then investigated to illustrate the applicability and effectiveness of the offered methodology for COVID-19 vaccine distribution in a developing country. It is revealed that the models and algorithms can treat the problem optimally, such that Germany is the main source (approximately 25.61%) while India does not contribute to the supply of vaccines.</t>
  </si>
  <si>
    <t>[Tirkolaee, Erfan Babaee] Istinye Univ, Dept Ind Engn, Istanbul, Turkiye; [Tirkolaee, Erfan Babaee] Yuan Ze Univ, Dept Ind Engn &amp; Management, Taoyuan City, Taiwan; [Torkayesh, Ali Ebadi] Rhein Westfal TH Aachen, Sch Business &amp; Econ, Aachen, Germany; [Tavana, Madjid] La Salle Univ, Business Syst &amp; Analyt Dept, Philadelphia, PA USA; [Tavana, Madjid] Univ Paderborn, Fac Business Adm &amp; Econ, Business Informat Syst Dept, Paderborn, Germany; [Goli, Alireza] Univ Isfahan, Dept Ind Engn &amp; Future Studies, Esfahan, Iran; [Simic, Vladimir] Univ Belgrade, Fac Transport &amp; Traff Engn, Belgrade, Serbia; [Ding, Weiping] Nantong Univ, Sch Informat Sci &amp; Technol, Nantong 226019, Peoples R China</t>
  </si>
  <si>
    <t>Istinye University; Yuan Ze University; RWTH Aachen University; La Salle University; University of Paderborn; University of Isfahan; University of Belgrade; Nantong University</t>
  </si>
  <si>
    <t>Tirkolaee, EB (corresponding author), Istinye Univ, Dept Ind Engn, Istanbul, Turkiye.;Ding, WP (corresponding author), Nantong Univ, Sch Informat Sci &amp; Technol, Nantong 226019, Peoples R China.</t>
  </si>
  <si>
    <t>erfan.babaee@istinye.edu.tr; ali.torkayesh@socecon.rwth-aachen.de; tavana@lasalle.edu; goli.a@eng.ui.ac.ir; vsima@sf.bg.ac.rs; dwp9988@163.com</t>
  </si>
  <si>
    <t>Simic, Vladimir/B-8837-2011; Tirkolaee, Erfan Babaee/U-3676-2017</t>
  </si>
  <si>
    <t>Simic, Vladimir/0000-0001-5709-3744; Tirkolaee, Erfan Babaee/0000-0003-1664-9210; Tavana, Madjid/0000-0003-2017-1723</t>
  </si>
  <si>
    <t>10.1016/j.engappai.2023.106945</t>
  </si>
  <si>
    <t>Q7IM5</t>
  </si>
  <si>
    <t>WOS:001059223300001</t>
  </si>
  <si>
    <t>Tonder, JDV; Venter, MP; Venter, G</t>
  </si>
  <si>
    <t>Tonder, John D. van; Venter, Martin P.; Venter, Gerhard</t>
  </si>
  <si>
    <t>A novel method for resolving non-unique solutions observed in fitting parameters to the Mooney Rivlin material model</t>
  </si>
  <si>
    <t>FINITE ELEMENTS IN ANALYSIS AND DESIGN</t>
  </si>
  <si>
    <t>Material characterisation; Mooney Rivlin; Inverse update method; Finite element method</t>
  </si>
  <si>
    <t>ELASTOPLASTIC PROPERTIES; INDENTATION</t>
  </si>
  <si>
    <t>The Finite Element Updating Method (FEMU) is routinely used to determine material model parameters that cannot be directly measured. Literature has identified that the inverse process results in local minima yielding solutions that are non-unique for a given load case when determining the parameters of a Mooney Rivlin material model. This non-uniqueness results in multiple sets of parameters for a given sample, generating identical behaviour for the test load case. However, significant errors can be witnessed when applying these material models to other load cases not used to characterise the material. This research shows that these non-unique parameter sets fall on flat plane-like regions in the design space, referred to as hyperplanes. This paper presents the discovery of these hyperplanes and how they can be applied to identify a single unique set of material parameters. These parameters correctly describe the material behaviour for load cases beyond those used for parametrisation. This paper concludes that the application of hyperplanes in the characterisation process successfully leads to identifying the correct set of material parameters with repeatable results.</t>
  </si>
  <si>
    <t>[Tonder, John D. van; Venter, Martin P.; Venter, Gerhard] Univ Stellenbosch, Dept Mech &amp; Mechatron Engn, Private Bag X1, ZA-7602 Stellenbosch, Western Cape, South Africa</t>
  </si>
  <si>
    <t>Tonder, JDV (corresponding author), Univ Stellenbosch, Dept Mech &amp; Mechatron Engn, Private Bag X1, ZA-7602 Stellenbosch, Western Cape, South Africa.</t>
  </si>
  <si>
    <t>johnvt@hotmail.co.za; mpventer@sun.ac.za; mpventer@sun.ac.za</t>
  </si>
  <si>
    <t>Venter, Martin/0000-0002-0238-0305</t>
  </si>
  <si>
    <t>National Research Foundation [PMDS22070431552]</t>
  </si>
  <si>
    <t>National Research Foundation</t>
  </si>
  <si>
    <t>The authors are grateful for the financial support provided for this work by the National Research Foundation (Grant No. PMDS22070431552) .~</t>
  </si>
  <si>
    <t>0168-874X</t>
  </si>
  <si>
    <t>1872-6925</t>
  </si>
  <si>
    <t>FINITE ELEM ANAL DES</t>
  </si>
  <si>
    <t>Finite Elem. Anal. Des.</t>
  </si>
  <si>
    <t>10.1016/j.finel.2023.104006</t>
  </si>
  <si>
    <t>Mathematics, Applied; Mechanics</t>
  </si>
  <si>
    <t>Mathematics; Mechanics</t>
  </si>
  <si>
    <t>Q7OP2</t>
  </si>
  <si>
    <t>WOS:001059383700001</t>
  </si>
  <si>
    <t>Towner, TT; Goyden, MA; Coleman, HJ; Drumm, MK; Ritchie, IP; Lieb, KR; Varlinskaya, EI; Werner, DF</t>
  </si>
  <si>
    <t>Towner, Trevor T.; Goyden, Matthew A.; Coleman, Harper J.; Drumm, Mary K.; Ritchie, Isabella P.; Lieb, Kayla R.; Varlinskaya, Elena I.; Werner, David F.</t>
  </si>
  <si>
    <t>Determining the neuronal ensembles underlying sex-specific social impairments following adolescent intermittent ethanol exposure</t>
  </si>
  <si>
    <t>NEUROPHARMACOLOGY</t>
  </si>
  <si>
    <t>Adolescent intermittent ethanol; Social interaction; Prelimbic cortex; Neuronal ensemble; Sex differences</t>
  </si>
  <si>
    <t>BINGE DRINKING; ALCOHOL-USE; PREFRONTAL CORTEX; BEHAVIORS; OXYTOCIN; AMYGDALA; BRAIN; VASOPRESSIN; INSIGHTS; CIRCUIT</t>
  </si>
  <si>
    <t>Binge drinking during adolescence can have behavioral and neurobiological consequences. We have previously found that adolescent intermittent ethanol (AIE) exposure produces sex-specific social alterations indexed via decreases of social investigation and/or social preference in rats. The prelimbic cortex (PrL) regulates social interaction, and alterations within the PrL resulting from AIE may contribute to social alterations. The current study sought to determine whether AIE-induced PrL dysfunction underlies decreases in social interaction evident in adulthood. We first examined social interaction-induced neuronal activation of the PrL and several other regions of interest (ROIs) implicated in social interaction. Adolescent male and female cFos-LacZ rats were exposed to water (control) or ethanol (4 g/kg, 25% v/v) via intragastric gavage every other day between postnatal day (P) 25 and 45 (total 11 exposures). Since cFos-LacZ rats express beta-galactosidase (beta-gal) as a proxy for Fos, activated cells that express of beta-gal can be inactivated by Daun02. In most ROIs, expression of beta-gal was elevated in socially tested adult rats relative to home cage controls, regardless of sex. However, decreased social interaction-induced beta-gal expression in AIE-exposed rats relative to controls was evident only in the PrL of males. A separate cohort underwent PrL cannulation surgery in adulthood and was subjected to Daun02-induced inactivation. Inactivation of PrL ensembles previously activated by social interaction reduced social investigation in control males, with no changes evident in AIE-exposed males or females. These findings highlight the role of the PrL in male social investigation and suggest an AIE-associated dysfunction of the PrL that may contribute to reduced social investigation following adolescent ethanol exposure.</t>
  </si>
  <si>
    <t>[Towner, Trevor T.; Goyden, Matthew A.; Coleman, Harper J.; Drumm, Mary K.; Ritchie, Isabella P.; Lieb, Kayla R.; Varlinskaya, Elena I.; Werner, David F.] SUNY Binghamton, Ctr Dev &amp; Behav Neurosci, Dept Psychol, Neurobiol Adolescent Drinking Adulthood Consortium, Binghamton, NY 13902 USA; [Werner, David F.] SUNY Binghamton, Psychol Dept, 4400 Vestal Pkwy East, Binghamton, NY 13902 USA</t>
  </si>
  <si>
    <t>State University of New York (SUNY) System; State University of New York (SUNY) Binghamton; State University of New York (SUNY) System; State University of New York (SUNY) Binghamton</t>
  </si>
  <si>
    <t>Werner, DF (corresponding author), SUNY Binghamton, Psychol Dept, 4400 Vestal Pkwy East, Binghamton, NY 13902 USA.</t>
  </si>
  <si>
    <t>dwerner@binghamton.edu</t>
  </si>
  <si>
    <t>Werner, David/0000-0002-2914-7706; Lieb, Kayla/0000-0002-6948-5531; Towner, Trevor/0000-0002-4258-9189</t>
  </si>
  <si>
    <t>NIH [U01 AA019972, T32 AA025606, F31 AA029300]</t>
  </si>
  <si>
    <t>Supported by NIH grants U01 AA019972 (Neurobiology of adolescent drinking in adulthood, NADIA) , T32 AA025606 (Development and Neuroadaptation in Alcohol and Addictions, DNA 2) and F31 AA029300. Any opinions, findings, and conclusions or recommendations expressed in this material are those of the author (s) and do not necessarily reflect the views of the above-stated funding agencies. The authors have no conflicts of interest to declare.</t>
  </si>
  <si>
    <t>0028-3908</t>
  </si>
  <si>
    <t>1873-7064</t>
  </si>
  <si>
    <t>Neuropharmacology</t>
  </si>
  <si>
    <t>10.1016/j.neuropharm.2023.109663</t>
  </si>
  <si>
    <t>Neurosciences; Pharmacology &amp; Pharmacy</t>
  </si>
  <si>
    <t>Neurosciences &amp; Neurology; Pharmacology &amp; Pharmacy</t>
  </si>
  <si>
    <t>P2LD4</t>
  </si>
  <si>
    <t>WOS:001048997000001</t>
  </si>
  <si>
    <t>Ueno, Y; Matsunaga, K; Takeshita, A; Teramoto, A; Takebe, K; Kajikawa, H; Morita, Y; Uzawa, N</t>
  </si>
  <si>
    <t>Ueno, Yoshio; Matsunaga, Kazuhide; Takeshita, Akinori; Teramoto, Akari; Takebe, Katsuki; Kajikawa, Hitomi; Morita, Yoshihiro; Uzawa, Narikazu</t>
  </si>
  <si>
    <t>Reconstruction of the lower lip after resection of its venous malformation using a labial mucosal advancement flap - A case report-</t>
  </si>
  <si>
    <t>Lower lip reconstruction; Labial mucosal advancement flap; Venous malformation</t>
  </si>
  <si>
    <t>HEMANGIOMAS</t>
  </si>
  <si>
    <t>Large hemangiomas of the lower lip cause cosmetic and functional problems. When surgery is indicated, large lower lip hemangiomas require lip reconstruction after tumor resection. We managed a 33-year-old, male patient with a mass and deformity of the lower lip on the left side, and underwent lower lip reconstruction after tumor resection using a local flap. A two-celled, dark purple, well-defined 42 x 18 mm mass was found extending from near the center of the lower red lip to the commissure on the left side. Using T2-weighted magnetic resonance imaging, the masses showed high density and each small and large bifocal lesion showed a septal-like structure. The lesion's depth slightly involved the orbicularis oris muscle, and echography revealed that the mass had a relatively well-defined sponge-like area with blood flow signal. The imaging diagnosis revealed a hemangioma of the left lower lip. The tumor was resected with one layer of the orbicularis oris muscle. A wide trapezoidal mucosal flap with a median flap base from the resectional margin to the buccogingival sulcus was set and rotated to the defect area. Histopathological diagnosis revealed venous malformation of the lower lip. One year after the operation, the lip's morphology and function were almost satisfactory. A labial mucosal advancement flap is useful for reconstructing large and shallow defects of the lower lip, including the oral commissure, considering the lip's morphology and function.</t>
  </si>
  <si>
    <t>[Ueno, Yoshio; Matsunaga, Kazuhide; Takeshita, Akinori; Teramoto, Akari; Takebe, Katsuki; Kajikawa, Hitomi; Morita, Yoshihiro; Uzawa, Narikazu] Osaka Univ, Sch &amp; Grad Sch Dent, Dept Oral &amp; Maxillofacial Surg 2, 1-8 Yamadaoka, Suita, Osaka 5650871, Japan; [Ueno, Yoshio] Seichokai Hannan Municipal Hosp, Dept Oral &amp; Maxillofacial Surg, Hannan, Osaka 5990202, Japan</t>
  </si>
  <si>
    <t>Osaka University</t>
  </si>
  <si>
    <t>Matsunaga, K (corresponding author), Osaka Univ, Sch &amp; Grad Sch Dent, Dept Oral &amp; Maxillofacial Surg 2, 1-8 Yamadaoka, Suita, Osaka 5650871, Japan.</t>
  </si>
  <si>
    <t>matsunaga.kazuhide.dent@osaka-u.ac.jp</t>
  </si>
  <si>
    <t>10.1016/j.ajoms.2023.03.004</t>
  </si>
  <si>
    <t>Q0RH4</t>
  </si>
  <si>
    <t>WOS:001054668600001</t>
  </si>
  <si>
    <t>Ulaganeethi, R; Ramachandrappa, VKS; Rajkumari, N; Dorairajan, G; Saya, GK</t>
  </si>
  <si>
    <t>Ulaganeethi, Revathi; Ramachandrappa, Vijaya Kumar Shettikothanuru; Rajkumari, Nonika; Dorairajan, Gowri; Saya, Ganesh Kumar</t>
  </si>
  <si>
    <t>Performance of microscopy compared to conventional PCR in identification of soil-transmitted helminth infections among antenatal women in a low-prevalence setting</t>
  </si>
  <si>
    <t>INDIAN JOURNAL OF MEDICAL MICROBIOLOGY</t>
  </si>
  <si>
    <t>Molecular identi fication; Conventional PCR; Ascaris lumbricoides; Necator americanus; Microscopy</t>
  </si>
  <si>
    <t>SENSITIVITY; TESTS</t>
  </si>
  <si>
    <t>Purpose: Traditional microscopy-based methods may provide inaccurate estimates of Soil transmitted helminth (STH) infections in mild intensity of infection. Therefore, we aimed to determine the prevalence of STH infections using molecular diagnostic methods and compare the diagnostic performance of microscopy with polymerase chain reaction (PCR) in stool samples collected from pregnant women in primary care settings in Puducherry, India. Methodology: A singleplex PCR assay was developed to detect three species of STHs, namely Ascaris lumbricoides, Necator americanus, and Ancylostoma duodenale, by targeting the internal transcribed spacer regions (ITS1 and ITS2) of 5.8S rRNA. The PCR generated 420, 662, and 515 base pairs of DNA for the respective organisms. In addition to singleplex PCR, wet and concentration microscopy techniques were used. The results were expressed as percentages with 95% confidence intervals, and the diagnostic performance of microscopy was compared with PCR in terms of sensitivity, specificity, and positive, negative predictive values and kappa statistics.Results: Among the 650 pregnant women included, 48.8% were aged 25 years or less, 59% were primigravida, and half were from rural areas. The overall prevalence of any STH infection was higher in PCR compared to microscopy (8.9% vs. 7.2%). The prevalence of Ascaris lumbricoides was higher by microscopy (5.4% vs 2.6%), while the prevalence of Necator americanus was higher by PCR (6.3%) than by microscopy (1.8%). No species of Ancylostoma duodenale was detected. The sensitivity, specificity, positive predictive value (PPV), and negative predictive value (NPV) of microscopy for detecting any STH infection was 22.4%, 94.3%, 27.7%, and 92.5%, respectively. The agreement between microscopy and PCR for the identification is as follows: for any STH infection, k 1/4 0.12, Ascaris k 1/4 0.16, and Necator k 1/4 0.20, respectively.Conclusion: The prevalence of any STH infection identified by PCR was higher than microscopy, and the agreement between the two methods was poor.</t>
  </si>
  <si>
    <t>[Ulaganeethi, Revathi; Saya, Ganesh Kumar] Jawaharlal Inst Postgrad Med Educ &amp; Res JIPMER, Dept Prevent &amp; Social Med, Pondicherry, India; [Ramachandrappa, Vijaya Kumar Shettikothanuru] Bidar Inst Med Scienes, Dept Microbiol, Mol Virol Lab, Bidar, Karnataka, India; [Rajkumari, Nonika] Jawaharlal Inst Postgrad Med Educ &amp; Res JIPMER, Dept Microbiol, Pondicherry, India; [Dorairajan, Gowri] Jawaharlal Inst Postgrad Med Educ &amp; Res JIPMER, Dept Obstet &amp; Gynaecol, Pondicherry, India</t>
  </si>
  <si>
    <t>Jawaharlal Institute of Postgraduate Medical Education &amp; Research; Jawaharlal Institute of Postgraduate Medical Education &amp; Research; Jawaharlal Institute of Postgraduate Medical Education &amp; Research</t>
  </si>
  <si>
    <t>Rajkumari, N (corresponding author), Jawaharlal Inst Postgrad Med Educ &amp; Res JIPMER, Dept Microbiol, Pondicherry, India.</t>
  </si>
  <si>
    <t>nonika.raj@gmail.com</t>
  </si>
  <si>
    <t>Jawaharlal Institute of Postgraduate Medical Education and Research (JIPMER) , Puducherry, India [JIP/Res/Intramural/phs2/2020-21]</t>
  </si>
  <si>
    <t>Jawaharlal Institute of Postgraduate Medical Education and Research (JIPMER) , Puducherry, India</t>
  </si>
  <si>
    <t>This research was conducted with the help of intramural grant received from Jawaharlal Institute of Postgraduate Medical Education and Research (JIPMER) , Puducherry, India. Grant number: JIP/Res/Intramural/phs2/2020-21, dated 23/12/2020.</t>
  </si>
  <si>
    <t>0255-0857</t>
  </si>
  <si>
    <t>1998-3646</t>
  </si>
  <si>
    <t>INDIAN J MED MICROBI</t>
  </si>
  <si>
    <t>Indian J. Med. Microbiol.</t>
  </si>
  <si>
    <t>10.1016/j.ijmmb.2023.100427</t>
  </si>
  <si>
    <t>Immunology</t>
  </si>
  <si>
    <t>P2RP8</t>
  </si>
  <si>
    <t>WOS:001049166600001</t>
  </si>
  <si>
    <t>Ullah, M; Hamayun, S; Wahab, A; Khan, SU; Rehman, MU; Ul Haq, Z; Rehman, KU; Ullah, A; Mehreen, A; Awan, UA; Qayum, M; Naeem, M</t>
  </si>
  <si>
    <t>Ullah, Muneeb; Hamayun, Shah; Wahab, Abdul; Khan, Shahid Ullah; Rehman, Mahboob Ur; Ul Haq, Zia; Rehman, Khalil Ur; Ullah, Aziz; Mehreen, Aqsa; Awan, Uzma A.; Qayum, Mughal; Naeem, Muhammad</t>
  </si>
  <si>
    <t>Smart Technologies used as Smart Tools in the Management of Cardiovascular Disease and their Future Perspective</t>
  </si>
  <si>
    <t>ARTIFICIAL-INTELLIGENCE; HEALTH-PROFESSIONALS; WEARABLE DEVICES; PREVENTION; INTERVENTIONS; CHALLENGES; CARDIOLOGY; SURGERY</t>
  </si>
  <si>
    <t>Cardiovascular disease (CVD) is a leading cause of morbidity and mortality worldwide. The advent of smart technologies has significantly impacted the management of CVD, offering innovative tools and solutions to improve patient outcomes. Smart technologies have revolutionized and transformed the management of CVD, providing innovative tools to improve patient care, enhance diagnostics, and enable more personalized treatment approaches. These smart tools encompass a wide range of technologies, includ-ing wearable devices, mobile applications,3D printing technologies, artificial intelligence (AI), remote monitoring systems, and electronic health records (EHR). They offer numerous advantages, such as realtime monitoring, early detection of abnormalities, remote patient management, and data-driven decision-making. However, they also come with certain limitations and challenges, including data privacy concerns, technical issues, and the need for regulatory frameworks. In this review, despite these challenges, the future of smart technologies in CVD management looks promising, with advancements in AI algorithms, telemedicine platforms, and bio fabrication techniques opening new possibilities for personalized and efficient care. In this article, we also explore the role of smart technologies in CVD management, their advantages and disadvantages, limitations, current applications, and their smart future. (Curr Probl Cardiol 2023;48:101922.)</t>
  </si>
  <si>
    <t>[Ullah, Muneeb; Wahab, Abdul; Qayum, Mughal] Kohat Univ Sci &amp; technol KUST, Dept Pharm, Kohat 26000, Khyber Pakhtunk, Pakistan; [Hamayun, Shah; Rehman, Mahboob Ur] Pakistan Inst Med PIMS, Dept Cardiol, Islamabad 04485, Punjab, Pakistan; [Khan, Shahid Ullah] Khyber Med Univ, Women Med &amp; Dent Coll, Dept Biochem, Abbottabad 22080, Khyber Pakhtunk, Pakistan; [Ul Haq, Zia] Khyber Med Univ, Inst Publ Hlth Sci, Dept Publ Hlth, Peshawar 25120, Pakistan; [Rehman, Khalil Ur] Gomel Univ, Inst Chem Sci, Dept Chem, Dera Ismail Khan, KPK, Pakistan; [Ullah, Aziz] Pukyong Natl Univ, Dept Chem Engn, Busan 48513, South Korea; [Mehreen, Aqsa; Awan, Uzma A.; Naeem, Muhammad] Natl Univ Med Sci NUMS Rawalpindi, Dept Biol Sci, Rawalpindi, Punjab, Pakistan</t>
  </si>
  <si>
    <t>Kohat University of Science &amp; Technology; Khyber Medical University; Khyber Medical University; Pukyong National University</t>
  </si>
  <si>
    <t>Naeem, M (corresponding author), Natl Univ Med Sci NUMS Rawalpindi, Dept Biol Sci, Rawalpindi, Punjab, Pakistan.</t>
  </si>
  <si>
    <t>m.naeem@numspak.edu.pk</t>
  </si>
  <si>
    <t>Ullah, Muneeb/0009-0003-6368-2715</t>
  </si>
  <si>
    <t>Kohat university of Science and Technology (KUST) , Khyber Pakhtunkhwa, Pakistan; National University of Medical Science (NUMS) , Islamabad, Pakistan</t>
  </si>
  <si>
    <t>The authors would like to acknowledge Kohat university of Science and Technology (KUST) , Khyber Pakhtunkhwa, Pakistan, and National University of Medical Science (NUMS) , Islamabad, Pakistan.</t>
  </si>
  <si>
    <t>10.1016/j.cpcardiol.2023.101922</t>
  </si>
  <si>
    <t>P8PI8</t>
  </si>
  <si>
    <t>WOS:001053231700001</t>
  </si>
  <si>
    <t>Upadhyay, Y; Tripathi, A</t>
  </si>
  <si>
    <t>Upadhyay, Yogesh; Tripathi, Aditya</t>
  </si>
  <si>
    <t>Brand wagon effect: How brand equity eclipses the effect of eWoM on purchase intentions - Mediating role of review helpfulness</t>
  </si>
  <si>
    <t>Review valence (RV); Review helpfulness; Brand equity; eWoM; Signaling theory; Cue-diagnostic theory</t>
  </si>
  <si>
    <t>WORD-OF-MOUTH; ONLINE CONSUMER REVIEWS; PERCEIVED HELPFULNESS; CUSTOMER REVIEWS; INFORMATION OVERLOAD; EMOTIONAL CONTAGION; CUE DIAGNOSTICITY; SIGNALING THEORY; NEGATIVITY BIAS; MODERATING ROLE</t>
  </si>
  <si>
    <t>As a result of digitalization, consumers have more agency than in earlier times. Consumers now have the ability to express their consumption experiences through diverse online platforms by means of rating or providing written feedback. The ability to effectively decipher online customer reviews (OCRs) holds significant impor-tance for businesses due to its far-reaching consequences. This research aimed to determine if review valence (RV) (the degree to which reviews are extremely positive or negative) was transmitted to purchase intentions via review helpfulness within the framework of signaling theory and cue-diagnosticity theory. The research also examined the presence of negative bias among customers when evaluating the valence of online customer re-views (OCRs) and its signaling of review helpfulness. Further, to determine if such an effect occurs within the boundaries of brand equity, an experimental study was conducted sequentially on two products: mobile phones and laptop computers. The study did not find negative bias among consumers concerning the assessment of RV. Further, the study supports an indirect effect of RV on purchase intention through review helpfulness. In addition, the results demonstrate that the referred effect is fully mediated by review helpfulness. Moreover, the results indicate that such an indirect effect is contingent on the brand's equity. The findings indicate that the RV has a significant effect on purchase intentions, particularly when brand equity is low. The study also discusses the study's managerial and research implications.</t>
  </si>
  <si>
    <t>[Upadhyay, Yogesh] Jiwaji Univ, Sch Studies Management, Gwalior, Madhya Pradesh, India; [Tripathi, Aditya] ITM Univ, ITM Sch Business, Gwalior, Madhya Pradesh, India</t>
  </si>
  <si>
    <t>Jiwaji University Gwalior; ITM University, Gwalior</t>
  </si>
  <si>
    <t>Upadhyay, Y (corresponding author), Jiwaji Univ, Sch Studies Management, Gwalior, Madhya Pradesh, India.</t>
  </si>
  <si>
    <t>yogeshupadhyay@jiwaji.edu; aditya.tripathi@itmuniversity.ac.in</t>
  </si>
  <si>
    <t>10.1016/j.jbusres.2023.114239</t>
  </si>
  <si>
    <t>S5WY7</t>
  </si>
  <si>
    <t>WOS:001071878900001</t>
  </si>
  <si>
    <t>Peristeri, DV; Nour, HM; Ahsan, A; Abogabal, S; Singh, KK; Sajid, MS</t>
  </si>
  <si>
    <t>V. Peristeri, Dimitra; Nour, Hussameldin M.; Ahsan, Amiya; Abogabal, Sameh; Singh, Krishna K.; Sajid, Muhammad Shafique</t>
  </si>
  <si>
    <t>Alcohol-Containing Versus Aqueous-Based Solutions for Skin Preparation in Abdominal Surgery-A Systematic Review and Meta-analysis</t>
  </si>
  <si>
    <t>Chlorhexidine; Skin antiseptics; Skin preparation; Surgical site infection</t>
  </si>
  <si>
    <t>SURGICAL SITE INFECTIONS; RANDOMIZED CLINICAL-TRIALS; POVIDONE-IODINE; CHLORHEXIDINE-GLUCONATE; PREVENTION; ANTISEPSIS; QUALITY; MESHES</t>
  </si>
  <si>
    <t>Introduction: The use of optimal skin antiseptic agents for the prevention of surgical site infection (SSI) is of critical importance, especially during abdominal surgical procedures. Alcohol-based chlorhexidine gluconate (CHG) and aqueous-based povidone-iodine (PVI) are the two most common skin antiseptics used nowadays. The objective of this article is to evaluate the effectiveness of alcohol-based CHG versus aqueous-based PVI used for skin preparation before abdominal surgery to reduce SSIs. Methods: Standard medical databases such as MEDLINE, Embase, Pubmed, and Cochrane Library were searched to find randomized, controlled trials comparing alcohol-based CHG skin preparation versus aqueous-based PVI in patients undergoing abdominal surgery. The combined outcomes of SSIs were calculated using odds ratio with 95% confidence intervals. All data were analyzed using Review Manager Software 5.4, and the meta-analysis was performed with a random effect model analysis. Results: A total of 11 studies, all randomized, controlled trials, were included (n = 12,072 participants), recruiting adult patients undergoing abdominal surgery. In the random effect model analysis, the use of alcohol-based CHG in patients undergoing abdominal surgery was associated with a reduced risk of SSI compared to aqueous-based PVI (odds ratio: 0.84; 95% confidence interval [0.74, 0.96], z = 2.61, P = 0.009). Conclusions: Alcohol-based CHG may be more effective for preventing the risk of SSI compared to aqueous-based PVI agents in abdominal surgery. The conclusion of this metaanalysis may add a guiding value to reinforce current clinical practice guidelines.</t>
  </si>
  <si>
    <t>[V. Peristeri, Dimitra; Nour, Hussameldin M.; Ahsan, Amiya; Abogabal, Sameh; Singh, Krishna K.; Sajid, Muhammad Shafique] Brighton &amp; Sussex Univ Hosp NHS Trust, Dept Gastrointestinal Surg, Brighton, England; [V. Peristeri, Dimitra] St Georges Univ Hosp, NHS Fdn Trust, Dept Gen Surg, Upper GI &amp; Bariatr Unit, London, England</t>
  </si>
  <si>
    <t>University of Brighton; Brighton and Sussex University Hospitals NHS Trust; St Georges University London; Oxford University Hospitals NHS Foundation Trust</t>
  </si>
  <si>
    <t>Peristeri, DV (corresponding author), St Georges Univ Hosp, NHS Fdn Trust, Dept Gen Surg, Upper GI &amp; Bariatr Unit, London, England.</t>
  </si>
  <si>
    <t>demieperisteri88@outlook.com</t>
  </si>
  <si>
    <t>PERISTERI, DIMITRA/0000-0003-3806-028X</t>
  </si>
  <si>
    <t>10.1016/j.jss.2023.06.011</t>
  </si>
  <si>
    <t>Q4UZ6</t>
  </si>
  <si>
    <t>WOS:001057500400001</t>
  </si>
  <si>
    <t>Wadstroem, C; Johansson, M; Uddin, GS</t>
  </si>
  <si>
    <t>Wadstroem, Christoffer; Johansson, Maria; Uddin, Gazi Salah</t>
  </si>
  <si>
    <t>The influence of global and domestic uncertainty on electricity supply: A study of Swedish power sources</t>
  </si>
  <si>
    <t>Electric power; Uncertainty; Quantile methods; Sector coupling; System integration</t>
  </si>
  <si>
    <t>RENEWABLE ENERGY; TIME-SERIES; OIL PRICES; TO-GAS; GENERATION; SYSTEMS; WIND; SOLAR; INTEGRATION; CHALLENGES</t>
  </si>
  <si>
    <t>Developing sustainable energy systems through system integration and sector coupling may involve permeating previous isolated and idiosyncratic reactions through the whole system. This study examines supply side dynamics of how uncertainty and spot prices influence electric power supply in an internationally connected electricity system. By applying quantile methods, the study reveals highly nonlinear and asymmetric responses in supplied electricity given a change in uncertainty or system spot prices. The findings show that while the total supply of electricity is largely unaffected by uncertainty and spot price, both supply level and changes in power supply for specific dispatchable power sources are influenced differently depending on the type of uncertainty (domestic or global). The findings also show that the response structure induced by uncertainty and spot price seems to be largely uniform and power source specific. This has implications for creating, amongst other things, integrated systems, and sector coupling, where there is a need for inexpensive excess power supply. (c) 2023 The Author(s). Published by Elsevier Ltd. This is an open access article under the CC BY license (http://creativecommons.org/licenses/by/4.0/).</t>
  </si>
  <si>
    <t>[Wadstroem, Christoffer; Johansson, Maria] Linkoping Univ, Dept Management &amp; Engn IEI, Div Energy Syst, Linkoping, Sweden; [Uddin, Gazi Salah] Linkoping Univ, Dept Management &amp; Engn IEI, Div Econ, Linkoping, Sweden; [Wadstroem, Christoffer] Linkoping Univ, Dept Management &amp; Engn IEI, Div Energy Syst, S-58183 Linkoping, Sweden</t>
  </si>
  <si>
    <t>Linkoping University; Linkoping University; Linkoping University</t>
  </si>
  <si>
    <t>Wadstroem, C (corresponding author), Linkoping Univ, Dept Management &amp; Engn IEI, Div Energy Syst, S-58183 Linkoping, Sweden.</t>
  </si>
  <si>
    <t>christoffer.wadstrom@liu.se; maria.johansson@liu.se; gazi.salah.uddin@liu.se</t>
  </si>
  <si>
    <t>Wadstrom, Christoffer/0000-0003-2169-7436</t>
  </si>
  <si>
    <t>Graduate School in Energy Systems (FoES) - Swedish Energy Agency [46016-1]</t>
  </si>
  <si>
    <t>Graduate School in Energy Systems (FoES) - Swedish Energy Agency(Swedish Energy Agency)</t>
  </si>
  <si>
    <t>This work was supported by the Graduate School in Energy Systems (FoES) funded by the Swedish Energy Agency, grant number: 46016-1.</t>
  </si>
  <si>
    <t>10.1016/j.egyr.2023.07.049</t>
  </si>
  <si>
    <t>P6HS0</t>
  </si>
  <si>
    <t>WOS:001051671200001</t>
  </si>
  <si>
    <t>Wang, H; Xiao, YH; Fang, ZP; Zhang, YG; Yang, L; Zhao, CY; Meng, Z; Liu, Y; Li, CC; Han, QQ; Feng, ZG</t>
  </si>
  <si>
    <t>Wang, Han; Xiao, Yonghao; Fang, Zhiping; Zhang, Yuanguo; Yang, Liu; Zhao, Chenyu; Meng, Zhu; Liu, Yu; Li, Chongchong; Han, Qianqian; Feng, Zengguo</t>
  </si>
  <si>
    <t>Fabrication and performance evaluation of PLCL-hCOLIII small-diameter vascular grafts crosslinked with procyanidins</t>
  </si>
  <si>
    <t>Collagen; Biomaterial; Vascular graft; Recombinant humanized collagen; Electrospinning; Procyanidin; Biocompatibility</t>
  </si>
  <si>
    <t>HUMAN-LIKE COLLAGEN; BLOOD-VESSEL STRUCTURE; III COLLAGEN; IN-VIVO; PROLIFERATION; SCAFFOLDS; ENDOTHELIALIZATION; PROANTHOCYANIDIN; CALCIFICATION; ANGIOGENESIS</t>
  </si>
  <si>
    <t>Cardiovascular disease has become one of the main causes of death. It is the common goal of researchers worldwide to develop small-diameter vascular grafts to meet clinical needs. Collagen is a valuable biomaterial that has been used in the preparation of vascular grafts and has shown good results. Recombinant humanized collagen (RHC) has the advantages of clear chemical structure, batch stability, no virus hazard and low immunogenicity compared with animal-derived collagen, which can be developed as vascular materials. In this study, Poly (L-lactide- &amp; epsilon;-caprolactone) with L-lactide/&amp; epsilon;-caprolactone (PLCL) and type III recombinant humanized collagen (hCOLIII) were selected as raw materials to prepare vascular grafts, which were prepared by the samenozzle electrospinning apparatus. Meanwhile, procyanidin (PC), a plant polyphenol, was used to cross-link the vascular grafts. The physicochemical properties and biocompatibility of the fabricated vascular grafts were investigated by comparing with glutaraldehyde (GA) crosslinked vascular grafts and pure PLCL grafts. Finally, the performance of PC cross-linked PLCL-hCOLIII vascular grafts were evaluated by rabbit carotid artery transplantation model. The results indicate that the artificial vascular grafts have good cell compatibility, blood compatibility, and anti-calcification performance, and can remain unobstructed after 30 days carotid artery transplantation in rabbits. The grafts also showed inhibitory effects on the proliferation of SMCs and intimal hyperplasia, demonstrating its excellent performance as small diameter vascular grafts.</t>
  </si>
  <si>
    <t>[Wang, Han; Xiao, Yonghao; Fang, Zhiping; Feng, Zengguo] Beijing Inst Technol, Sch Mat Sci &amp; Engn, Beijing 100081, Peoples R China; [Wang, Han; Yang, Liu; Zhao, Chenyu; Meng, Zhu; Liu, Yu; Li, Chongchong; Han, Qianqian] Natl Inst Food &amp; Drug Control, Beijing 102629, Peoples R China; [Zhang, Yuanguo] Shanxian Cent Hosp, Dept Thyroid Breast Vasc Surg, Heze 274300, Shandong, Peoples R China; [Liu, Yu] Yantai Univ, Yantai 264005, Shandong, Peoples R China</t>
  </si>
  <si>
    <t>Beijing Institute of Technology; National Institute of Food &amp; Drug Control - China; Yantai University</t>
  </si>
  <si>
    <t>Feng, ZG (corresponding author), Beijing Inst Technol, Sch Mat Sci &amp; Engn, Beijing 100081, Peoples R China.;Han, QQ (corresponding author), Natl Inst Food &amp; Drug Control, Beijing 102629, Peoples R China.</t>
  </si>
  <si>
    <t>hanqianqian2005@163.com; sainfeng@bit.edu.cn</t>
  </si>
  <si>
    <t>National Key Research and Devel- opment Program of China [2022C6]; Youth Development Fund of NIFDC; [2022YFC2409800]</t>
  </si>
  <si>
    <t>National Key Research and Devel- opment Program of China; Youth Development Fund of NIFDC;</t>
  </si>
  <si>
    <t>This work was supported by the National Key Research and Devel- opment Program of China (No. 2022YFC2409800) , Youth Development Fund of NIFDC (No. 2022C6) .</t>
  </si>
  <si>
    <t>10.1016/j.ijbiomac.2023.126293</t>
  </si>
  <si>
    <t>Q7LQ0</t>
  </si>
  <si>
    <t>WOS:001059306000001</t>
  </si>
  <si>
    <t>Wang, JY; Tsunogae, T; Santosh, M</t>
  </si>
  <si>
    <t>Wang, Jing-Yi; Tsunogae, Toshiaki; Santosh, M.</t>
  </si>
  <si>
    <t>Arc building in the Abukuma Mountains of NE Japan: Insights from petrology, geochemistry and zircon U-Pb-Hf isotope data</t>
  </si>
  <si>
    <t>NE Japan; Episodic magmatism; Island arc; Zircon U-Pb geochronology</t>
  </si>
  <si>
    <t>KITAKAMI MOUNTAINS; GRANITIC-ROCKS; TENGCHONG BLOCK; PLUTONIC ROCKS; SUBDUCTION; MAGMATISM; MELTS; AGES; FRACTIONATION; ASSIMILATION</t>
  </si>
  <si>
    <t>Subduction zones along convergent plate margins are the major regions of continental crust building on Earth. The petrological and geochemical features of arc crust are therefore critical in understanding the formation and evolution of continental crust. Here we investigate the magmatic suites in the Abukuma Mountains of NE Japan, which document episodic accretionary events during the Cretaceous. The rock suite in the Abukuma Mountains mainly comprises hornblende (Hbl)-gabbro, diorite, granodiorite and monzogranite. Zircon U-Pb dating suggests that dioritic to granitic rocks in the Abukuma Mountains were formed during 110 to 115 Ma, followed by gabbroic intrusions (100 to 110 Ma) and large-scale high-T/low-P metamorphism. But combined with literature geochronological results, the gabbroic rocks in Abukuma are coeval with the formation of intermediate to felsic rocks with a peak age of similar to 108 Ma. Major and trace elements characteristics of these rocks including their calc-alkaline nature and negative Nb, Ta anomalies suggest their arc-related origin linked with the subduction of the Paleo Pacific (Izanagi) plate. About 200 km north of the Abukuma Mountains, the Kitakami magmatic rocks were also formed during the subduction of Izanagi plate, but previous studies show that parts of the Kitakami intermediate-felsic rocks have distinct adakitic features and more juvenile Hf signatures (epsilon Hf(t) = 7.9 to 10.6) than those in the Abukuma suite (epsilon Hf(t) = 1.5 to 8.8, average at 6.1 &amp; PLUSMN; 1.8). The geochemical features of the magmatic rocks in NE Japan are consistent with slab-break off, mantle upwelling and partial melting resulting in the formation of adakitic rocks in the Kitakami region. However, subsequent to this event, the slab subduction was reestablished, leading to the formation of normal island arc rocks in the Abukuma area. Our study provides new insights into the geodynamic evolution of NE Japan.</t>
  </si>
  <si>
    <t>[Wang, Jing-Yi; Santosh, M.] China Univ Geosci Beijing, Sch Earth Sci &amp; Resources, Beijing 100083, Peoples R China; [Wang, Jing-Yi] Univ Tsukuba, Degree Program Geosci, Ibaraki 3058572, Japan; [Tsunogae, Toshiaki; Santosh, M.] Univ Tsukuba, Fac Life &amp; Environm Sci, Ibaraki 3058572, Japan; [Tsunogae, Toshiaki] Univ Johannesburg, Dept Geol, Auckland Pk 2006, South Africa; [Santosh, M.] Univ Adelaide, Dept Earth Sci, Adelaide, SA, Australia; [Santosh, M.] Northwest Univ, Dept Geol, State Key Lab Continental Dynam, Northern Taibai Str 229, Xian 710069, Peoples R China</t>
  </si>
  <si>
    <t>China University of Geosciences; University of Tsukuba; University of Tsukuba; University of Johannesburg; University of Adelaide; Northwest University Xi'an</t>
  </si>
  <si>
    <t>Santosh, M (corresponding author), China Univ Geosci Beijing, Sch Earth Sci &amp; Resources, Beijing 100083, Peoples R China.</t>
  </si>
  <si>
    <t>santosh@cugb.edu.cn</t>
  </si>
  <si>
    <t>Japan Society for the Promotion of Science (JSPS) [18H01300]; China Scholarship Council (CSC) [202106400046]; China University of Geo-sciences Beijing, China</t>
  </si>
  <si>
    <t>Japan Society for the Promotion of Science (JSPS)(Ministry of Education, Culture, Sports, Science and Technology, Japan (MEXT)Japan Society for the Promotion of Science); China Scholarship Council (CSC)(China Scholarship Council); China University of Geo-sciences Beijing, China</t>
  </si>
  <si>
    <t>We thank University of Tsukuba for providing archive samples. This study was partly supported by a Grant-in-Aid for Scientific Research from Japan Society for the Promotion of Science (JSPS) (No. 18H01300) to Tsunogae. This work forms part of the joint PhD project of Jingyi Wang between China university of geoscience (Beijing) and University of Tsukuba funded by the China Scholarship Council (CSC; No. 202106400046) . M. Santosh acknowledges China University of Geo-sciences Beijing, China as Foreign Expert and Professorial position at the University of Adelaide, Australia for supporting this work.</t>
  </si>
  <si>
    <t>456-457</t>
  </si>
  <si>
    <t>10.1016/j.lithos.2023.107315</t>
  </si>
  <si>
    <t>R0IL4</t>
  </si>
  <si>
    <t>WOS:001061261300001</t>
  </si>
  <si>
    <t>Wang, JJ; Tian, HR; Liu, HY; Wen, J; Huang, RH; Zou, K; Hou, LM; Li, PH</t>
  </si>
  <si>
    <t>Wang, Jingjing; Tian, Hairui; Liu, Hongyang; Wen, Jian; Huang, Ruihua; Zou, Kang; Hou, Liming; Li, Pinghua</t>
  </si>
  <si>
    <t>Low dose of zearalenone inhibited the proliferation of porcine prospermatogonia and transformed the physiology through cytokine-cytokine receptor interaction</t>
  </si>
  <si>
    <t>THERIOGENOLOGY</t>
  </si>
  <si>
    <t>Zearalenone; Prospermatogonia; RNA-seq; Cytokine; Pig</t>
  </si>
  <si>
    <t>EXPRESSION; ALPHA; CELLS; GROWTH; TESTIS; BETA</t>
  </si>
  <si>
    <t>Zearalenone (ZEA) is a prevalent mycotoxin functions as an endocrine disrupter to the reproductive systems of farm animals, especially in pigs. To evaluate the effect and the underlying molecular changes that occurred when the porcine germline stem cells were exposed to ZEA, prospermatogonia (ProSGs) were enriched and treated with a gradient concentration (0-10 &amp; mu;M) of ZEA for 2-8 days. Our results showed that the ZEA treatment inhibited the proliferation of ProSGs in a dose-dependent manner with a critical concentration at 1 &amp; mu;M. Transcriptome analysis revealed that the differentially expressed genes mainly concentrated on the molecular function of positive regulation of response to stimulus, and the most enriching pathway is cytokine-cytokine receptor interaction. ZEA exposure decreased a buck of cytokine/chemokine expression involved in the inflammatory response and stem cells maintenance/self-renewal, moreover, some energy expenditure and anti-apoptosis genes were also down-regulated, while the up-regulated genes were mainly connected with the innate immunity. These data demonstrate that ZEA induces multiply cellular damage and may eventually do harm to the health and fertility of animals.</t>
  </si>
  <si>
    <t>[Wang, Jingjing; Tian, Hairui; Liu, Hongyang; Wen, Jian; Huang, Ruihua; Zou, Kang; Hou, Liming; Li, Pinghua] Nanjing Agr Univ, Coll Anim Sci &amp; Technol, Nanjing, Peoples R China; [Wang, Jingjing; Tian, Hairui; Liu, Hongyang; Wen, Jian; Zou, Kang; Li, Pinghua] Nanjing Agr Univ, Stem Cell Res &amp; Translat Ctr, Nanjing 210095, Peoples R China; [Huang, Ruihua; Hou, Liming; Li, Pinghua] Nanjing Agr Univ, Minist Agr &amp; Rural Affairs, Key Lab Evaluat &amp; Utilizat Livestock &amp; Poultry Res, Nanjing, Peoples R China</t>
  </si>
  <si>
    <t>Nanjing Agricultural University; Nanjing Agricultural University; Ministry of Agriculture &amp; Rural Affairs; Nanjing Agricultural University</t>
  </si>
  <si>
    <t>Hou, LM; Li, PH (corresponding author), Nanjing Agr Univ, Coll Anim Sci &amp; Technol, Nanjing, Peoples R China.</t>
  </si>
  <si>
    <t>liminghou@njau.edu.cn; lipinghua718@njau.edu.cn</t>
  </si>
  <si>
    <t>Zou, Kang/0000-0002-1253-1816</t>
  </si>
  <si>
    <t>Jiangsu Province Agricultural Science and Technology Independent Innovation Fund [CX (20) 1003]; Fundamental Research Funds for the Central Universities [KJQN202129]; National Natural Science Foundation of China [32002149]; Jiangsu seed industry revitalization project [JBGS [2021] 024]; National Key R amp; D Program sub-project [2021YFD13011011, 2021YFD1301105]</t>
  </si>
  <si>
    <t>Jiangsu Province Agricultural Science and Technology Independent Innovation Fund; Fundamental Research Funds for the Central Universities(Fundamental Research Funds for the Central Universities); National Natural Science Foundation of China(National Natural Science Foundation of China (NSFC)); Jiangsu seed industry revitalization project; National Key R amp; D Program sub-project</t>
  </si>
  <si>
    <t>This work was supported by Jiangsu Province Agricultural Science and Technology Independent Innovation Fund [CX (20) 1003] ; Fundamental Research Funds for the Central Universities, [KJQN202129] ; National Natural Science Foundation of China [32002149] ; Jiangsu seed industry revitalization project [JBGS [2021] 024] and National Key R &amp; D Program sub-project [2021YFD13011011] , [2021YFD1301105] . We want to thank Binbin Wang for installing and debugging the software on the server.</t>
  </si>
  <si>
    <t>0093-691X</t>
  </si>
  <si>
    <t>1879-3231</t>
  </si>
  <si>
    <t>Theriogenology</t>
  </si>
  <si>
    <t>10.1016/j.theriogenology.2023.08.004</t>
  </si>
  <si>
    <t>Reproductive Biology; Veterinary Sciences</t>
  </si>
  <si>
    <t>Q5QZ7</t>
  </si>
  <si>
    <t>WOS:001058081000001</t>
  </si>
  <si>
    <t>Wang, KX; Hu, ZC</t>
  </si>
  <si>
    <t>Wang, Kaixin; Hu, Zhan-Chao</t>
  </si>
  <si>
    <t>Experimental investigation of a novel standing-wave thermoacoustic engine based on PCHE and supercritical CO2</t>
  </si>
  <si>
    <t>Supercritical fluid; Carbon dioxide; PCHE; Thermoacoustic engine; Energy conversion</t>
  </si>
  <si>
    <t>THERMO-ACOUSTIC INSTABILITY; HEAT-TRANSFER; HYDROCARBON FUEL; OPTIMIZATION; PERFORMANCE; PRESSURES</t>
  </si>
  <si>
    <t>The pursuit of high amplitude and low onset temperature difference is one important topic in thermoacoustic engines. In this paper, a novel standing-wave thermoacoustic engine is constructed working with supercritical CO2, whose core components are integrated as a printed circuit heat exchanger (PCHE). Our experimental results confirm that at any location on the resonator, the pressure obeys a cosine law with time, and the whole pressure field exhibits a seesaw-like spatiotemporal behavior. Under a fixed charging mass, the amplitude of pressure oscillation increases with temperature difference, obeying a power law relation. The maximum amplitude achieved in this work is 0.419 MPa at a temperature difference of 151.0 degrees C and a mean pressure of 9.621 MPa. Besides, the frequency with an average of 7.6 Hz shows weak variations. The onset temperature difference decreases as the critical pressure is approached, and the minimum value achieved is 14.8 degrees C. Moreover, the cooling effect of oscillating CO2 to the high-temperature portion of the stack is revealed, causing the strongly nonlinear temperature profile along the stack. This paper manifests that supercritical CO2 and PCHE are highly prospective to be employed in thermoacoustic devices.</t>
  </si>
  <si>
    <t>[Wang, Kaixin; Hu, Zhan-Chao] Sun Yat Sen Univ, Sch Aeronaut &amp; Astronaut, 66 Gongchang Rd, Shenzhen 518107, Guangdong, Peoples R China</t>
  </si>
  <si>
    <t>Hu, ZC (corresponding author), Sun Yat Sen Univ, Sch Aeronaut &amp; Astronaut, 66 Gongchang Rd, Shenzhen 518107, Guangdong, Peoples R China.</t>
  </si>
  <si>
    <t>huzhch7@mail.sysu.edu.cn</t>
  </si>
  <si>
    <t>National Natural Science Foun-dation of China [52106126]; Guangdong Basic and Applied Basic Research Foundation [2022A1515010305]</t>
  </si>
  <si>
    <t>National Natural Science Foun-dation of China(National Natural Science Foundation of China (NSFC)); Guangdong Basic and Applied Basic Research Foundation</t>
  </si>
  <si>
    <t>Acknowledgments This work has been supported by the National Natural Science Foun-dation of China (Grant No. 52106126) and the Guangdong Basic and Applied Basic Research Foundation (Grant No. 2022A1515010305) .</t>
  </si>
  <si>
    <t>10.1016/j.energy.2023.128334</t>
  </si>
  <si>
    <t>O9RO0</t>
  </si>
  <si>
    <t>WOS:001047119200001</t>
  </si>
  <si>
    <t>Wang, L; Li, Y; Xu, Q; Zhao, X</t>
  </si>
  <si>
    <t>Wang, L.; Li, Y. H.; Xu, Q.; Zhao, X.</t>
  </si>
  <si>
    <t>Buckling of a movable constrained laminated beam with variable-length in hygrothermal environment</t>
  </si>
  <si>
    <t>INTERNATIONAL JOURNAL OF NON-LINEAR MECHANICS</t>
  </si>
  <si>
    <t>Variable-length laminated beam; Hygrothermal environment; Movable constrained; Buckling response</t>
  </si>
  <si>
    <t>DEFORMATION</t>
  </si>
  <si>
    <t>The buckling response of a variable-length laminated beam constrained by a pair of symmetrical walls in hygrothermal environment is studied in the paper. The constrained wall is rigid but supported by springs that move upwards as a whole after being subjected to a force. The nonlinearly constrained buckling governing equation of the variable-length laminated beam in hygrothermal environment is established based on the principle of minimum potential energy and the Lagrange multiplier method. The buckling responses of the variable-length laminated beam are derived based on the elliptic integral method. Extensive numerical calculations are performed to illustrate the effects of different constraint clearances, spring stiffness, geometry, temperature, humidity, and composite fiber ply angle on the critical buckling load, buckling response, and buckling path.</t>
  </si>
  <si>
    <t>[Wang, L.] Xihua Univ, Sch Architecture &amp; Civil Engn, Chengdu 610039, Peoples R China; [Li, Y. H.; Xu, Q.] Southwest Jiaotong Univ, Sch Mech &amp; Aerosp Engn, Chengdu 610031, Peoples R China; [Zhao, X.] Southwest Petr Univ, Sch Civil Engn &amp; Geomat, Chengdu 610500, Peoples R China</t>
  </si>
  <si>
    <t>Xihua University; Southwest Jiaotong University; Southwest Petroleum University</t>
  </si>
  <si>
    <t>Wang, L (corresponding author), Xihua Univ, Sch Architecture &amp; Civil Engn, Chengdu 610039, Peoples R China.</t>
  </si>
  <si>
    <t>wling0921@sina.com</t>
  </si>
  <si>
    <t>Sichuan Science and Technology Pro-gram, China [2023NSFSC1296]; National Natural Science Foundation of China [11872319, 12072292, 12072301]; Xihua University Talent Introduction Project, China [Z211041]</t>
  </si>
  <si>
    <t>Sichuan Science and Technology Pro-gram, China; National Natural Science Foundation of China(National Natural Science Foundation of China (NSFC)); Xihua University Talent Introduction Project, China</t>
  </si>
  <si>
    <t>Acknowledgments This work was supported by Sichuan Science and Technology Pro-gram, China (No. 2023NSFSC1296) , and the National Natural Science Foundation of China (Nos. 11872319, 12072292, 12072301) . The sup-port from Xihua University Talent Introduction Project, China (No. Z211041) is gratified as well.</t>
  </si>
  <si>
    <t>0020-7462</t>
  </si>
  <si>
    <t>1878-5638</t>
  </si>
  <si>
    <t>INT J NONLIN MECH</t>
  </si>
  <si>
    <t>Int. J. Non-Linear Mech.</t>
  </si>
  <si>
    <t>10.1016/j.ijnonlinmec.2023.104508</t>
  </si>
  <si>
    <t>Mechanics</t>
  </si>
  <si>
    <t>P7JJ5</t>
  </si>
  <si>
    <t>WOS:001052397400001</t>
  </si>
  <si>
    <t>Wang, W; Song, XD; Huo, Q; Wang, YP</t>
  </si>
  <si>
    <t>Wang, Wei; Song, Xiaodong; Huo, Qing; Wang, Yiping</t>
  </si>
  <si>
    <t>Experimental and numerical study on local damage effect of ultra-early-strength reinforced concrete slabs (URCS) under contact explosion</t>
  </si>
  <si>
    <t>Ultra-early-strength concrete slabs; Contact explosion; Numerical simulation; Explosion resistant performance</t>
  </si>
  <si>
    <t>HIGH PERFORMANCE CONCRETE; BLAST RESISTANCE; SIMULATION; PANELS; CYLINDER; COLUMNS; SHAPE</t>
  </si>
  <si>
    <t>UR50 ultra-early-strength cement-based self-compacting high-strength material has the advantage of short curing time and rapid development of early strength, which is an ideal material for rapid repair and construction of key facilities in wartime. In order to investigate the local damage characteristics of ultra-early-strength reinforced concrete slabs (URCS) under contact explosion thoroughly, 12 contact explosion tests were carried out on URCS cured for 28 days and 24 h with three reinforcement rates (0.23%, 0.41% and 0.79%) under 200 g, 400 g, 600 g and 800 g TNT mass by using TNT binding cube charge. The test results showed that the explosion resistance performance of URCS cured for 28 days under contact explosion was not much different from that cured for 24 h, and the variation of reinforcement rate within the conventional range had limited influence on the explosion resistance performance of URCS. Further, explicit dynamic finite element software LS-DYNA was used to simulate the local damage of URCS cured for 24 h under contact explosion, and the influence of slab thickness and TNT mass on local damage of 24-hour curing URCS was studied with validated numerical model, and the range of seismic collapse coefficients Kz for different failure modes of URCS under contact explosion was given.</t>
  </si>
  <si>
    <t>[Wang, Wei; Song, Xiaodong; Huo, Qing; Wang, Yiping] Ningbo Univ, Key Lab Impact &amp; Safety Engn, Minist Educ, Ningbo 315211, Zhejiang, Peoples R China; [Wang, Wei] Ningbo Univ, Inst Adv Energy Storage Technol &amp; Equipment, Ningbo 315211, Peoples R China</t>
  </si>
  <si>
    <t>Ningbo University; Ningbo University</t>
  </si>
  <si>
    <t>Wang, W (corresponding author), Ningbo Univ, Key Lab Impact &amp; Safety Engn, Minist Educ, Ningbo 315211, Zhejiang, Peoples R China.;Wang, W (corresponding author), Ningbo Univ, Inst Adv Energy Storage Technol &amp; Equipment, Ningbo 315211, Peoples R China.</t>
  </si>
  <si>
    <t>wangwei7@nbu.edu.cn</t>
  </si>
  <si>
    <t>Wang, Wei/AFQ-4588-2022</t>
  </si>
  <si>
    <t>Wang, Wei/0000-0002-0280-5852</t>
  </si>
  <si>
    <t>National Natural Science Foundation of China [11302261, 11972201]; Ningbo Natural Science Foundation [202003N4147]; Key Laboratory of Impact and Safety Engineering (Ningbo University) , Ministry of Education; [CJ202011]</t>
  </si>
  <si>
    <t>National Natural Science Foundation of China(National Natural Science Foundation of China (NSFC)); Ningbo Natural Science Foundation; Key Laboratory of Impact and Safety Engineering (Ningbo University) , Ministry of Education;</t>
  </si>
  <si>
    <t>The authors acknowledge the financial support from National Natural Science Foundation of China (Grant Nos. 11302261 and 11972201) and Ningbo Natural Science Foundation (202003N4147) . This paper is also supported by the project of Key Laboratory of Impact and Safety Engineering (Ningbo University) , Ministry of Education. The project number is CJ202011.</t>
  </si>
  <si>
    <t>10.1016/j.engstruct.2023.116741</t>
  </si>
  <si>
    <t>Q1NC3</t>
  </si>
  <si>
    <t>WOS:001055244900001</t>
  </si>
  <si>
    <t>Wang, YF; Ma, YF; Chao, HJ</t>
  </si>
  <si>
    <t>Wang, Yifei; Ma, Yifan; Chao, Haojie</t>
  </si>
  <si>
    <t>Machine learning and computational fluid dynamics based optimization of finned heat pipe radiator performance</t>
  </si>
  <si>
    <t>Finned heat pipe radiator; Machine learning; Genetic algorithm; Orthogonal test</t>
  </si>
  <si>
    <t>This study integrates machine learning, genetic algorithm and computational fluid dynamics to explore the influence of geometry on the finned heat pipe radiator performance. It also proposes an optimal geometry that enhances the heat transfer of the radiator significantly. Firstly, orthogonal test were designed, coupled the thermal resistance network method and the CFD method to model the finned heat pipe heat sink. The analysis of variance yielded the following qualitative conclusions: the height, number and thickness of the fins had different effects on the heat source temperature in descending order; the heat source temperature decreased with increasing number and thickness of the fins and increased slightly with increasing height. Secondly, a prediction model of the heat source temperature under different heat source distributions was built using four MLAs. The artificial neural network was chosen as the optimal model by comparison. The model was analysed with correlation analysis, SHAP and PDP analysis and consistent conclusions with the orthogonal test were obtained. Finally, GA was used to obtain the optimal geometric structure. The results showed that the heat source temperature was reduced to 41.75 degrees C and the heat sink mass was only 0.2231 kg when the number of fins was 18, the length was 38 mm, and the thickness was 0.6 mm. This solution decreased the heat source temperature by 8.7% and the heat sink mass by 18.42% compared with the optimal solution from the orthogonal test. This study demonstrated the advantages of machine learning methods in computational fluid dynamics.</t>
  </si>
  <si>
    <t>[Wang, Yifei; Chao, Haojie] Northeastern Univ, Inst Adv Energy Utilizat Technol, Sch Met, Shenyang 110819, Liaoning, Peoples R China; [Ma, Yifan] Xi An Jiao Tong Univ, Sch Pharm, Xian 710000, Shanxi, Peoples R China</t>
  </si>
  <si>
    <t>Northeastern University - China; Xi'an Jiaotong University</t>
  </si>
  <si>
    <t>Wang, YF (corresponding author), Northeastern Univ, Inst Adv Energy Utilizat Technol, Sch Met, Shenyang 110819, Liaoning, Peoples R China.</t>
  </si>
  <si>
    <t>2274098013@qq.com</t>
  </si>
  <si>
    <t>10.1016/j.jobe.2023.107612</t>
  </si>
  <si>
    <t>R2MZ5</t>
  </si>
  <si>
    <t>WOS:001062752700001</t>
  </si>
  <si>
    <t>Wang, ZH; Ren, M; Gao, D; Li, Z</t>
  </si>
  <si>
    <t>Wang, Zhenhua; Ren, Ming; Gao, Dong; Li, Zhuang</t>
  </si>
  <si>
    <t>A Zipf's law-based text generation approach for addressing imbalance in entity extraction</t>
  </si>
  <si>
    <t>JOURNAL OF INFORMETRICS</t>
  </si>
  <si>
    <t>Data imbalance; Text generation; Entity extraction</t>
  </si>
  <si>
    <t>LANGUAGE</t>
  </si>
  <si>
    <t>Entity extraction is critical in the intelligent advancement across diverse domains. Nevertheless, a challenge to its effectiveness arises from the data imbalance, where certain entities are common while others are scarce. To address this issue, this study proposes a novel text generation approach that harnesses Zipf's law, which is a powerful tool from informetrics for studying human language. By employing characteristics of Zipf's law, words within the documents are classified as common and rare ones. Subsequently, sentences are classified into common and rare ones, and are further processed by text generation models accordingly. Rare entities within the generated sentences are then labeled using human-designed rules, serving as a supplement to the raw dataset, thereby mitigating the imbalance problem. The study presents a case of extracting entities from technical documents, and the extensive experimental results on two datasets prove the effectiveness of the proposed method. Furthermore, the significance and potential of Zipf's law in driving the progress of artificial intelligence (AI) is discussed, broadening the scope and coverage of informetrics. By incorporating the foundational principles of informetrics into text generation, this study showcases the pivotal role of informetrics in shaping the design and developmental of AI systems.</t>
  </si>
  <si>
    <t>[Wang, Zhenhua; Ren, Ming] Renmin Univ China, Sch Informat Resource Management, Beijing, Peoples R China; [Gao, Dong; Li, Zhuang] Beijing Univ Chem Technol, Coll Informat Sci &amp; Technol, Beijing, Peoples R China</t>
  </si>
  <si>
    <t>Renmin University of China; Beijing University of Chemical Technology</t>
  </si>
  <si>
    <t>Ren, M (corresponding author), Renmin Univ China, Sch Informat Resource Management, Beijing, Peoples R China.</t>
  </si>
  <si>
    <t>renm@ruc.edu.cn</t>
  </si>
  <si>
    <t>major foundation of Renmin University of China [21XNL019]; Appendix</t>
  </si>
  <si>
    <t>major foundation of Renmin University of China; Appendix</t>
  </si>
  <si>
    <t>Funding This research was funded by the major foundation of Renmin University of China (21XNL019) . Appendix</t>
  </si>
  <si>
    <t>1751-1577</t>
  </si>
  <si>
    <t>1875-5879</t>
  </si>
  <si>
    <t>J INFORMETR</t>
  </si>
  <si>
    <t>J. Informetr.</t>
  </si>
  <si>
    <t>10.1016/j.joi.2023.101453</t>
  </si>
  <si>
    <t>Computer Science, Interdisciplinary Applications; Information Science &amp; Library Science</t>
  </si>
  <si>
    <t>Computer Science; Information Science &amp; Library Science</t>
  </si>
  <si>
    <t>S3ZI0</t>
  </si>
  <si>
    <t>WOS:001070580900001</t>
  </si>
  <si>
    <t>Wang, ZW; He, YP; Duan, ZD; Huang, C; Liu, SW; Xue, HX</t>
  </si>
  <si>
    <t>Wang, Zhiwei; He, Yanping; Duan, Zhongdi; Huang, Chao; Liu, Shiwen; Xue, Hongxiang</t>
  </si>
  <si>
    <t>Passive mitigation of condensation-induced water hammer by converging-diverging structures for offshore nuclear power plants</t>
  </si>
  <si>
    <t>Passive heat removal system; Condensation-induced water hammer; Converging-diverging structure; Reverse flow; Particle image velocimetry (PIV)</t>
  </si>
  <si>
    <t>RESIDUAL HEAT REMOVAL</t>
  </si>
  <si>
    <t>The equal-height-difference passive heat removal system (EHDPHRS) utilizes the ocean environment as an infinite heat sink that can better suit ocean nuclear power plants (ONPPs). However, a structure with an equal -height-difference can easily cause reverse flow of subcooled water, leading to serious condensation-induced water hammer (CIWH). In this paper, a fully visual experimental facility with same geometric characteristics as the EHDPHRS was established with the aim of studying the CIWH phenomenon. First, two kinds of CIWH modes were observed by the results of the visual experiment, namely the intermittent CIWH and the continuous CIWH. The typical feature of the intermittent CIWH is that the single-phase natural circulation occurs inter-mittently. Then, the converging-diverging structure (CDS) was designed to avoid the CIWH events in the EHDPHRS. The effectiveness of CIWH prevention was evaluated employing the velocity field, which was ob-tained by the PIV experimental system. It was found that the CDS can effectively inhibit the further reverse flow of subcooled water and thus eliminate the triggering mechanism of CIWH events. Finally, a dimensionless number was used to balance CIWH prevention and natural circulation capacity. It was shown that when the dimensionless number is in the range of 0.67-0.80, the CDS can eliminate the CIWH events while ensuring the natural circulation capacity.</t>
  </si>
  <si>
    <t>[Wang, Zhiwei; He, Yanping; Duan, Zhongdi; Huang, Chao; Xue, Hongxiang] Shanghai Jiao Tong Univ, State Key Lab Ocean Engn, Shanghai 200240, Peoples R China; [Wang, Zhiwei; He, Yanping; Duan, Zhongdi; Huang, Chao; Xue, Hongxiang] Shanghai Jiao Tong Univ, Inst Marine Equipment, Shanghai 200240, Peoples R China; [Liu, Shiwen] Nucl Power Inst China, Sci &amp; Technol Reactor Syst Design Technol Lab, Chengdu 610213, Peoples R China</t>
  </si>
  <si>
    <t>Shanghai Jiao Tong University; Shanghai Jiao Tong University</t>
  </si>
  <si>
    <t>He, YP; Duan, ZD (corresponding author), Shanghai Jiao Tong Univ, State Key Lab Ocean Engn, Shanghai 200240, Peoples R China.</t>
  </si>
  <si>
    <t>hyp110@sjtu.edu.cn; duanzhongdi@sjtu.edu.cn</t>
  </si>
  <si>
    <t>Zhiwei, Wang/0000-0001-9458-8893; Liu, Shiwen/0000-0003-4324-1851</t>
  </si>
  <si>
    <t>National Natural Science Foundation of China [52271285]; Natural Science Foundation of Shanghai [23ZR1429000]; Fundamental Research Funds for the Central Universities; Oceanic Inter-disciplinary Program of Shanghai Jiao Tong University [SL2020ZD101, SL2022PT201]; Young Talent Project of China National Nuclear Corporation [CNNC-YT-2021]; Ling Chuang Research Project of China National Nuclear Corporation [CNNC-LC-2020]</t>
  </si>
  <si>
    <t>National Natural Science Foundation of China(National Natural Science Foundation of China (NSFC)); Natural Science Foundation of Shanghai(Natural Science Foundation of Shanghai); Fundamental Research Funds for the Central Universities(Fundamental Research Funds for the Central Universities); Oceanic Inter-disciplinary Program of Shanghai Jiao Tong University; Young Talent Project of China National Nuclear Corporation; Ling Chuang Research Project of China National Nuclear Corporation</t>
  </si>
  <si>
    <t>This work was sponsored by the National Natural Science Foundation of China (grant number: 52271285) , the Natural Science Foundation of Shanghai (project number: 23ZR1429000) , the Fundamental Research Funds for the Central Universities, the Oceanic Inter-disciplinary Program of Shanghai Jiao Tong University (project number: SL2020ZD101 and SL2022PT201) , the Young Talent Project of China National Nuclear Corporation (project number: CNNC-YT-2021) , the Ling Chuang Research Project of China National Nuclear Corporation (project number: CNNC-LC-2020) .</t>
  </si>
  <si>
    <t>10.1016/j.energy.2023.128383</t>
  </si>
  <si>
    <t>O8SI3</t>
  </si>
  <si>
    <t>WOS:001046455600001</t>
  </si>
  <si>
    <t>Williams, WJ; Yao, TK; Pu, XF; Capriotti, L</t>
  </si>
  <si>
    <t>Williams, Walter J.; Yao, Tiankai; Pu, Xiaofei; Capriotti, Luca</t>
  </si>
  <si>
    <t>Characterization of micro-burnup treat irradiated U-22.5 at.% Zr and U-52.8 at.% Zr foils by transmission electron microscopy and X-ray diffraction</t>
  </si>
  <si>
    <t>Transmission electron microscopy; Uranium-zirconium; X-ray diffraction; Microstructure; Phase morphology</t>
  </si>
  <si>
    <t>U-ZR; FUEL; PHASE; ZIRCONIUM; BEHAVIOR</t>
  </si>
  <si>
    <t>The uranium-zirconium (U-Zr) fuel system has been studied for decades, yet there remains a data gap of micro-burnup (BU) studies where the microstructure undergoes an initial transformation from as-fabricated to the true starting microstructure present in reactor. This study focusses on two U-Zr specimens, U-(22.5 and 52.8) at.% Zr, irradiated to &lt;0.001 at.% BU (-4.33E+15 F/cc) at 660 C in the Transient Reactor Test Facility (TREAT). The samples were rapidly gas quenched (4-5 degrees C/min) to maintain the in-pile structure for post irradiation charac-terization and modeling input. The bulk features of the U-22.5 at.% Zr specimen were retained, suggesting an impact (beyond crystallographic texture) of the as-fabricated system. It was also found that Zr solubility in &amp; alpha;-U increases to-18 at.%Zr at 660 degrees C, and subsequently influences phase fractions and grain boundary density. The U-52.8 at.% Zr alloy fully transformed into an equiaxed granular microstructure immediately upon reactor insertion, implying single phase &amp; gamma;-U-Zr at 660 degrees C. This work also identifies the retention of a face-centered-cubic Zr rind on the surface of the sample, suggesting that the mechanism of Zr-rind decomposition is not a trivial phase transformation at temperature, but rather likely a diffusion-based process.</t>
  </si>
  <si>
    <t>[Williams, Walter J.; Yao, Tiankai; Pu, Xiaofei; Capriotti, Luca] Idaho Natl Lab, POB 1625,MS 6188, Idaho Falls, ID 83415 USA</t>
  </si>
  <si>
    <t>United States Department of Energy (DOE); Idaho National Laboratory</t>
  </si>
  <si>
    <t>Williams, WJ (corresponding author), Idaho Natl Lab, POB 1625,MS 6188, Idaho Falls, ID 83415 USA.</t>
  </si>
  <si>
    <t>Walter.Williams@inl.gov</t>
  </si>
  <si>
    <t>Pu, Xiaofei/0000-0003-2120-7054</t>
  </si>
  <si>
    <t>US Department of Energy, Office of Nuclear Energy (NE) , under the DOE Idaho Operations Office [DE-AC07-05ID14517]; Advanced Fuels Campaign</t>
  </si>
  <si>
    <t>US Department of Energy, Office of Nuclear Energy (NE) , under the DOE Idaho Operations Office(United States Department of Energy (DOE)); Advanced Fuels Campaign</t>
  </si>
  <si>
    <t>This research was supported by the US Department of Energy, Office of Nuclear Energy (NE) , under the DOE Idaho Operations Office Contract DE-AC07-05ID14517 through a Nuclear Science User Facilities experimental project and the Advanced Fuels Campaign.</t>
  </si>
  <si>
    <t>10.1016/j.jnucmat.2023.154644</t>
  </si>
  <si>
    <t>P0QH9</t>
  </si>
  <si>
    <t>WOS:001047767800001</t>
  </si>
  <si>
    <t>Wu, D; Cao, Y; Huang, QL</t>
  </si>
  <si>
    <t>Wu, Dan; Cao, Yuan; Huang, Qilin</t>
  </si>
  <si>
    <t>Trehalose and sodium pyrophosphate inhibit ice-induced freezing quality deterioration of surimi: A comparative study on water migration, ice crystal growth, glass transition and state diagram</t>
  </si>
  <si>
    <t>JOURNAL OF FOOD ENGINEERING</t>
  </si>
  <si>
    <t>Surimi; Trehalose; Sodium pyrophosphate; Water migration; Ice crystal growth; Glass transition</t>
  </si>
  <si>
    <t>NUCLEAR-MAGNETIC-RESONANCE; LF-NMR; FOOD; CURVE; MICROSTRUCTURE; VANNAMEI; MUSCLE; MEAT</t>
  </si>
  <si>
    <t>This study investigated the effects of trehalose (TH) and sodium pyrophosphate (SPP) on surimi freezing quality in terms of water migration, ice crystal growth, glass transition and state diagram. Both trehalose and sodium pyrophosphate could alter water distribution and restrict water fluidity. Trehalose outperformed sodium pyrophosphate in inhibiting ice crystal growth and lowering freezing temperature. State diagram demonstrated that the highest glass transition temperature (Tg') was for TH/surimi (-30.17 &amp; DEG;C), followed by SC/surimi (-38.88 &amp; DEG;C), SPP/surimi (-43.84 &amp; DEG;C), and pure surimi (-53.87 &amp; DEG;C). Trehalose increased Tg', shortened tem-perature region for maximum ice formation (-17.39--53.87 &amp; DEG;C to -19.58--30.17 &amp; DEG;C) and reduced unfreezable water content (26.55% to 20.70%) owing to reduced plasticization of water and increased effective molecular weight. Overall, trehalose could better improve surimi freezing quality by aforementioned low temperature protection effects. This study elucidates anti-freezing mechanisms of trehalose and sodium pyrophosphate for surimi, providing a reference for their application in surimi frozen storage.</t>
  </si>
  <si>
    <t>[Wu, Dan; Cao, Yuan; Huang, Qilin] Huazhong Agr Univ, Coll Food Sci &amp; Technol, Wuhan 430070, Peoples R China; [Wu, Dan; Cao, Yuan; Huang, Qilin] Huazhong Agr Univ, MOE Key Lab Environm Correlat Dietol, Wuhan 430070, Peoples R China; [Wu, Dan; Cao, Yuan; Huang, Qilin] Natl R&amp;D Branch Ctr Convent Freshwater Fish Proc, Wuhan 430070, Peoples R China</t>
  </si>
  <si>
    <t>Huang, QL (corresponding author), Huazhong Agr Univ, Coll Food Sci &amp; Technol, Wuhan 430070, Peoples R China.;Huang, QL (corresponding author), Huazhong Agr Univ, MOE Key Lab Environm Correlat Dietol, Wuhan 430070, Peoples R China.</t>
  </si>
  <si>
    <t>hql@mail.hzau.edu.cn</t>
  </si>
  <si>
    <t>National Key R amp; D Program of China [2021YFD2100105]</t>
  </si>
  <si>
    <t>This work was financially supported by National Key R &amp; D Program of China (2021YFD2100105) .</t>
  </si>
  <si>
    <t>0260-8774</t>
  </si>
  <si>
    <t>1873-5770</t>
  </si>
  <si>
    <t>J FOOD ENG</t>
  </si>
  <si>
    <t>J. Food Eng.</t>
  </si>
  <si>
    <t>10.1016/j.jfoodeng.2023.111657</t>
  </si>
  <si>
    <t>Engineering, Chemical; Food Science &amp; Technology</t>
  </si>
  <si>
    <t>Engineering; Food Science &amp; Technology</t>
  </si>
  <si>
    <t>O4OX1</t>
  </si>
  <si>
    <t>WOS:001043635100001</t>
  </si>
  <si>
    <t>Wu, SY; Fang, PQ; Wang, EB; Ahmed, S; Duvic, M; Jain, P; Castillo, LEM; Nair, R; Steiner, RE; Strati, P; Huen, AO; Iyer, SP; Pinnix, CC; Dabaja, BS; Gunther, JR</t>
  </si>
  <si>
    <t>Wu, Susan Y.; Fang, Penny Q.; Wang, Ethan B.; Ahmed, Sairah; Duvic, Madeleine; Jain, Preetesh; Castillo, Luis E. Malpica; Nair, Ranjit; Steiner, Raphael E.; Strati, Paolo; Huen, Auris O.; Iyer, Swaminathan P.; Pinnix, Chelsea C.; Dabaja, Bouthaina S.; Gunther, Jillian R.</t>
  </si>
  <si>
    <t>Safety of Concurrent Radiation Therapy With Brentuximab Vedotin in the Treatment of Lymphoma</t>
  </si>
  <si>
    <t>CELL LYMPHOMA; OBJECTIVE RESPONSES; HODGKIN LYMPHOMA; PHASE-II</t>
  </si>
  <si>
    <t>Purpose: Purpose: Radiation therapy (RT) and the antibody-drug conjugate brentuximab vedotin (BV) are standard-of-care treatment options for patients with certain B and T-cell lymphomas; however, there are limited data exploring the safety of concurrent BV and RT (BVRT). Methods and materials: We performed a single institutional retrospective review of 44 patients who received BVRT. Results: Twenty percent of patients (9/44) developed new grade 2 or higher (G2+) hematologic toxicity (HT) after BVRT, which was associated with radiation dose (median dose of 35 Gy in those with new G2+ HT compared with 15 Gy in those without; P &lt; .001). Acute G2+ elevation in aspartate transaminase or alanine transaminase level was associated with administration of concurrent chemotherapy with BVRT (57% vs 21%; P = .047) but was not associated with any RT factors. Local control (LC) was achieved in 24 of 42 patients (57%) with available follow-up. Ten patients (23%) proceeded to stem cell transplant or cellular therapy after BVRT at a median of 48 days (interquartile range, 27-188 days). At last follow-up, 10 patients (23%) remained without evidence of disease. Conclusions: Our analysis demonstrates that the combination of BV and RT is well tolerated, though care should be taken during RT planning to reduce the risk of HT. This combination can be considered for patients in need of both local and systemic disease control. (c) 2023 The Author(s). Published by Elsevier Inc. on behalf of American Society for Radiation Oncology. This is an open access article under the CC BY-NC-ND license (http://creativecommons.org/licenses/by-nc-nd/4.0/).</t>
  </si>
  <si>
    <t>[Wu, Susan Y.; Fang, Penny Q.; Wang, Ethan B.; Pinnix, Chelsea C.; Dabaja, Bouthaina S.; Gunther, Jillian R.] Univ Texas MD Anderson Canc Ctr, Dept Radiat Oncol, Houston, TX 77030 USA; [Ahmed, Sairah; Jain, Preetesh; Castillo, Luis E. Malpica; Nair, Ranjit; Steiner, Raphael E.; Strati, Paolo; Iyer, Swaminathan P.] Univ Texas MD Anderson Canc Ctr, Dept Lymphoma &amp; Myeloma, Houston, TX USA; [Duvic, Madeleine] Univ Texas MD Anderson Canc Ctr, Dept Dermatol, Houston, TX USA</t>
  </si>
  <si>
    <t>University of Texas System; UTMD Anderson Cancer Center; University of Texas System; UTMD Anderson Cancer Center; University of Texas System; UTMD Anderson Cancer Center</t>
  </si>
  <si>
    <t>Gunther, JR (corresponding author), Univ Texas MD Anderson Canc Ctr, Dept Radiat Oncol, Houston, TX 77030 USA.</t>
  </si>
  <si>
    <t>JGunther@mdanderson.org</t>
  </si>
  <si>
    <t>Wang, Ethan/0000-0002-3044-1451</t>
  </si>
  <si>
    <t>National Institutes of Health/National Cancer Institute Cancer Center Support Grant; [P30 CA016672]</t>
  </si>
  <si>
    <t>National Institutes of Health/National Cancer Institute Cancer Center Support Grant;</t>
  </si>
  <si>
    <t>Sources of support: This work is supported by the National Institutes of Health/National Cancer Institute Cancer Center Support Grant (P30 CA016672) .</t>
  </si>
  <si>
    <t>10.1016/j.adro.2023.101279</t>
  </si>
  <si>
    <t>P9MD0</t>
  </si>
  <si>
    <t>WOS:001053836400001</t>
  </si>
  <si>
    <t>Wu, XJ; Tan, XX; Wang, XQ</t>
  </si>
  <si>
    <t>Wu, Xiaojie; Tan, Xiaoxia; Wang, Xiuqiong</t>
  </si>
  <si>
    <t>The institutional logics perspective in management and organizational studies</t>
  </si>
  <si>
    <t>Institutional logics; Institutional complexity; Organizational responses; Hybrid organizations; Bibliometric; Systematic literature review</t>
  </si>
  <si>
    <t>COMPETING LOGICS; HYBRID ORGANIZATIONS; COMPLEXITY; IDENTITY; ENTREPRENEURSHIP; CONTESTATION; CONTINGENCY; LEGITIMACY; CONFORMITY; SUCCESSION</t>
  </si>
  <si>
    <t>The institutional logics perspective has been increasingly applied in the field of management and organization in recent decades. Although there are extant literature reviews concerning the institutional logics perspective, none of them provides a comprehensive understanding thereof in management and organization studies. To address this limitation, we provide an integrated research framework that synthesizes and evaluates works on the institutional logics perspective in the field of management and organization from 1991 to 2022 and identify opportunities for future research. First, we employ a bibliometric approach to identify the state and knowledge structure of institutional logics research in the field of management and organization. Second, we conduct a systematic literature review of 129 articles published in top journals to determine the key questions and insights within the three themes that form this knowledge framework. Finally, an agenda for future research is proposed to advance the institutional logics perspective in management and organizational studies.</t>
  </si>
  <si>
    <t>[Wu, Xiaojie; Tan, Xiaoxia] Guangdong Univ Technol, Sch Management, 161 Yinglong Rd, Guangzhou, Guangdong, Peoples R China; [Wang, Xiuqiong] South China Univ Technol, Dept Tourism Management, 382 Waihuan East Rd, Guangzhou, Guangdong, Peoples R China</t>
  </si>
  <si>
    <t>Guangdong University of Technology; South China University of Technology</t>
  </si>
  <si>
    <t>Tan, XX (corresponding author), Guangdong Univ Technol, Sch Management, 161 Yinglong Rd, Guangzhou, Guangdong, Peoples R China.</t>
  </si>
  <si>
    <t>Xiaojie_wu@163.com; Xiaoxia_tanxx@163.com; ecwangxq@scut.edu.cn</t>
  </si>
  <si>
    <t>wu, xiaojie/HJG-8102-2022</t>
  </si>
  <si>
    <t>wu, xiaojie/0000-0001-6897-5910</t>
  </si>
  <si>
    <t>National Natural Science Foundation Project of China [71872053]</t>
  </si>
  <si>
    <t>National Natural Science Foundation Project of China(National Natural Science Foundation of China (NSFC))</t>
  </si>
  <si>
    <t>Acknowledgements The authors are grateful to the financial support from the National Natural Science Foundation Project of China (Grant No. 71872053) .</t>
  </si>
  <si>
    <t>10.1016/j.jbusres.2023.114183</t>
  </si>
  <si>
    <t>P4QD7</t>
  </si>
  <si>
    <t>WOS:001050500100001</t>
  </si>
  <si>
    <t>Wu, YJ; Zhou, JT</t>
  </si>
  <si>
    <t>Wu, Yuejia; Zhou, Jian-tao</t>
  </si>
  <si>
    <t>A neighborhood-aware graph self-attention mechanism-based pre-training model for Knowledge Graph Reasoning</t>
  </si>
  <si>
    <t>INFORMATION SCIENCES</t>
  </si>
  <si>
    <t>Knowledge Graph Reasoning; Graph self-attention mechanism; Neighborhood information; Pre-training model; Link prediction</t>
  </si>
  <si>
    <t>Knowledge Graph Reasoning (KGR) is an effective method to ameliorate incompleteness and sparsity problems, which infers new knowledge based on existing knowledge. The Graph Neural Network (GNN)-based approaches can obtain advanced effectiveness. However, it still suffers from some problems such as obtaining insufficient graph features, introducing noises, ignoring path connectivity, and acquiring incomplete neighborhood information. This paper proposes a neighborhood-aware (NA) graph self-attention mechanism-based pre-training model for KGR, namely NA-KGR. The proposed model is composed of two phases. The first phase is an enhanced graph attention network, which can use the weighted characteristics of its neighbors to represent and encode the entities that are most likely to have a positive effect on reasoning. The second phase is a neighborhood-aware self-attention mechanism, which makes the model more able to obtain information from the neighbor entities for inference by increasing an adaptive entity similarity matrix when calculating the attention score. Moreover, we propose a pre-training pattern based on neighborhood-aware random walk sampling and general subgraph structure sampling to improve NA-KGR's generalization ability. Extensive comparison and ablation experimental results on various benchmarks unambiguously demonstrate that the proposed NA-KGR model can obtain the state-of-the-art results of current GNN-based methods.</t>
  </si>
  <si>
    <t>[Wu, Yuejia; Zhou, Jian-tao] Inner Mongolia Univ, Coll Comp Sci, Hohhot, Peoples R China; [Wu, Yuejia; Zhou, Jian-tao] Natl &amp; Local Joint Engn Res Ctr Intelligent Inform, Hohhot, Peoples R China; [Wu, Yuejia; Zhou, Jian-tao] Minist Educ, Engn Res Ctr Ecol Big Data, Hohhot, Peoples R China; [Wu, Yuejia; Zhou, Jian-tao] Inner Mongolia Engn Lab Cloud Comp &amp; Serv Softwar, Hohhot, Peoples R China; [Wu, Yuejia; Zhou, Jian-tao] Inner Mongolia Key Lab Social Comp &amp; Data Proc, Hohhot, Peoples R China; [Wu, Yuejia; Zhou, Jian-tao] Inner Mongolia Key Lab Discipline Inspect &amp; Superv, Hohhot, Peoples R China; [Wu, Yuejia; Zhou, Jian-tao] Inner Mongolia Engn Lab Big Data Anal Technol, Hohhot, Peoples R China</t>
  </si>
  <si>
    <t>Inner Mongolia University</t>
  </si>
  <si>
    <t>Zhou, JT (corresponding author), Inner Mongolia Univ, Coll Comp Sci, Hohhot, Peoples R China.</t>
  </si>
  <si>
    <t>wuyuejia@imudges.com; cszjtao@imu.edu.cn</t>
  </si>
  <si>
    <t>National Natural Science Foundation of China [62162046]; Inner Mongolia Science and Technology Project [2021GG0155]; Natural Science Foundation of Major~ Research Plan of Inner Mongolia [2019ZD15]; Inner Mongolia Natural Science Foundation [2019GG372]</t>
  </si>
  <si>
    <t>National Natural Science Foundation of China(National Natural Science Foundation of China (NSFC)); Inner Mongolia Science and Technology Project; Natural Science Foundation of Major~ Research Plan of Inner Mongolia; Inner Mongolia Natural Science Foundation</t>
  </si>
  <si>
    <t>This work is supported by the National Natural Science Foundation of China under Grant No.62162046,the Inner Mongolia Science and Technology Project under Grant No.2021GG0155,the Natural Science Foundation of Major &amp; nbsp; Research Plan of Inner Mongolia under Grant No.2019ZD15,and the Inner Mongolia Natural Science Foundation under Grant No.2019GG372</t>
  </si>
  <si>
    <t>0020-0255</t>
  </si>
  <si>
    <t>1872-6291</t>
  </si>
  <si>
    <t>INFORM SCIENCES</t>
  </si>
  <si>
    <t>Inf. Sci.</t>
  </si>
  <si>
    <t>10.1016/j.ins.2023.119473</t>
  </si>
  <si>
    <t>R7UA7</t>
  </si>
  <si>
    <t>WOS:001066357600001</t>
  </si>
  <si>
    <t>Xiao, Y; Piao, Y; Wei, W; Pan, C; Lee, DK; Zhao, B</t>
  </si>
  <si>
    <t>Xiao, Yi; Piao, Yong; Wei, Wei; Pan, Chao; Lee, Dongkun; Zhao, Bing</t>
  </si>
  <si>
    <t>A comprehensive framework of cooling effect-accessibility-urban development to assessing and planning park cooling services</t>
  </si>
  <si>
    <t>SUSTAINABLE CITIES AND SOCIETY</t>
  </si>
  <si>
    <t>Park cooling service; Assessment and planning; Cooling effect; Accessibility; Urban development; Equity</t>
  </si>
  <si>
    <t>LAND-SURFACE TEMPERATURE; ISLAND INTENSITY; AIR-TEMPERATURE; CLIMATE-CHANGE; GREEN SPACES; EXTREME HEAT; SIZE; CITY; VULNERABILITY; LANDSCAPE</t>
  </si>
  <si>
    <t>With increasing global warming and urbanization, extreme heat events threaten the health of urban dwellers. Urban parks can alleviate severe urban heating, but previous research on park cooling effect has largely involved single-dimension analysis and lacked a multi-dimensional perspective that explores the equity of park cooling services. To address the issue, this study proposes a comprehensive framework of cooling effect-accessibility-urban development for assessing and planning 113 urban parks in Nanjing, China. The results show an unequal distribution of the park cooling services index (PCSI), which decreases outward from the city center to surrounding areas, with an average PCSI within the ring road 1.34 times higher than outside. The value of the cooling effect was relatively low, with the two lowest levels accounting for 65.5%, and the parks with low values of accessibility and urban development were concentrated outside the ring road. Additionally, increasing the park area, Normalized difference vegetation index of vegetated area, and blue-green proportion could effectively enhance the cooling effect. Four park cooling service types were identified according to supplydemand, as well as intervention strategies and adaptive planning measures were developed. This study constructed a new comprehensive framework for park cooling services to improve equity and promote urban parks.</t>
  </si>
  <si>
    <t>[Xiao, Yi; Zhao, Bing] Nanjing Forestry Univ, Coll Landscape Architecture, Nanjing 210037, Peoples R China; [Piao, Yong; Lee, Dongkun] Seoul Natl Univ, Interdisciplinary Program Landscape Architecture, Seoul 08826, South Korea; [Piao, Yong; Lee, Dongkun] Seoul Natl Univ, Integrated Major Smart City Global Convergence, Seoul 08826, South Korea; [Wei, Wei] Nanjing XiaoZhuang Univ, Sch Environm Sci, Nanjing 210000, Peoples R China; [Pan, Chao] Nanjing Agr Univ, Coll Econ &amp; Management, Nanjing 210095, Jiangsu, Peoples R China; [Lee, Dongkun] Seoul Natl Univ, Dept Landscape Architecture &amp; Rural Syst Engn, Seoul 08826, South Korea; [Zhao, Bing] Nanjing Forestry Univ, Dept Landscape Architecture, 159 Longpan Rd, Nanjing, Jiangsu, Peoples R China</t>
  </si>
  <si>
    <t>Nanjing Forestry University; Seoul National University (SNU); Seoul National University (SNU); Nanjing Xiaozhuang University; Nanjing Agricultural University; Seoul National University (SNU); Nanjing Forestry University</t>
  </si>
  <si>
    <t>Zhao, B (corresponding author), Nanjing Forestry Univ, Dept Landscape Architecture, 159 Longpan Rd, Nanjing, Jiangsu, Peoples R China.</t>
  </si>
  <si>
    <t>shirley@njfu.edu.cn; topdyd@snu.ac.kr; Weiwei8@njxzc.edu.cn; 2018206002@njau.edu.cn; dklee7@snu.ac.kr; zhbnl0118@njfu.edu.cn</t>
  </si>
  <si>
    <t>Priority Academic Program Development of Jiangsu Higher Educations Institutions (PAPD) [164120322]; Korea Environment Industry amp; Technology Institute (KEITI) - Korea Ministry of Environment (MOE) [2022003570004]; General Project of Philosophy and Social Science Research in Colleges and Universities in Jiangsu Province [2019SJA0438]; Chinese Scholarship Council [202008320451]</t>
  </si>
  <si>
    <t>Priority Academic Program Development of Jiangsu Higher Educations Institutions (PAPD); Korea Environment Industry amp; Technology Institute (KEITI) - Korea Ministry of Environment (MOE)(Ministry of Environment (ME), Republic of Korea); General Project of Philosophy and Social Science Research in Colleges and Universities in Jiangsu Province; Chinese Scholarship Council(China Scholarship Council)</t>
  </si>
  <si>
    <t>This research was supported by Priority Academic Program Development of Jiangsu Higher Educations Institutions (PAPD)[No. 164120322], Korea Environment Industry &amp; amp; Technology Institute (KEITI) through Climate Change R &amp; amp;D Project for New Climate Regime., funded by Korea Ministry of Environment (MOE) [2022003570004], General Project of Philosophy and Social Science Research in Colleges and Universities in Jiangsu Province [2019SJA0438], and Chinese Scholarship Council [Grant No. 202008320451]. The authors gratefully acknowledge the helpful reviews and comments from the editors and anonymous reviewers, which improved this manuscript considerably.</t>
  </si>
  <si>
    <t>2210-6707</t>
  </si>
  <si>
    <t>2210-6715</t>
  </si>
  <si>
    <t>SUSTAIN CITIES SOC</t>
  </si>
  <si>
    <t>Sust. Cities Soc.</t>
  </si>
  <si>
    <t>10.1016/j.scs.2023.104817</t>
  </si>
  <si>
    <t>Construction &amp; Building Technology; Green &amp; Sustainable Science &amp; Technology; Energy &amp; Fuels</t>
  </si>
  <si>
    <t>Construction &amp; Building Technology; Science &amp; Technology - Other Topics; Energy &amp; Fuels</t>
  </si>
  <si>
    <t>P0AA1</t>
  </si>
  <si>
    <t>WOS:001047340200001</t>
  </si>
  <si>
    <t>Xing, PC; An, SS; Wu, YH; Li, G; Liu, SZ; Wang, J; Cheng, YL; Zhang, YS; Pu, XJ</t>
  </si>
  <si>
    <t>Xing, Pengcheng; An, Shanshan; Wu, Yihan; Li, Gui; Liu, Sizhao; Wang, Jian; Cheng, Yuling; Zhang, Yangsong; Pu, Xianjie</t>
  </si>
  <si>
    <t>A triboelectric tactile sensor with flower-shaped holes for texture recognition</t>
  </si>
  <si>
    <t>NANO ENERGY</t>
  </si>
  <si>
    <t>Triboelectric nanogenerator; Texture identification; Deep learning; Skin potential shielding</t>
  </si>
  <si>
    <t>Touch is one of the important ways to perceive the surrounding environment. The surface texture is an essential character of an object. Here, we propose a dual-layer shielding triboelectric tactile sensor with patterned flowershaped holes. The object surface to be measured is able to rub against the tribo-layer through the flower-shaped holes to produce a signal output. The patterned design of the tactile sensor is evolved from the contact state of the fingertips during human finger touch. In addition, two shielding layers were designed. The inner-shielding layer is used to shield the influence of the human body potential on the output signal, in order to achieve more accurate identification. The outer-shielding layer enables the flower-shaped holes to play their structural role. The proposed tactile sensor has the advantage of a single channel, resulting in a smaller amount of data collection and processing than the multi-channel scheme. With a designed convolutional neural network model, the recognition accuracy reaches 96.03% when recognizing 7 objects with designed different surface textures and 92.58% when recognizing 5 kinds of fruits and vegetables. The tactile sensing module can be easily integrated into intelligent haptic prosthesis and play an important role in future human-machine interfaces.</t>
  </si>
  <si>
    <t>[Xing, Pengcheng; An, Shanshan; Li, Gui; Liu, Sizhao; Wang, Jian; Cheng, Yuling; Pu, Xianjie] Chongqing Univ, Dept Appl Phys, State Key Lab Power Transmiss Equipment &amp; Syst Sec, Chongqing Key Lab Soft Condensed Matter Phys &amp; Sma, Chongqing 400044, Peoples R China; [Wu, Yihan; Zhang, Yangsong] Southwest Univ Sci &amp; Technol, Sch Comp Sci &amp; Technol, Lab Brain Sci &amp; Med Artificial Intelligence, Mianyang 621010, Peoples R China</t>
  </si>
  <si>
    <t>Chongqing University; Southwest University of Science &amp; Technology - China</t>
  </si>
  <si>
    <t>Pu, XJ (corresponding author), Chongqing Univ, Dept Appl Phys, State Key Lab Power Transmiss Equipment &amp; Syst Sec, Chongqing Key Lab Soft Condensed Matter Phys &amp; Sma, Chongqing 400044, Peoples R China.;Zhang, YS (corresponding author), Southwest Univ Sci &amp; Technol, Sch Comp Sci &amp; Technol, Lab Brain Sci &amp; Med Artificial Intelligence, Mianyang 621010, Peoples R China.</t>
  </si>
  <si>
    <t>zhangysacademy@gmail.com; xjpu@cqu.edu.cn</t>
  </si>
  <si>
    <t>National Key R amp; D Project from Minister of Science and Technology [51902035]; National Natural Science Foundation of China (NSFC) [52073037, 62076209, CSTB2023NSCQ-MSX0945]; Natural Science Foundation of Chongqing; [2021YFA1201602]</t>
  </si>
  <si>
    <t>National Key R amp; D Project from Minister of Science and Technology; National Natural Science Foundation of China (NSFC)(National Natural Science Foundation of China (NSFC)); Natural Science Foundation of Chongqing(Natural Science Foundation of Chongqing);</t>
  </si>
  <si>
    <t>This work was supported by the National Key R &amp; D Project from Minister of Science and Technology (2021YFA1201602) , the National Natural Science Foundation of China (NSFC) (51902035, 52073037 and 62076209) , and the Natural Science Foundation of Chongqing (CSTB2023NSCQ-MSX0945) .</t>
  </si>
  <si>
    <t>2211-2855</t>
  </si>
  <si>
    <t>2211-3282</t>
  </si>
  <si>
    <t>Nano Energy</t>
  </si>
  <si>
    <t>10.1016/j.nanoen.2023.108758</t>
  </si>
  <si>
    <t>Chemistry, Physical; Nanoscience &amp; Nanotechnology; Materials Science, Multidisciplinary; Physics, Applied</t>
  </si>
  <si>
    <t>Chemistry; Science &amp; Technology - Other Topics; Materials Science; Physics</t>
  </si>
  <si>
    <t>Q7CZ9</t>
  </si>
  <si>
    <t>WOS:001059078900001</t>
  </si>
  <si>
    <t>Xu, HW; Huang, LL; Chen, J; Zhou, HL; Wan, Y; Qu, Q; Wang, MG; Xue, S</t>
  </si>
  <si>
    <t>Xu, Hongwei; Huang, Lulu; Chen, Jun; Zhou, Huiling; Wan, Yan; Qu, Qing; Wang, Minggang; Xue, Sha</t>
  </si>
  <si>
    <t>Changes in soil microbial activity and their linkages with soil carbon under global warming</t>
  </si>
  <si>
    <t>Climate change; Microbial community; Plant-soil-microorganisms; Soil nutrients cycling; Global meta-analysis</t>
  </si>
  <si>
    <t>ECOSYSTEM TYPE; ALPINE MEADOW; NITROGEN; DYNAMICS; METAANALYSIS; COMMUNITIES; RESPONSES; DROUGHT; ENZYMES; REGIMES</t>
  </si>
  <si>
    <t>Soil microorganisms play an important role in the carbon (C) cycling of terrestrial ecosystems. However, changes in soil microbial activity and their linkages with soil C under global warming remain unclear. Here, a global meta-analysis of 1272 pairwise observations was conducted to explore the effects of warming on soil microbial activity and their linkages with soil C under different warming duration (0-5, 5-10, and &gt; 10 yr), warming magnitudes (&lt;2 and &amp; GE; 2 C), ecosystem types (cropland, grassland, shrub, and forest), mean annual precipitation (MAP: 0-400, 400-800, and &gt; 800 mm), and mean annual temperature (MAT: 0-5, 5-10, 10-20, and &gt; 20 degrees C). Warming overall positively affected soil microbial C, bacteria diversity, fungi richness, and soil C content. Moreover, the positive effects of warming on microbial and soil C gradually weakened and even inhibited with increasing warming duration and magnitudes. Additionally, the soil microbial biomass and microbial diversity shifted from positive to negative relationships with increasing MAP and MAT. Warming mainly affected soil microbial biomass and bacteria diversity in grasslands. Finally, warming induced significant linear relationships of microbial variables with soil C. In conclusion, our results indicated that warming had significant influences on soil microbial activity and soil C cycling, depending on warming duration, magnitudes, ecosystem types, MAP, and MAT. Such findings underscore the important effects of warming on soil C cycling in global ecosystems, which may improve our ability to predict soil biogeochemical cycles in this biome.</t>
  </si>
  <si>
    <t>[Xu, Hongwei; Huang, Lulu; Chen, Jun; Zhou, Huiling; Wan, Yan] Sichuan Agr Univ, Coll Forestry, Chengdu 611130, Peoples R China; [Wang, Minggang] Beijing Forestry Univ, Coll Forestry, Key Lab Silviculture &amp; Conservat, Minist Educ, Beijing, Peoples R China; [Qu, Qing; Xue, Sha] Chinese Acad Sci, Res Ctr Soil &amp; Water Conservat &amp; Ecol Environm, State Key Lab Soil Eros &amp; Dryland Farming Loess Pl, Yangling 712100, Shaanxi, Peoples R China; [Qu, Qing; Xue, Sha] Minist Educ, Yangling 712100, Shaanxi, Peoples R China; [Xu, Hongwei; Qu, Qing] Huimin Rd 211, Chengdu 611130, Sichuan, Peoples R China</t>
  </si>
  <si>
    <t>Sichuan Agricultural University; Beijing Forestry University; Chinese Academy of Sciences; Institute of Soil &amp; Water Conservation (ISWC), CAS</t>
  </si>
  <si>
    <t>Xu, HW; Qu, Q (corresponding author), Huimin Rd 211, Chengdu 611130, Sichuan, Peoples R China.</t>
  </si>
  <si>
    <t>xuhongwei16@mails.ucas.ac.cn; ylxnqq@nwafu.edu.cn</t>
  </si>
  <si>
    <t>Xu, Hongwei/0000-0002-3628-3378</t>
  </si>
  <si>
    <t>National Natural Science Foundation of China [32071745]; Open Fund for Key Lab; Open Fund for Key Lab. of Land Degradation Ecological Restoration in northwestern China of Ningxia University [LDER2023Z02]</t>
  </si>
  <si>
    <t>National Natural Science Foundation of China(National Natural Science Foundation of China (NSFC)); Open Fund for Key Lab; Open Fund for Key Lab. of Land Degradation Ecological Restoration in northwestern China of Ningxia University</t>
  </si>
  <si>
    <t>This work was supported by the National Natural Science Foundation of China (32071745) and the Open Fund for Key Lab. of Land Degradation and Ecological Restoration in northwestern China of Ningxia University (LDER2023Z02) .</t>
  </si>
  <si>
    <t>10.1016/j.catena.2023.107419</t>
  </si>
  <si>
    <t>P0AR7</t>
  </si>
  <si>
    <t>WOS:001047357800001</t>
  </si>
  <si>
    <t>Xu, LB; Li, K; Zhang, MJ; Guo, JB; Jia, WQ; Bai, XY; Tian, XD; Huang, Y</t>
  </si>
  <si>
    <t>Xu, Libo; Li, Kang; Zhang, Mengjun; Guo, Jiabao; Jia, Weiqian; Bai, Xinyi; Tian, Xudong; Huang, Yi</t>
  </si>
  <si>
    <t>Plastic substrate and residual time of microplastics in the urban river shape the composition and structure of bacterial communities in plastisphere</t>
  </si>
  <si>
    <t>Urban river; Microplastics; Bacterial community; Substrate-specificity; Human health risk</t>
  </si>
  <si>
    <t>MICROBIAL COMMUNITIES; BIOFILM FORMATION; SURFACE; ENVIRONMENTS; ASSEMBLAGES; WATER; FATE</t>
  </si>
  <si>
    <t>The widespread secondary microplastics (MPs) in urban freshwater, originating from plastic wastes, have created a new habitat called plastisphere for microorganisms. The factors influencing the structure and ecological risks of the microbial community within the plastisphere are not yet fully understood. We conducted an in-site incubation experiment in an urban river, using MPs from garbage bags (GB), shopping bags (SB), and plastic bottles (PB). Bacterial communities in water and plastisphere incubated for 2 and 4 weeks were analyzed by 16S highthroughput sequencing. The results showed the bacterial composition of the plastisphere, especially the PB, exhibited enrichment of plastic-degrading and photoautotrophic taxa. Diversity declined in GB and PB but increased in SB plastisphere. Abundance analysis revealed distinct bacterial species that were enriched or depleted in each type of plastisphere. As the succession progressed, the differences in community structure was more pronounced, and the decline in the complexity of bacterial community within each plastisphere suggested increasing specialization. All the plastisphere exhibited elevated pathogenicity at the second or forth week, compared to bacterial communities related to natural particles. These findings highlighted the continually evolving plastisphere in urban rivers was influenced by the plastic substrates, and attention should be paid to fragile plastic wastes due to the rapidly increasing pathogenicity of the bacterial community attached to them.</t>
  </si>
  <si>
    <t>[Xu, Libo; Li, Kang; Jia, Weiqian; Bai, Xinyi; Huang, Yi] Peking Univ, Coll Environm Sci &amp; Engn, State Key Joint Lab Environm Simulat &amp; Pollut Cont, Beijing 100871, Peoples R China; [Tian, Xudong] Zhejiang Ecol &amp; Environm Monitoring Ctr, Key Lab Ecol &amp; Environm Monitoring Forewarning &amp; Q, Hangzhou 310012, Peoples R China; [Zhang, Mengjun] Peking Univ, Shenzhen Inst, Shenzhen 518057, Guangdong, Peoples R China; [Zhang, Mengjun] PKU HKUST Shenzhen Hongkong Inst, Shenzhen 518057, Guangdong, Peoples R China</t>
  </si>
  <si>
    <t>Peking University; Peking University; Peking University; PKU-HKUST Shenzhen HongKong Institution; Hong Kong University of Science &amp; Technology</t>
  </si>
  <si>
    <t>Huang, Y (corresponding author), Peking Univ, Coll Environm Sci &amp; Engn, State Key Joint Lab Environm Simulat &amp; Pollut Cont, Beijing 100871, Peoples R China.;Tian, XD (corresponding author), Zhejiang Ecol &amp; Environm Monitoring Ctr, Key Lab Ecol &amp; Environm Monitoring Forewarning &amp; Q, Hangzhou 310012, Peoples R China.</t>
  </si>
  <si>
    <t>tianxudong@zjemc.org.cn; yhuang@pku.edu.cn</t>
  </si>
  <si>
    <t>Xu, Libo/0000-0002-2591-2300</t>
  </si>
  <si>
    <t>National Natural Science Foundation of China [42177364]; State Key Joint Laboratory of Environmental Simulation and Pollution Control [21Y01ESPCP]; Open Fund of Key Laboratory of Ecological and Environmental Monitoring, Forewarning and Quality Control of Zhejiang [EEMFQ-2021-5]; China Postdoctoral Science Foundation [2022M720280]; Guangdong Basic and Applied Basic Research Foundation [2022A1515110814]</t>
  </si>
  <si>
    <t>National Natural Science Foundation of China(National Natural Science Foundation of China (NSFC)); State Key Joint Laboratory of Environmental Simulation and Pollution Control; Open Fund of Key Laboratory of Ecological and Environmental Monitoring, Forewarning and Quality Control of Zhejiang; China Postdoctoral Science Foundation(China Postdoctoral Science Foundation); Guangdong Basic and Applied Basic Research Foundation</t>
  </si>
  <si>
    <t>This study was supported by the National Natural Science Foundation of China (No. 42177364) , the State Key Joint Laboratory of Environmental Simulation and Pollution Control (No.21Y01ESPCP) , Open Fund of Key Laboratory of Ecological and Environmental Monitoring, Forewarning and Quality Control of Zhejiang (EEMFQ-2021-5) , China Postdoctoral Science Foundation (2022M720280) , and Guangdong Basic and Applied Basic Research Foundation (2022A1515110814) . Acknowledges the warm supports from Jie Deng (Thermo Fisher Scientific), Jie Wang (China Agricultural University) .</t>
  </si>
  <si>
    <t>10.1016/j.jenvman.2023.118710</t>
  </si>
  <si>
    <t>P7RB9</t>
  </si>
  <si>
    <t>WOS:001052598000001</t>
  </si>
  <si>
    <t>Xu, XY; Kirianova, AV; Evdokimov, PV; Liu, YY; Jiao, XX; Volkov, VS; Goodilin, EA; Veselova, IA; Putlayev, VI; Kapitanova, OO</t>
  </si>
  <si>
    <t>Xu, Xieyu; Kirianova, Alina, V; Evdokimov, Pavel, V; Liu, Yangyang; Jiao, Xingxing; Volkov, Valentin S.; Goodilin, Evgeny A.; Veselova, Irina A.; Putlayev, Valery I.; Kapitanova, Olesya O.</t>
  </si>
  <si>
    <t>Li1.3Al0.3Ti1.7(PO4)3 ceramic electrolyte fabricated from bimodal powder precursor</t>
  </si>
  <si>
    <t>Sol-polymer processes; Solid -state electrolytes; Sintering; Ionic conductivity; Batteries</t>
  </si>
  <si>
    <t>CONDUCTING SOLID-ELECTROLYTE; IONIC-CONDUCTIVITY; SINTERING TEMPERATURE; LITHIUM METAL; LATP; MICROSTRUCTURE</t>
  </si>
  <si>
    <t>A novel approach is proposed to design high-quality NASICON-type solid-state electrolytes (SSEs) based on Li1.3Al0.3Ti1.7(PO4)3 (LATP) by incorporating nanoparticles into a matrix of microparticles, which could efficiently improve densification of LATP SSEs by sintering. Moreover, LATP SSEs with bimodal microstructures are obtained by tuning mass ratio of 60 nm and 600 nm ceramic particles, which are fabricated by sol-polymer and molten quenching methods, respectively. The LATP SSE containing 60 nm and 600 nm particles with the mass ratio of 10%/90% displays a high ionic conductivity of (5.93 &amp; PLUSMN; 0.24)x 10-4 S/cm at room temperature and relative density of 95.5 &amp; PLUSMN; 1.1% after sintering at 900 degrees C for 6 h. Besides, the Li||LATP||Li symmetric cell with the mass ratio of 10%/90% exhibits better cyclic stability with a steady polarization voltage of 121.2 mV than that of other ratios. Therefore, SSEs with multimodal microstructures pave a promising venue for practical application of high-energy-density and safe solid-state Li metal battery.</t>
  </si>
  <si>
    <t>[Xu, Xieyu; Goodilin, Evgeny A.; Putlayev, Valery I.] Lomonosov Moscow State Univ, Fac Mat Sci, Leninskie gory 1, Moscow 119991, Russia; [Liu, Yangyang; Jiao, Xingxing; Goodilin, Evgeny A.; Veselova, Irina A.; Putlayev, Valery I.; Kapitanova, Olesya O.] Lomonosov Moscow State Univ, Fac ?hemistry, Leninskie gory 1, Moscow 119991, Russia; [Volkov, Valentin S.] XPANCEO, Emerging Technol Res Ctr, Dubai Investment Pk 1, Dubai 6070406, U Arab Emirates</t>
  </si>
  <si>
    <t>Lomonosov Moscow State University; Lomonosov Moscow State University</t>
  </si>
  <si>
    <t>Jiao, XX; Kapitanova, OO (corresponding author), Lomonosov Moscow State Univ, Fac ?hemistry, Leninskie gory 1, Moscow 119991, Russia.</t>
  </si>
  <si>
    <t>tsziao.s@mipt.ru; kapitanova@inorg.chem.msu.ru</t>
  </si>
  <si>
    <t>Jiao, Xingxing/HKE-1239-2023</t>
  </si>
  <si>
    <t>Jiao, Xingxing/0000-0002-9231-7931; Liu, Yangyang/0000-0002-4542-7409</t>
  </si>
  <si>
    <t>China Scholarship Council [201908090043]; Ministry of Science and Higher Education of the Russian Federation [075-15-2021-606]; Interdisciplinary Scientific and Educational School of Moscow University Future Planet: Global Environmental Change</t>
  </si>
  <si>
    <t>China Scholarship Council(China Scholarship Council); Ministry of Science and Higher Education of the Russian Federation; Interdisciplinary Scientific and Educational School of Moscow University Future Planet: Global Environmental Change</t>
  </si>
  <si>
    <t>This work was supported by China Scholarship Council (No. 201908090043) . The research was carried out using the equipment of MSU Shared Research Equipment Center Technologies for obtaining new nanostructured materials and their complex study and purchased by MSU in the frame of the Equipment Renovation Program (NationalProject Science) and in the frame of the MSU Program of Development. This research has been supported by the Ministry of Science and Higher Education of the Russian Federation (No. 075-15-2021-606) and the Interdisciplinary Scientific and Educational School of Moscow University Future Planet: Global Environmental Change.</t>
  </si>
  <si>
    <t>10.1016/j.jeurceramsoc.2023.06.057</t>
  </si>
  <si>
    <t>O5UX7</t>
  </si>
  <si>
    <t>WOS:001044469300001</t>
  </si>
  <si>
    <t>Xu, YH; Guo, HR; Zheng, RP; Wei, YR; Wen, BH; Fang, KK; Zhang, Y; Cheng, JL; Han, SQ</t>
  </si>
  <si>
    <t>Xu, Yinhuan; Guo, Huirong; Zheng, Ruiping; Wei, Yarui; Wen, Baohong; Fang, Keke; Zhang, Yan; Cheng, Jingliang; Han, Shaoqiang</t>
  </si>
  <si>
    <t>Decreased intrinsic neural timescales in obsessive compulsive disorder and two distinct subtypes revealed by heterogeneity through discriminative analysis</t>
  </si>
  <si>
    <t>Obsessive compulsive disorder; Intrinsic neural timescales; Heterogeneity through discriminative analysis; Subtypes; Functional magnetic resonance imaging</t>
  </si>
  <si>
    <t>DEFAULT NETWORK; SCHIZOPHRENIA; CONNECTIVITY; ASSOCIATION</t>
  </si>
  <si>
    <t>Background: OCD is featured as the destruction of information storage and processing. The cognition of neurobiological and clinical heterogeneity is in suspense and poorly studied. Methods: Ninety-nine patients and matched HCs(n = 104) were recruited and underwent resting-state functional MRI scans. We applied INT to evaluate altered local neural dynamics representing the ability of information integration. Moreover, considering OCD was a highly heterogeneous disorder, we investigated putative OCD subtypes from INT using a novel semi-supervised machine learning, named HYDRA. Results: Compared with HCs, patients with OCD showed decreased INTs in extensive brain regions, including bilateral cerebellum and precuneus, STG/MTG and PCC, hippocampus in DMN; right IFG/MFG/SFG, SPL and bilateral angular gyrus in CEN and insula, SMA in SN. Moreover, many other regions involved in visual processing also had disrupted dynamics of local neural organization, consisting of bilateral CUN, LING and fusiform gyrus and occipital lobe. HYDRA divided patients into two distinct neuroanatomical subtypes from INT. Subtype 1 showed decreased INTs in distributed networks, while subtype 2 presented increased in several common regions which were also found to be decreased in subtype 1, such as STG, IPL, postcentral gyrus and left insula, supramarginal gyrus. Conclusion: This study showed distinct abnormalities from the perspective of dynamics of local neural organization in OCD. Such alteration and dimensional approach may provide a new insight into the prior traditional cognition of this disorder and to some extent do favor of more precise diagnosis and treatment response in the future.</t>
  </si>
  <si>
    <t>[Xu, Yinhuan; Zheng, Ruiping; Wei, Yarui; Wen, Baohong; Zhang, Yan; Cheng, Jingliang; Han, Shaoqiang] Zhengzhou Univ, Affiliated Hosp 1, Dept MRI, 1 Jianshe Dong Rd, Zhengzhou 450052, Henan, Peoples R China; [Guo, Huirong] Zhengzhou Univ, Affiliated Hosp 1, Dept Psychiat, Zhengzhou, Peoples R China; [Fang, Keke] Zhengzhou Univ, Affiliated Canc Hosp, Clin Res Ctr, Zhengzhou, Peoples R China</t>
  </si>
  <si>
    <t>Zhengzhou University; Zhengzhou University; Zhengzhou University</t>
  </si>
  <si>
    <t>Zhang, Y; Cheng, JL; Han, SQ (corresponding author), Zhengzhou Univ, Affiliated Hosp 1, Dept MRI, 1 Jianshe Dong Rd, Zhengzhou 450052, Henan, Peoples R China.</t>
  </si>
  <si>
    <t>fcczhangy61@zzu.edu.cn; fccchengjl@zzu.edu.cn; shaoqianghan@163.com</t>
  </si>
  <si>
    <t>Natural Science Foundation of China [81601467, 81871327, 62106229]; Medical Science and Technology Research Project of Henan Province [2018010007]</t>
  </si>
  <si>
    <t>Natural Science Foundation of China(National Natural Science Foundation of China (NSFC)); Medical Science and Technology Research Project of Henan Province</t>
  </si>
  <si>
    <t>~ This research was supported by the Natural Science Foundation of China (81601467, 81871327, 62106229) and Medical Science and Technology Research Project of Henan Province (2018010007) .</t>
  </si>
  <si>
    <t>10.1016/j.jad.2023.07.112</t>
  </si>
  <si>
    <t>R8PL1</t>
  </si>
  <si>
    <t>WOS:001066920000001</t>
  </si>
  <si>
    <t>Xu, Z; Zhang, T; Li, XJ; Li, Y</t>
  </si>
  <si>
    <t>Xu, Zhi; Zhang, Ting; Li, Xiaojuan; Li, Yan</t>
  </si>
  <si>
    <t>Effects of ambient temperature and wind speed on icing characteristics and anti-icing energy demand of a blade airfoil for wind turbine</t>
  </si>
  <si>
    <t>Wind turbine blade; Icing characteristics; Anti-Icing energy; Ambient temperature; Wind speed</t>
  </si>
  <si>
    <t>ICE ACCRETION PROCESS; FENSAP-ICE; MODEL; SIMULATION; POWER</t>
  </si>
  <si>
    <t>The icing on wind turbines causes liability issues in cold and humid climate regions with extreme climatic conditions. Accordingly, in this study, numerical simulation is employed to investigate the icing characteristics and anti-icing energy demand of a blade airfoil for wind turbines under various icing conditions. The findings indicate that the distribution range of ice accretion at 268 K is broader than that at 253 K. The maximum water film thickness experiences a significant increase at 6-8 m/s, while exhibiting a slight change at 8-14 m/s for an ambient temperature of 268 K. As the wind speed rises (6-14 m/s), the maximum heat flux demanded for antiicing increases by 2717 W/m2 and 745 W/m2 for 253 K and 268 K, respectively. The heat flux demanded for antiicing on the positions (0-0.02 m) of the blade airfoil declines sharply, as the latent heat released by solidification elevates the blade surface temperature. The heat flux demanded for anti-icing on the positions (0.06-0.18 m) of the blade airfoil rises at 6-8 m/s and diminishes at 14 m/s due to the change in growth rate of water film caused by airflow. This research contributes to the development of anti-icing method design for wind turbines.</t>
  </si>
  <si>
    <t>[Xu, Zhi; Zhang, Ting; Li, Xiaojuan; Li, Yan] Northeast Agr Univ, Coll Engn, 600 Changjiang Rd Xiangfang Dist, Harbin 150030, Peoples R China; [Xu, Zhi; Li, Yan] Northeast Agr Univ, Heilongjiang Prov Key Lab Technol &amp; Equipment Util, Harbin 150030, Peoples R China</t>
  </si>
  <si>
    <t>Northeast Agricultural University - China; Northeast Agricultural University - China</t>
  </si>
  <si>
    <t>Li, Y (corresponding author), Northeast Agr Univ, Coll Engn, 600 Changjiang Rd Xiangfang Dist, Harbin 150030, Peoples R China.</t>
  </si>
  <si>
    <t>zxu@neau.edu.cn; liyanneau@neau.edu.cn</t>
  </si>
  <si>
    <t>National Natural Science Founda-tion of China [52106228]</t>
  </si>
  <si>
    <t>This study was supported by the National Natural Science Founda-tion of China (Grant No. 52106228) .</t>
  </si>
  <si>
    <t>10.1016/j.renene.2023.119135</t>
  </si>
  <si>
    <t>R6NN2</t>
  </si>
  <si>
    <t>WOS:001065504700001</t>
  </si>
  <si>
    <t>Xue, K; Wei, PF; Qi, WT; Jia, L; Tong, L; Qi, ZJ</t>
  </si>
  <si>
    <t>Xue, Ke; Wei, Pengfei; Qi, Wentong; Jia, Lin; Tong, Lei; Qi, Zhengjian</t>
  </si>
  <si>
    <t>An endoplasmic reticulum targeted NIR-AIE fluorescent probe with superior photostability for accelerating oxidative stress to trigger cancer cells apoptosis</t>
  </si>
  <si>
    <t>Endoplasmic reticulum targeting; Near-infrared emission; oxidative stress; photodynamic therapy</t>
  </si>
  <si>
    <t>MECHANISMS; GENERATION; BRAIN</t>
  </si>
  <si>
    <t>Targeting the organelles that generate oxidative stress and implementing oxidative stress therapy is an essential and ambitious task. As an important subcellular organelle in eukaryotic cells, the endoplasmic reticulum (ER) is significant in mediating the direction of cell metabolism and apoptosis. To achieve the goal, we rationally designed and synthesized a photosensitizer named TTQ-ER with aggregation-induced emission (AIE) characteristics. Such a probe connects the AIE-fluorophore to the glibenclamide backbone, which enables TTQ-ER to specifically target the ER and promote emission in the near-infrared region, avoiding the negative impact of autofluorescence in organisms. Meanwhile, TTQ-ER has a large stokes shift, excellent anti-photobleaching properties, and sufficient O-1(2) production (8.85-fold of Ce6). Apoptosis assay and cell migration assay further verified that excessive reactive oxygen species production by TTQ-ER in cancer cells could promote oxidative stress in the ER microenvironment and disrupt the normal biological function of ER, thus causing elevated local lipid peroxidation and inducing apoptosis in cancer cells. Consequently, this work offers informative ideas for designing a newly generation of photosensitizers to achieve accurate photodynamic therapy.</t>
  </si>
  <si>
    <t>[Xue, Ke; Qi, Zhengjian] Southeast Univ, Sch Chem &amp; Chem Engn, Nanjing 211189, Jiangsu, Peoples R China; [Wei, Pengfei; Qi, Wentong; Jia, Lin; Tong, Lei] Special Equipment Safety Supervis Inspection Insti, Nanjing 210003, Jiangsu, Peoples R China</t>
  </si>
  <si>
    <t>Southeast University - China</t>
  </si>
  <si>
    <t>Qi, ZJ (corresponding author), Southeast Univ, Sch Chem &amp; Chem Engn, Nanjing 211189, Jiangsu, Peoples R China.</t>
  </si>
  <si>
    <t>qizhengjian@seu.edu.cn</t>
  </si>
  <si>
    <t>Science and Technology Achievements Transformation Special Fund of Jiangsu Province [BA2019052]</t>
  </si>
  <si>
    <t>Science and Technology Achievements Transformation Special Fund of Jiangsu Province</t>
  </si>
  <si>
    <t>Acknowledgment This research work was financially supported by the Science and Technology Achievements Transformation Special Fund of Jiangsu Province (BA2019052) .</t>
  </si>
  <si>
    <t>10.1016/jdyepig.2023.111652</t>
  </si>
  <si>
    <t>S3AI5</t>
  </si>
  <si>
    <t>WOS:001069926700001</t>
  </si>
  <si>
    <t>Yaghin, RG; Farmani, Z</t>
  </si>
  <si>
    <t>Yaghin, R. Ghasemy; Farmani, Zahra</t>
  </si>
  <si>
    <t>Planning a low-carbon, price-differentiated supply chain with scenario-based capacities and eco-friendly customers</t>
  </si>
  <si>
    <t>INTERNATIONAL JOURNAL OF PRODUCTION ECONOMICS</t>
  </si>
  <si>
    <t>Trade and COVID-19; Price; and carbon-dependent demand; Stochastic supply; Green marketing</t>
  </si>
  <si>
    <t>ENVIRONMENTAL CONSIDERATIONS; DEMAND CLASSES; MODEL; DECISIONS; EMISSION; DESIGN; OPTIMIZATION; MANAGEMENT; POLICIES; SYSTEMS</t>
  </si>
  <si>
    <t>This paper examines a comprehensive supply chain planning and differential pricing problem with carbon emissions considering (inbound and outbound) transportation policies. It also incorporates customers' preferences regarding prices and products' environmental attributes in a market-segmented setting. Furthermore, supply uncertainties (induced by COVID-19 epidemic) are incorporated into the supply chain resource allocation problem. A novel scenario-based mixed-integer non-linear programming model is developed to deal with challenges. Subsequently, an optimal tactical plan is obtained by employing two-stage stochastic programming and convex analysis, which are enhanced by the interval Hessian matrix. Our findings suggest that failing to account for supply uncertainty could lead to intolerable losses and compromise the sustainability of the business.</t>
  </si>
  <si>
    <t>[Yaghin, R. Ghasemy] Amirkabir Univ Technol, Dept Ind Engn &amp; Management Syst, Tehran, Iran; [Farmani, Zahra] Amirkabir Univ Technol, Dept Ind Engn &amp; Management Syst, Garmsar Campus, Tehran, Iran</t>
  </si>
  <si>
    <t>Amirkabir University of Technology; Amirkabir University of Technology</t>
  </si>
  <si>
    <t>Yaghin, RG (corresponding author), Amirkabir Univ Technol, Dept Ind Engn &amp; Management Syst, Tehran, Iran.</t>
  </si>
  <si>
    <t>yaghin@aut.ac.ir</t>
  </si>
  <si>
    <t>0925-5273</t>
  </si>
  <si>
    <t>1873-7579</t>
  </si>
  <si>
    <t>INT J PROD ECON</t>
  </si>
  <si>
    <t>Int. J. Prod. Econ.</t>
  </si>
  <si>
    <t>10.1016/j.ijpe.2023.108986</t>
  </si>
  <si>
    <t>Engineering, Industrial; Engineering, Manufacturing; Operations Research &amp; Management Science</t>
  </si>
  <si>
    <t>R7DS5</t>
  </si>
  <si>
    <t>WOS:001065927800001</t>
  </si>
  <si>
    <t>Yang, H; Wang, N; Wang, Y; Peng, RL; Li, S</t>
  </si>
  <si>
    <t>Yang, H.; Wang, N.; Wang, Y. D.; Peng, R. Lin; Li, S. L.</t>
  </si>
  <si>
    <t>Origin of quasi-linear superelasticity at high temperature in Ni-Mn-Ga-Co shape memory alloy</t>
  </si>
  <si>
    <t>Shape memory alloys; In-situ neutron diffraction; Superelasticity; Ni-Mn-Ga-Co</t>
  </si>
  <si>
    <t>BEHAVIOR; DIFFRACTION; NEUTRON</t>
  </si>
  <si>
    <t>The quasi-linear superelasticity in Ni-Mn-Ga-Co shape memory alloy displays a complete recoverable strain of similar to 3% at 473 K for the cubic phase in precursor state. The in-situ neutron diffraction experiments provide the direct evidence on the stress-induced transition from the precursor state to martensite via the continuous variation of lattice parameter and peak width under uniaxial stress field. The anomalous broadening in peak width suggests that the external stress field may trigger very high heterogeneity in lattice distortion for the initial precursor state having randomly-distributed domains with short-range strain ordering prior to the martensitic transformation. The origin of the quasi-linear superelasticity at high temperature is considered as the ruggedness of the local energy landscape. The present investigations provide new insight into the understanding of superelasticity in shape memory alloys.</t>
  </si>
  <si>
    <t>[Yang, H.; Wang, N.] Jiamusi Univ, Sch Mat Sci &amp; Engn, Key Lab Oral Biomed Mat &amp; Clin Applicat Heilongjia, Jiamusi 154007, Peoples R China; [Wang, Y. D.; Li, S. L.] Univ Sci &amp; Technol Beijing, State Key Lab Adv Met &amp; Mat, Beijing 100083, Peoples R China; [Peng, R. Lin] Linkoping Univ, Dept Management &amp; Engn, Div Engn Mat, SE-58183 Linkoping, Sweden</t>
  </si>
  <si>
    <t>Jiamusi University; University of Science &amp; Technology Beijing; Linkoping University</t>
  </si>
  <si>
    <t>Yang, H (corresponding author), Jiamusi Univ, Sch Mat Sci &amp; Engn, Key Lab Oral Biomed Mat &amp; Clin Applicat Heilongjia, Jiamusi 154007, Peoples R China.;Wang, Y (corresponding author), Univ Sci &amp; Technol Beijing, State Key Lab Adv Met &amp; Mat, Beijing 100083, Peoples R China.</t>
  </si>
  <si>
    <t>freedomyahu@163.com; ydwang@ustb.edu.cn</t>
  </si>
  <si>
    <t>wang, yandong/G-9404-2013</t>
  </si>
  <si>
    <t>wang, yandong/0000-0002-4758-4352</t>
  </si>
  <si>
    <t>National Natural Science Foundation of China [51831003, 52101222]; State Key Lab of Advanced Metals and Materials [2022-Z07]; Training Plan of Youth Innovative Talents of Heilongjiang Province [UNPYSCT- 2020053]</t>
  </si>
  <si>
    <t>National Natural Science Foundation of China(National Natural Science Foundation of China (NSFC)); State Key Lab of Advanced Metals and Materials; Training Plan of Youth Innovative Talents of Heilongjiang Province</t>
  </si>
  <si>
    <t>This work was supported by National Natural Science Foundation of China (Grant No. 52101222 and No. 51831003) , State Key Lab of Advanced Metals and Materials (2022-Z07) and the Training Plan of Youth Innovative Talents of Heilongjiang Province (UNPYSCT- 2020053) . This work has benefited from the use of the Lujan Center at Los Alamos Neutron Science Center, the DOE Office of Basic Energy Sciences and Los Alamos National Laboratory.</t>
  </si>
  <si>
    <t>10.1016/j.intermet.2023.108001</t>
  </si>
  <si>
    <t>Q8EF2</t>
  </si>
  <si>
    <t>WOS:001059792400001</t>
  </si>
  <si>
    <t>Yang, HY; Wei, ZW; Duan, YK; Wu, YQ; Zhang, CH; Wu, WL; Lyu, LF; Li, WL</t>
  </si>
  <si>
    <t>Yang, Haiyan; Wei, Zhiwen; Duan, Yongkang; Wu, Yaqiong; Zhang, Chunhong; Wu, Wenlong; Lyu, Lianfei; Li, Weilin</t>
  </si>
  <si>
    <t>Transcriptomic and metabolomic investigation of the adaptation mechanisms of blueberries to nitrogen deficiency stress</t>
  </si>
  <si>
    <t>Blueberry; Nitrogen deficiency; Carbon metabolism; Secondary metabolism; Amino acids</t>
  </si>
  <si>
    <t>ANTIOXIDANT ACTIVITY; PATHWAY</t>
  </si>
  <si>
    <t>Nitrogen (N) is the main factor to influence the growth and development of blueberry. To increase N utilization efficiency, it is critical to understand the mechanisms underlying their resistance to N deprivation and identify the genes and metabolites involved. In this study, two-year-old blueberry 'Sunshine' seedlings were treated with N deficiency (ND) and a control (normal N supply). Transcriptome and metabolome studies of blueberry leaves with varying N deficiency periods (30 days and 90 days) were performed. Transcriptome profiling result showed there was a maximum of 10677 differentially expressed genes (DEGs) in the comparison group of ND90 vs.CK0. The ND90 vs. ND30 comparison group had 5957 DEGs, demonstrating that the duration of ND treatment was a critical factor for gene alterations. Kyoto Encyclopedia of Genes and Genomes (KEGG) enrichment analysis showed that there were 40, 92, 39, 31, 20, 33 DEGs in photosynthesis, starch and sucrose metabolism, glycolysis/ gluconeogenesis, the tricarboxylic acid cycle (TCA), N metabolism, and amino acid metabolism pathways, respectively. Metabonomics research revealed a total of 939 metabolites, primarily lipids, amino acids, carbohydrates and flavonoids. The combined analysis found that 151 DEGs and 13 differentially abundant metabolites (DAMs) were associated with the shikimate pathway (21 DEGs and 4 DAMs), the phenylpropanoid pathway (107 DEGs and 5 DAMs), and the flavonoid pathway (23 DEGs and 4 DAMs). These findings provide new information to improve the understanding of the molecular mechanisms driving blueberry adaptation to N-deficient settings and will help improve blueberry N use efficiency through breeding.</t>
  </si>
  <si>
    <t>[Yang, Haiyan; Wu, Yaqiong; Zhang, Chunhong; Wu, Wenlong; Lyu, Lianfei] Jiangsu Prov &amp; Chinese Acad Sci, Inst Bot, Jiangsu Key Lab Res &amp; Utilizat Plant Resources, Nanjing Bot Garden Mem Sun Yat Sen, Nanjing 210014, Peoples R China; [Wei, Zhiwen; Duan, Yongkang; Li, Weilin] Nanjing Forestry Univ, Coll Forestry, Coinnovat Ctr Sustainable Forestry Southern China, Nanjing 210037, Peoples R China</t>
  </si>
  <si>
    <t>Chinese Academy of Sciences; Nanjing Forestry University</t>
  </si>
  <si>
    <t>Wu, WL (corresponding author), Jiangsu Prov &amp; Chinese Acad Sci, Inst Bot, Jiangsu Key Lab Res &amp; Utilizat Plant Resources, Nanjing Bot Garden Mem Sun Yat Sen, Nanjing 210014, Peoples R China.;Li, WL (corresponding author), Nanjing Forestry Univ, Coll Forestry, Coinnovat Ctr Sustainable Forestry Southern China, Nanjing 210037, Peoples R China.</t>
  </si>
  <si>
    <t>1964wwl@163.com; wlli@njfu.edu.cn</t>
  </si>
  <si>
    <t>Jiangsu Agricultural Science and Technology Innovation Fund Project [CX (21) 3172]; Earmarked Fund for Jiangsu Agricultural Industry Technology System [JATS [2022] 510]; Chinese Central Financial Project for Extension and Demonstration of Forestry Technology [SU [2021] TG08]; Chinese Central Financial Project for Cooperative Extension of Major Agricultural Technology; [2022-ZYXT-06]</t>
  </si>
  <si>
    <t>Jiangsu Agricultural Science and Technology Innovation Fund Project; Earmarked Fund for Jiangsu Agricultural Industry Technology System; Chinese Central Financial Project for Extension and Demonstration of Forestry Technology; Chinese Central Financial Project for Cooperative Extension of Major Agricultural Technology;</t>
  </si>
  <si>
    <t>This work was supported by Jiangsu Agricultural Science and Technology Innovation Fund Project (CX (21) 3172) , Earmarked Fund for Jiangsu Agricultural Industry Technology System (JATS [2022] 510) , Chinese Central Financial Project for Extension and Demonstration of Forestry Technology (SU [2021] TG08) and Chinese Central Financial Project for Cooperative Extension of Major Agricultural Technology (2022-ZYXT-06) .</t>
  </si>
  <si>
    <t>10.1016/j.scienta.2023.112376</t>
  </si>
  <si>
    <t>P6SK6</t>
  </si>
  <si>
    <t>WOS:001051952600001</t>
  </si>
  <si>
    <t>Yang, JH; Lee, HS; Kim, DS; Kim, DJ; Yoon, JH; Koo, YH</t>
  </si>
  <si>
    <t>Yang, Jae Ho; Lee, Heung Soo; Kim, Dong Seok; Kim, Dong-Joo; Yoon, Ji-Hae; Koo, Yang-Hyun</t>
  </si>
  <si>
    <t>Mixed analytical model to estimate the anisotropic effective thermal conductivity and in-reactor performance of metallic microcell UO2</t>
  </si>
  <si>
    <t>Accident tolerant fuel; Microcell UO 2; Effective thermal conductivity; Anisotropy; Analytical model; Irradiated fuel temperature</t>
  </si>
  <si>
    <t>COMPOSITE FUEL PELLETS; URANIUM-DIOXIDE; FABRICATION; TEMPERATURE; BEHAVIOR; MATRIX</t>
  </si>
  <si>
    <t>A mixed analytical model is utilized to estimate the effective thermal conductivity of microcell UO2 pellets. The proposed model consists of a mixture of parallel and series structural models that collectively take into account the unique cell geometry of the anisotropic metal network and the corresponding fractional contribution to the heat flow. This relatively simple structure model can explain the anisotropy of the thermal conductivity of UO2Mo microcells, as observed in both experimental tests and numerical calculations. The physics-based mixed analytical model allows us to accommodate the effects of the UO2 burnup and wall structure changes on the effective thermal conductivity of microcell UO2 pellets. To validate the model's ability to predict the burnup dependence, the reduced fuel centerline temperature in a UO2 -5vol% Cr microcell under irradiation was estimated at selected burnup levels and compared to the temperature evolution observed in a Halden reactor test, in which the sample pellets were irradiated up to 16MWd/kgU. The comparison demonstrated that the mixed analytical model suitably predicts the fuel temperature changes in irradiated UO2 -5vol% Cr microcells. The model proposed here is a preliminary type based on limited experimental data, and the parameters of the model could be modified further with the accumulation of more measurement data.</t>
  </si>
  <si>
    <t>[Yang, Jae Ho; Lee, Heung Soo; Kim, Dong Seok; Kim, Dong-Joo; Yoon, Ji-Hae; Koo, Yang-Hyun] Korea Atom Energy Res Inst, 111 Daedeok Daero 989beon Gil, Daejeon 34057, South Korea</t>
  </si>
  <si>
    <t>Korea Atomic Energy Research Institute (KAERI)</t>
  </si>
  <si>
    <t>Yang, JH (corresponding author), Korea Atom Energy Res Inst, 111 Daedeok Daero 989beon Gil, Daejeon 34057, South Korea.</t>
  </si>
  <si>
    <t>yangjh@kaeri.re.kr</t>
  </si>
  <si>
    <t>National Research Foundation of Korea (NRF) - Korea government (Ministry of Science and ICT) [RS-2022-00144289]</t>
  </si>
  <si>
    <t>National Research Foundation of Korea (NRF) - Korea government (Ministry of Science and ICT)(National Research Foundation of KoreaMinistry of Science, ICT &amp; Future Planning, Republic of Korea)</t>
  </si>
  <si>
    <t>This work was supported by the National Research Foundation of Korea (NRF) grant funded by the Korea government (Ministry of Science and ICT) (No. RS-2022-00144289) .</t>
  </si>
  <si>
    <t>10.1016/j.jnucmat.2023.154655</t>
  </si>
  <si>
    <t>P3FU9</t>
  </si>
  <si>
    <t>WOS:001049541300001</t>
  </si>
  <si>
    <t>Yin, YB; Huang, CH; Wu, DF; Huang, SD</t>
  </si>
  <si>
    <t>Yin, Yabo; Huang, Chuanhe; Wu, Dong-fang; Huang, Shidong</t>
  </si>
  <si>
    <t>Joint computation offloading and resource allocation in space-air-terrestrial integrated networks for IoT Applications</t>
  </si>
  <si>
    <t>AD HOC NETWORKS</t>
  </si>
  <si>
    <t>Space-air-terrestrial integrated networks; Computation offloading; Resource allocation; Lagrange dual; decomposition; Convex optimization</t>
  </si>
  <si>
    <t>EDGE COMPUTING NETWORKS; USER ASSOCIATION; TASK; ARCHITECTURE; MEC</t>
  </si>
  <si>
    <t>Internet of Things (IoT) devices can reduce their energy consumption by computation offloading. However, IoT devices located in areas without deployed ground communication facilities face significant challenges in computation offloading. For this reason, we propose the space-air-terrestrial integrated networks (SATINs) and design a three-tier computing framework for providing computing services to IoT devices. In the computing framework, device's task can be computed locally, on mobile edge computing (MEC) servers in the air layer, or on cloud servers in the ground. In this article, we jointly optimize the computation offloading decisions of tasks and computing resource allocation of MEC servers. We aim at minimizing the total cost of executing tasks while satisfying both the time constraints of tasks and capacity constraints of MEC servers. And the total cost includes the energy cost of IoT devices and the usage cost of servers. Since the computation offloading decisions are binary variables, the joint optimization problem is a mixed integer nonlinear programming (MINLP) problem and is NPhard. To tackle this problem, we use relaxation technique and Majorize-minimize (MM) method to transform the optimization problem into a series of convex problems for solving. Moreover, we propose a distributed algorithm based on Lagrange dual decomposition method with low time complexity. Experimental results demonstrate that our proposed distributed algorithm can effectively reduce the total cost of the system compared with other benchmark algorithms.</t>
  </si>
  <si>
    <t>[Yin, Yabo; Huang, Chuanhe; Wu, Dong-fang; Huang, Shidong] Wuhan Univ, Sch Comp Sci, Wuhan 430072, Peoples R China</t>
  </si>
  <si>
    <t>Yin, YB; Huang, CH (corresponding author), Wuhan Univ, Sch Comp Sci, Wuhan 430072, Peoples R China.</t>
  </si>
  <si>
    <t>yinyabo@whu.edu.cn; huangch@whu.edu.cn</t>
  </si>
  <si>
    <t>National Science Foundation of China [61772385]</t>
  </si>
  <si>
    <t>National Science Foundation of China(National Natural Science Foundation of China (NSFC))</t>
  </si>
  <si>
    <t>This work was supported by the National Science Foundation of China (No. 61772385).</t>
  </si>
  <si>
    <t>1570-8705</t>
  </si>
  <si>
    <t>1570-8713</t>
  </si>
  <si>
    <t>AD HOC NETW</t>
  </si>
  <si>
    <t>Ad Hoc Netw.</t>
  </si>
  <si>
    <t>10.1016/j.adhoc.2023.103267</t>
  </si>
  <si>
    <t>Computer Science, Information Systems; Telecommunications</t>
  </si>
  <si>
    <t>Computer Science; Telecommunications</t>
  </si>
  <si>
    <t>R0VH9</t>
  </si>
  <si>
    <t>WOS:001061601700001</t>
  </si>
  <si>
    <t>Yoon, MY; Jeong, JR; Lee, HC; Kim, JH</t>
  </si>
  <si>
    <t>Yoon, Min Young; Jeong, Jong-Ryul; Lee, Hyo-Chang; Kim, Jung-Hyung</t>
  </si>
  <si>
    <t>Plasma low-energy ion flux induced vertical graphene synthesis</t>
  </si>
  <si>
    <t>Vertical graphene; Inductively coupled plasma; Plasma-enhanced chemical vapor deposition; Low-ion-energy; Nucleation; Growth mechanism; Ion flux</t>
  </si>
  <si>
    <t>CHEMICAL-VAPOR-DEPOSITION; CARBON NANOWALLS; MICROWAVE PLASMA; ALIGNED GRAPHENE; COUPLED PLASMA; RF PLASMA; GROWTH; SPECTROSCOPY; FABRICATION; DENSITY</t>
  </si>
  <si>
    <t>Vertical graphene (VG) is a promising material for energy-storage, sensor, and electronic applications, owing to excellent structural, mechanical, and electrical properties. An existing method for synthesizing VG is plasmaenhanced chemical vapor deposition under high plasma ion-energy interaction on carbon surface. However, since this method can cause substrate damage, device performance degradation, and internal defects in VG, a new synthesis method using low-ion-energy is required. Accordingly, it is necessary to understand how the plasma low-ion energy contributes to the nucleation and growth of VG by interaction with the surface, but the reported studies are limited to the high-ion-energy region. Here, we report on the effects of low-energy ion flux in plasma-induced growth of vertical graphene and found the key plasma parameter for the VG growth and nucleation in a low-ion-energy environment and successfully controlled the nucleation of VG. VG deposition and plasma parameter measurements were performed in a radiofrequency inductively coupled plasma. In the lowenergy region, the growth rate and nucleation of VG depended strongly on ion density, and insufficient ion flux formed highly disordered carbon. Based on these findings, VG nucleation was controlled by tailoring the ion energy and density under conditions where disordered carbon was formed.</t>
  </si>
  <si>
    <t>[Yoon, Min Young; Kim, Jung-Hyung] Korea Res Inst Stand &amp; Sci, Daejeon 34113, South Korea; [Yoon, Min Young; Jeong, Jong-Ryul] Chungnam Natl Univ, Dept Mat Sci &amp; Engn, Daejeon 34134, South Korea; [Lee, Hyo-Chang] Korea Aerosp Univ, Sch Elect &amp; Comp Engn, Goyang 10540, South Korea; [Lee, Hyo-Chang] Korea Aerosp Univ, Dept Semicond Sci Engn &amp; Technol, Goyang 10540, South Korea</t>
  </si>
  <si>
    <t>Korea Research Institute of Standards &amp; Science (KRISS); Chungnam National University; Korea Aerospace University; Korea Aerospace University</t>
  </si>
  <si>
    <t>Kim, JH (corresponding author), Korea Res Inst Stand &amp; Sci, Daejeon 34113, South Korea.;Lee, HC (corresponding author), Korea Aerosp Univ, Sch Elect &amp; Comp Engn, Goyang 10540, South Korea.;Lee, HC (corresponding author), Korea Aerosp Univ, Dept Semicond Sci Engn &amp; Technol, Goyang 10540, South Korea.</t>
  </si>
  <si>
    <t>plasma@kau.ac.kr; jhkim86@kriss.re.kr</t>
  </si>
  <si>
    <t>Lee, Hyo-Chang/C-1883-2015</t>
  </si>
  <si>
    <t>Lee, Hyo-Chang/0000-0003-2754-1512</t>
  </si>
  <si>
    <t>Material Innovation Program [CRC-20 01-NFRI]; Material Innovation Program of the National Research Foundation (NRF) of Korea - Ministry of Science and ICT [2020M3H4A3106004]; Material Innovation Program of the National Research Foundation (NRF) of Korea [2020M3H4A3106004]; Ministry of Science and ICT; R amp; D Convergence Program of the National Research Council of Science and Technology (NST) of the Republic of Korea [CRC-20 01-NFRI]; Korea Evaluation Institute of Industrial Technology [1415181740]; Korea Research Institute of Standards and Science [KRISS GP2023-0012-08, GP2023-0012-09]</t>
  </si>
  <si>
    <t>Material Innovation Program; Material Innovation Program of the National Research Foundation (NRF) of Korea - Ministry of Science and ICT; Material Innovation Program of the National Research Foundation (NRF) of Korea; Ministry of Science and ICT(Ministry of Science, ICT &amp; Future Planning, Republic of Korea); R amp; D Convergence Program of the National Research Council of Science and Technology (NST) of the Republic of Korea; Korea Evaluation Institute of Industrial Technology; Korea Research Institute of Standards and Science</t>
  </si>
  <si>
    <t>This research was supported by the Material Innovation Program (Grant No. 2020M3H4A3106004) of the National Research Foundation (NRF) of Korea and funded by: i) the Ministry of Science and ICT and the R &amp; amp; D Convergence Program (Grant No. CRC-20 -01-NFRI) of the National Research Council of Science and Technology (NST) of the Republic of Korea, ii) Korea Evaluation Institute of Industrial Technology (Grant No. 1415181740) , and iii) Korea Research Institute of Standards and Science (Grant Nos. KRISS GP2023-0012-08 and GP2023-0012-09) .</t>
  </si>
  <si>
    <t>10.1016/j.apsusc.2023.157814</t>
  </si>
  <si>
    <t>P9BO6</t>
  </si>
  <si>
    <t>WOS:001053556900001</t>
  </si>
  <si>
    <t>Yoong, SQ; Schmidt, LT; Devi, KM; Zhang, H</t>
  </si>
  <si>
    <t>Yoong, Si Qi; Schmidt, Laura Tham; Devi, Kamala M.; Zhang, Hui</t>
  </si>
  <si>
    <t>Using palliative and end-of-life simulation to enhance pre-licensure nursing students' emotional intelligence, palliative care knowledge and reflective abilities: A single group, pretest-posttest study</t>
  </si>
  <si>
    <t>NURSE EDUCATION TODAY</t>
  </si>
  <si>
    <t>Simulation-based learning; Nursing students; Palliative care; End of life care; Emotional intelligence; Knowldege</t>
  </si>
  <si>
    <t>RELIABILITY; EXPERIENCE; VALIDITY; PROGRAM; DEBRIEF; QUALITY; NURSES; DEATH</t>
  </si>
  <si>
    <t>Background: Nursing students have reported that they lack skills and knowledge in palliative and end-of-life care, and as a result, they faced numerous challenges caring for patients and families receiving palliative and end-of-life care during clinical attachments. Objectives: To develop a palliative and end-of-life care simulation program and evaluate its effects on nursing students' emotional intelligence, palliative care knowledge and reflective abilities.Design: A single group, pretest-posttest quasi-experimental study. Settings: A simulation center in a Singapore university. Participants: A convenience sample of 135 third-year undergraduate nursing students. Methods: Students attended a two-day simulation program consisting of four scenarios in total. Outcomes were measured before and after the study. Palliative care knowledge was measured using the Palliative Care Knowledge Test, emotional intelligence using the Trait Meta-Mood Scale-24, and reflective abilities using the Groningen Reflective Ability Scale. Outcome and demographic data were analyzed using descriptive and inferential statistics.Results: Total Palliative Care Knowledge Test scores (p = 0.003) and total Trait Meta-Mood Scale-24 scores (p &lt; 0.001) improved significantly, but there was no significant change in Groningen Reflective Ability Scale scores (p = 0.650). Demographic characteristics did not significantly influence most outcome variables. Students' highest education level and experience with caring for a person receiving palliative or end-of-life care significantly affected the posttest scores of the Palliative Care Knowledge Test. Students with prior experience in caring for a person receiving palliative or end-of-life care scored significantly better in the Palliative Care Knowledge Test post-simulation compared to those who did not (p = 0.011).Conclusions: The palliative and end-of-life simulation program significantly improved nursing students' emotional intelligence and palliative care knowledge. Further research is needed on developing a reliable tool to measure nursing students' palliative care knowledge. Future simulations should include structured and deliberate reflection features aside from debriefings to enhance reflective abilities, which is an important nursing competency. More research is needed on the effect of palliative and end-of-life care simulations on emotional intelligence and reflective abilities, and the influence of demographic variables on nursing students' outcomes.</t>
  </si>
  <si>
    <t>[Yoong, Si Qi; Schmidt, Laura Tham; Devi, Kamala M.; Zhang, Hui] Natl Univ Singapore, Alice Lee Ctr Nursing Studies, Yong Loo Lin Sch Med, Singapore, Singapore; [Zhang, Hui] St Andrews Community Hosp, Singapore, Singapore; [Schmidt, Laura Tham] Natl Univ Singapore, Alice Lee Ctr Nursing Studies, Yong Loo Lin Sch Med, Block MD11,Level 2,10 Med Dr, Singapore 117597, Singapore</t>
  </si>
  <si>
    <t>National University of Singapore; National University of Singapore</t>
  </si>
  <si>
    <t>Schmidt, LT (corresponding author), Natl Univ Singapore, Alice Lee Ctr Nursing Studies, Yong Loo Lin Sch Med, Block MD11,Level 2,10 Med Dr, Singapore 117597, Singapore.</t>
  </si>
  <si>
    <t>ysq@nus.edu.sg; nurlts@nus.edu.sg; nurmkd@nus.edu.sg; yvonne_zhang@sach.org.sg</t>
  </si>
  <si>
    <t>Yoong, Si Qi/GPG-0987-2022</t>
  </si>
  <si>
    <t>Yoong, Si Qi/0000-0003-0102-7793; , M Kamala Devi/0000-0001-5624-9516</t>
  </si>
  <si>
    <t>CHURCHILL LIVINGSTONE</t>
  </si>
  <si>
    <t>EDINBURGH</t>
  </si>
  <si>
    <t>JOURNAL PRODUCTION DEPT, ROBERT STEVENSON HOUSE, 1-3 BAXTERS PLACE, LEITH WALK, EDINBURGH EH1 3AF, MIDLOTHIAN, SCOTLAND</t>
  </si>
  <si>
    <t>0260-6917</t>
  </si>
  <si>
    <t>1532-2793</t>
  </si>
  <si>
    <t>NURS EDUC TODAY</t>
  </si>
  <si>
    <t>Nurse Educ. Today</t>
  </si>
  <si>
    <t>10.1016/j.nedt.2023.105923</t>
  </si>
  <si>
    <t>Education, Scientific Disciplines; Nursing</t>
  </si>
  <si>
    <t>Education &amp; Educational Research; Nursing</t>
  </si>
  <si>
    <t>P9ZX8</t>
  </si>
  <si>
    <t>WOS:001054204500001</t>
  </si>
  <si>
    <t>Yu, C; Qian, J; Cao, DC; Chen, DL; Wu, LY; Zhang, CB</t>
  </si>
  <si>
    <t>Yu, Cheng; Qian, Jian; Cao, Dongcheng; Chen, Donglian; Wu, Liangyu; Zhang, Chengbin</t>
  </si>
  <si>
    <t>Charging performance of structured packed-bed latent thermal energy storage unit with phase change material capsules</t>
  </si>
  <si>
    <t>Thermal energy storage; Packed -bed; PCM; Capsules; HTF</t>
  </si>
  <si>
    <t>HEAT-TRANSFER; EXPERIMENTAL VALIDATION; NUMERICAL-SIMULATION; PRESSURE-DROP; SYSTEM; REACTOR; SPHERE; TANK; MASS</t>
  </si>
  <si>
    <t>A mathematical model of the charging process for a structured packed-bed latent thermal energy storage unit with phase change material capsules is established. The thermal-hydrodynamic characteristics of the unit are investigated. The impacts of the heat transfer fluid inlet velocity, heat transfer fluid inlet temperature, initial temperature of the latent thermal energy storage unit, and diameters of the phase change material capsules are analyzed. The charging performance of a scaled-up latent thermal energy storage unit is studied. The numerical results indicate that the structured packing configuration of the structured packed-bed latent thermal energy storage unit influences the periodic flow characteristics of the latent thermal energy storage unit. The melting behaviors in each phase change material capsule are synchronous due to the excellent heat transfer capacity of the latent thermal energy storage unit. With the increasing initial temperature of the latent thermal energy storage unit, the duration of the charging process varies little, but the total heat storage capacity of the unit decreases. The decreasing diameter of the phase change material capsule significantly shortens the charging process of the latent thermal energy storage unit. The total heat storage capacities of the latent thermal energy storage unit with different phase change material capsule diameters are nearly the same. The heat storage capacity of the phase change material unit can be easily scaled up by adding more phase change material capsules and extending the phase change material capsule zone. The scale-up of the structured packed-bed latent thermal energy storage unit does not affect the charging time of the latent thermal energy storage unit.</t>
  </si>
  <si>
    <t>[Yu, Cheng; Qian, Jian; Cao, Dongcheng; Wu, Liangyu; Zhang, Chengbin] Yangzhou Univ, Coll Elect Energy &amp; Power Engn, Yangzhou 225127, Peoples R China; [Chen, Donglian; Zhang, Chengbin] Southeast Univ, Sch Energy &amp; Environm, Nanjing 210096, Peoples R China</t>
  </si>
  <si>
    <t>Yangzhou University; Southeast University - China</t>
  </si>
  <si>
    <t>Zhang, CB (corresponding author), Yangzhou Univ, Coll Elect Energy &amp; Power Engn, Yangzhou 225127, Peoples R China.;Zhang, CB (corresponding author), Southeast Univ, Sch Energy &amp; Environm, Nanjing 210096, Peoples R China.</t>
  </si>
  <si>
    <t>cbzhang@seu.edu.cn</t>
  </si>
  <si>
    <t>Zhang, Chengbin/0000-0001-5388-4370</t>
  </si>
  <si>
    <t>National Natural Science Foundation of China [52022020, 2022M722685]; China Postdoctoral Science Foundation; [52006187]</t>
  </si>
  <si>
    <t>National Natural Science Foundation of China(National Natural Science Foundation of China (NSFC)); China Postdoctoral Science Foundation(China Postdoctoral Science Foundation);</t>
  </si>
  <si>
    <t>Funding This work is supported by the National Natural Science Foundation of China (No. 52006187, 52022020) and China Postdoctoral Science Foundation (No. 2022M722685) .</t>
  </si>
  <si>
    <t>10.1016/j.est.2023.108157</t>
  </si>
  <si>
    <t>Q1UQ3</t>
  </si>
  <si>
    <t>WOS:001055443500001</t>
  </si>
  <si>
    <t>Yu, HJ; Jiang, SJ; Zhan, WJ; Deng, K; Wang, ZQ; Xu, Y; Wang, HJ; Wang, L</t>
  </si>
  <si>
    <t>Yu, Hongjie; Jiang, Shaojian; Zhan, Wenjie; Deng, Kai; Wang, Ziqiang; Xu, You; Wang, Hongjing; Wang, Liang</t>
  </si>
  <si>
    <t>Hydrogen-intercalation enhanced the anti-CO poisoning ability of palladium-copper metallene for direct formate fuel cells</t>
  </si>
  <si>
    <t>MATERIALS TODAY PHYSICS</t>
  </si>
  <si>
    <t>Direct formate fuel cell; Oxygen reduction reactions; Formate oxidation reaction; D -band center; Anti-CO poisoning ability</t>
  </si>
  <si>
    <t>HYDRIDE; OXIDATION; NANOSHEETS; EFFICIENT</t>
  </si>
  <si>
    <t>The direct formate fuel cells (DFFCs) are energy conversion devices that use formate as fuel. However, COads generated from formate dehydration accumulate on the Pd surface and cause catalyst poisoning and deactivation. Here, we constructed a hydrogen intercalated palladium-copper metallene (PdCuH metallene) to enhance the anti-CO poisoning ability. For formate oxidation, the mass and specific activities of PdCuH metallene/C were 3.4 and 3.2 times those of Pd/C. While in ORR, the mass and specific activities of PdCuH metallene reached 12.4 and 13.9 times that of Pt/C. When we assembled PdCuH metallene/C as an electrode material for DFFC, the peak power and limiting current density of PdCuH metallene/C || PdCuH metallene/C were 79.5% and 159.7% higher than that of Pt/C || Pd/C, respectively. This study provides a new resolution to address the CO poisoning deactivation of direct formate fuel cell catalysts.</t>
  </si>
  <si>
    <t>[Yu, Hongjie; Jiang, Shaojian; Zhan, Wenjie; Deng, Kai; Wang, Ziqiang; Xu, You; Wang, Hongjing; Wang, Liang] Zhejiang Univ Technol, Coll Chem Engn, State Key Lab Breeding Base Green Chem Synth Techn, Hangzhou 310014, Peoples R China</t>
  </si>
  <si>
    <t>Zhejiang University of Technology</t>
  </si>
  <si>
    <t>Wang, HJ; Wang, L (corresponding author), Zhejiang Univ Technol, Coll Chem Engn, State Key Lab Breeding Base Green Chem Synth Techn, Hangzhou 310014, Peoples R China.</t>
  </si>
  <si>
    <t>hjw@zjut.edu.cn; wangliang@zjut.edu.cn</t>
  </si>
  <si>
    <t>National Natural Science Foundation of China [21972126, 21978264, 21905250, 22278369]; Natural Science Foundation of Zhejiang Province [LQ22B030012, LQ23B030010]; China Postdoctoral Science Foundation [2021M702889]</t>
  </si>
  <si>
    <t>National Natural Science Foundation of China(National Natural Science Foundation of China (NSFC)); Natural Science Foundation of Zhejiang Province(Natural Science Foundation of Zhejiang Province); China Postdoctoral Science Foundation(China Postdoctoral Science Foundation)</t>
  </si>
  <si>
    <t>This work was financially supported by the National Natural Science Foundation of China (No. 21972126, 21978264, 21905250, and 22278369) , Natural Science Foundation of Zhejiang Province (No. LQ22B030012 and LQ23B030010) , and China Postdoctoral Science Foundation (2021M702889) .</t>
  </si>
  <si>
    <t>2542-5293</t>
  </si>
  <si>
    <t>MATER TODAY PHYS</t>
  </si>
  <si>
    <t>Mater. Today Phys.</t>
  </si>
  <si>
    <t>10.1016/j.mtphys.2023.101216</t>
  </si>
  <si>
    <t>S5FS2</t>
  </si>
  <si>
    <t>WOS:001071429400001</t>
  </si>
  <si>
    <t>Yu, JH; Huang, MY; Tian, HX; Xu, XL</t>
  </si>
  <si>
    <t>Yu, Jiahang; Huang, Mingyuan; Tian, Huixin; Xu, Xinglian</t>
  </si>
  <si>
    <t>UV-light-driven synthesis of Ag-Zn nanoparticles encased in hydrogels for H2S sensing</t>
  </si>
  <si>
    <t>Nanosensors; Ag-Zn NPs; Volatile sulfides; Intelligent Packaging; Chilled broiler meat</t>
  </si>
  <si>
    <t>FOOD</t>
  </si>
  <si>
    <t>Despite the existence of reliable and accurate analysis methods for determining volatile sulfides in food matrices, special efforts have been devoted to the development of online and real-time nanosensors for discriminating volatile sulfides in food products to achieve non-destructive testing of food spoilage. In this research, the UVlight-driven synthesis of Ag-Zn nanoparticles (NPs) hydrogel is reported for low detection limit and high sensitivity colorimetric detection of volatile sulfides. A detection mechanism was designed using the chemical transformation of Ag-Zn NPs to Ag2S-Zn NPs and Zn NPs upon reacting with volatile sulfides, which triggers the supersaturation-induced etching-stripping mechanism, leading to a color change of the Ag-Zn NPs hydrogel from yellow to brown and finally to pale brownish-grey depending on the concentration of volatile sulfides. This enables a naked-eye readout and UV-vis quantitation of the volatile sulfide exposure. A limit of detection of 2 mg/m3 for hydrogen sulfide (H2S) was obtained, which can be used to monitor the spoilage of chilled broiler meat products.</t>
  </si>
  <si>
    <t>[Yu, Jiahang; Huang, Mingyuan; Tian, Huixin; Xu, Xinglian] Nanjing Agr Univ, Coll Food Sci &amp; Technol, Jiangsu Collaborat Innovat Ctr Meat Prod &amp; Proc, State Key Lab Meat Qual Control &amp; Cultured Meat De, Nanjing 210095, Peoples R China; [Yu, Jiahang] Chuzhou Univ, Sch Biol Sci &amp; Food Engn, Chuzhou 239000, Anhui, Peoples R China</t>
  </si>
  <si>
    <t>Nanjing Agricultural University; Chuzhou University</t>
  </si>
  <si>
    <t>Xu, XL (corresponding author), Nanjing Agr Univ, Coll Food Sci &amp; Technol, Jiangsu Collaborat Innovat Ctr Meat Prod &amp; Proc, State Key Lab Meat Qual Control &amp; Cultured Meat De, Nanjing 210095, Peoples R China.</t>
  </si>
  <si>
    <t>xlxus@njau.edu.cn</t>
  </si>
  <si>
    <t>China Agriculture Research System of MOF and MARA [CARS-41]; Priority Academic Program Development of Jiangsu Higher Education Institutions (PAPD)</t>
  </si>
  <si>
    <t>China Agriculture Research System of MOF and MARA(Ministry of Oceans &amp; Fisheries (MOF), Republic of Korea); Priority Academic Program Development of Jiangsu Higher Education Institutions (PAPD)</t>
  </si>
  <si>
    <t>Supported by China Agriculture Research System of MOF and MARA (CARS-41) . A Project Funded by the Priority Academic Program Development of Jiangsu Higher Education Institutions (PAPD) .</t>
  </si>
  <si>
    <t>10.1016/j.fpsl.2023.101151</t>
  </si>
  <si>
    <t>S2QH0</t>
  </si>
  <si>
    <t>WOS:001069662200001</t>
  </si>
  <si>
    <t>Yu, QQ; Nie, YW; Peng, SM; Miao, YF; Zhai, CZ; Zhang, RF; Han, JS; Zhao, S; Pecht, M</t>
  </si>
  <si>
    <t>Yu, Quanqing; Nie, Yuwei; Peng, Simin; Miao, Yifan; Zhai, Chengzhi; Zhang, Runfeng; Han, Jinsong; Zhao, Shuo; Pecht, Michael</t>
  </si>
  <si>
    <t>Evaluation of the safety standards system of power batteries for electric vehicles in China</t>
  </si>
  <si>
    <t>Electric vehicles; Battery safety standards; Battery cycle life; Abuse test</t>
  </si>
  <si>
    <t>LITHIUM-ION BATTERY; FAULT-DIAGNOSIS; OVERCHARGE; PROSPECTS; BEHAVIOR; ABUSE</t>
  </si>
  <si>
    <t>In recent years, electric vehicle safety incidents related to batteries have occurred frequently enough to question the adequacy of the current international safety standards. As the world's leading producer of batteries for electric vehicles, China has thus formulated its own national standards, but there are questions as to the unique value of these standards. This review paper analyzes the Chinese safety standards from the perspective of the battery materials, cells, modules, battery systems, battery management systems, and vehicles. The findings from the analysis of the Chinese standards is used to provide suggestions for building better international battery safety standards with recommendations for different battery levels, battery life cycle design and emerging battery technologies.</t>
  </si>
  <si>
    <t>[Yu, Quanqing; Nie, Yuwei; Zhai, Chengzhi; Zhang, Runfeng; Han, Jinsong; Zhao, Shuo] Harbin Inst Technol, Sch Automot Engn, Weihai 264209, Shandong, Peoples R China; [Peng, Simin; Miao, Yifan] YanCheng Inst Technol, Sch Elect Engn, 1 Hope Ave, Yancheng 224051, Jiangsu, Peoples R China; [Pecht, Michael] Univ Maryland, Ctr Adv Life Cycle Engn CALCE, College Pk, MD 20742 USA</t>
  </si>
  <si>
    <t>Harbin Institute of Technology; Yancheng Institute of Technology; University System of Maryland; University of Maryland College Park</t>
  </si>
  <si>
    <t>Peng, SM (corresponding author), YanCheng Inst Technol, Sch Elect Engn, 1 Hope Ave, Yancheng 224051, Jiangsu, Peoples R China.</t>
  </si>
  <si>
    <t>siminpeng@ycit.edu.cn</t>
  </si>
  <si>
    <t>National Natural Science Foundation of China [52177210]; Natural Science Program of Shandong Province [ZR2020ME209]; Jiangsu University Qinglan Project [2021-11]; Yancheng Institute of Technology [xjr2021052]</t>
  </si>
  <si>
    <t>National Natural Science Foundation of China(National Natural Science Foundation of China (NSFC)); Natural Science Program of Shandong Province; Jiangsu University Qinglan Project; Yancheng Institute of Technology</t>
  </si>
  <si>
    <t>This work was jointly supported by the National Natural Science Foundation of China (Grant No. 52177210) , the Natural Science Program of Shandong Province (Grant No. ZR2020ME209) , Jiangsu University Qinglan Project (2021-11) , and Yancheng Institute of Technology (xjr2021052) .</t>
  </si>
  <si>
    <t>10.1016/j.apenergy.2023.121674</t>
  </si>
  <si>
    <t>R2DW9</t>
  </si>
  <si>
    <t>WOS:001062509900001</t>
  </si>
  <si>
    <t>Zahoor, F; Rao, KS; Mir, BA; Satyam, N</t>
  </si>
  <si>
    <t>Zahoor, Falak; Rao, K. Seshagiri; Mir, Bashir Ahmed; Satyam, Neelima</t>
  </si>
  <si>
    <t>Geophysical surveys in the Kashmir valley (J &amp; K Himalayas) part II: Anomalous seismic site-effects and exploration of alternative site classification schemes</t>
  </si>
  <si>
    <t>SOIL DYNAMICS AND EARTHQUAKE ENGINEERING</t>
  </si>
  <si>
    <t>Anomalous site effects; Seismic site characterisation; Kashmir valley; MHVSR and MASW; Topographic amplification</t>
  </si>
  <si>
    <t>SHEAR-WAVE VELOCITY; STRONG-MOTION STATIONS; VERTICAL SPECTRAL RATIO; GROUND-MOTION; FAULT ZONE; SOUTHERN CALIFORNIA; NET DATA; H/V; AMPLIFICATION; HVSR</t>
  </si>
  <si>
    <t>Extensive geophysical surveys (MHVSR and MASW) conducted for the microzonation of the Kashmir Valley, Himalayas, revealed unexpected dynamic characteristics at certain sites pointing out the weak relationship between fundamental frequency (f0) and time-averaged shear wave velocity over 30 m depth (VS,30). Unusual low-frequency amplification at stiff soil sites and high-frequency amplification at weathered rock sites was obtained. On the contrary, high-frequency amplification was attained at a soft soil site over shallow bedrock. Instances of topographic amplification on slopes, hills, and valleys were encountered. Consequently, the commonly used VS,30-based single-proxy site classification failed to explain these atypical site effects, thus underscoring the caution to be exercised for site classification in geologically complex regions. These findings motivated the documentation of the anomalies and the search for the most suitable site characterisation scheme for the geological deposits of the Kashmir Valley. The coupled MHVSR-VS,30 proxy approach accomplished the best results for the study region.</t>
  </si>
  <si>
    <t>[Zahoor, Falak; Mir, Bashir Ahmed] Natl Inst Technol Srinagar, Dept Civil Engn, Srinagar, Jammu &amp; Kashmir, India; [Zahoor, Falak; Rao, K. Seshagiri] Indian Inst Technol Delhi, Dept Civil Engn, New Delhi 110016, India; [Satyam, Neelima] Indian Inst Technol, Dept Civil Engn, Indore 452020, Madhya Pradesh, India</t>
  </si>
  <si>
    <t>National Institute of Technology (NIT System); National Institute of Technology Srinagar; Indian Institute of Technology System (IIT System); Indian Institute of Technology (IIT) - Delhi; Indian Institute of Technology System (IIT System); Indian Institute of Technology (IIT) - Indore</t>
  </si>
  <si>
    <t>Zahoor, F (corresponding author), Natl Inst Technol Srinagar, Dept Civil Engn, Srinagar, Jammu &amp; Kashmir, India.;Zahoor, F (corresponding author), Indian Inst Technol Delhi, Dept Civil Engn, New Delhi 110016, India.</t>
  </si>
  <si>
    <t>falak@nitsri.ac.in</t>
  </si>
  <si>
    <t>Mir, Prof. Bashir Ahmed/F-3770-2017</t>
  </si>
  <si>
    <t>Mir, Prof. Bashir Ahmed/0000-0002-9360-9223</t>
  </si>
  <si>
    <t>TEQIP-III at National Institute of Technology Srinagar</t>
  </si>
  <si>
    <t>Travel grant for the fieldwork and experimental programme in the Kashmir Valley was provided by the TEQIP-III at the National Institute of Technology Srinagar under the Research and Development Funds.</t>
  </si>
  <si>
    <t>0267-7261</t>
  </si>
  <si>
    <t>1879-341X</t>
  </si>
  <si>
    <t>SOIL DYN EARTHQ ENG</t>
  </si>
  <si>
    <t>Soil Dyn. Earthq. Eng.</t>
  </si>
  <si>
    <t>10.1016/j.soildyn.2023.108185</t>
  </si>
  <si>
    <t>Engineering, Geological; Geosciences, Multidisciplinary</t>
  </si>
  <si>
    <t>Engineering; Geology</t>
  </si>
  <si>
    <t>R3XV9</t>
  </si>
  <si>
    <t>WOS:001063722500001</t>
  </si>
  <si>
    <t>Zakeri, F; Emami, MRS</t>
  </si>
  <si>
    <t>Zakeri, Fatemeh; Emami, Mohammad Reza Sarmasti</t>
  </si>
  <si>
    <t>Experimental and numerical investigation of heat transfer and flow of water-based graphene oxide nanofluid in a double pipe heat exchanger using different artificial neural network models</t>
  </si>
  <si>
    <t>INTERNATIONAL COMMUNICATIONS IN HEAT AND MASS TRANSFER</t>
  </si>
  <si>
    <t>Double pipe heat exchanger; Graphene oxide nanofluid; Heat transfer coefficient; Artificial neural network</t>
  </si>
  <si>
    <t>THERMAL-CONDUCTIVITY; FRICTION FACTOR; PRESSURE-DROP; TIO2/WATER NANOFLUID; TRANSFER ENHANCEMENT; TRANSFER COEFFICIENT; PERFORMANCE; TUBE; NANOPARTICLES; FLUID</t>
  </si>
  <si>
    <t>In this study, a water-based graphene oxide nanofluid was utilized in a counter-current flow double pipe heat exchanger (DPHE). The inner pipe carried the hot fluid (deionized water-based fluid). In the outer pipe, the cold fluid was flown, in which the experiments were performed once for deionized water-based fluid and once for graphene oxide nanofluid. These experiments were conducted at various inlet hot fluid temperatures of 35, 45, and 55 degrees C, volumetric concentrations of 0.01, 0.055, and 0.1% for nanofluid, and cold fluid flow rates of 14.4, 18.9, and 23.4 ml/s to evaluate the thermohydraulics of the DPHE. The results demonstrated that an increase in the flow rate and concentration of nanoparticles led to an improvement in the heat transfer coefficient (HTC) . It is also observed that inlet hot fluid temperature had a negligible effect on this coefficient compared to the concentration and flow rate. Additionally, the results showed that the friction factor and pressure drop of nanofluid were higher than those of the basefluid and their values were increased by increasing the concentration. The maximum increase compared to the basefluid was 72% for the friction factor and 111%, for the pressure drop. Besides, radial basis function neural network (RBFNN) and multi-layer perceptron neural network (MLPNN) models were designed for estimating the HTC. Both models accurately predicted the coefficient, but the RBFNN model exhibited higher accuracy than the MLPNN model. The results further indicated that the nanofluid outperformed the basefluid in terms of HTC. Due to the exceptionally high thermal conductivity of graphene nanoparticles, the HTC of the nanofluid was improved by up to 85% compared to the basefluid. The optimum value of HTC was achieved at a temperature of 55 degrees C, a volume concentration of 0.1%, and a flow rate of 23.4 ml/s.</t>
  </si>
  <si>
    <t>[Zakeri, Fatemeh; Emami, Mohammad Reza Sarmasti] Univ Sci &amp; Technol Mazandaran, Dept Chem Engn, Behshahr, Iran</t>
  </si>
  <si>
    <t>University of Science &amp; Technology of Mazandaran</t>
  </si>
  <si>
    <t>Emami, MRS (corresponding author), Univ Sci &amp; Technol Mazandaran, Dept Chem Engn, Behshahr, Iran.</t>
  </si>
  <si>
    <t>m_r_emami@mazust.ac.ir</t>
  </si>
  <si>
    <t>0735-1933</t>
  </si>
  <si>
    <t>1879-0178</t>
  </si>
  <si>
    <t>INT COMMUN HEAT MASS</t>
  </si>
  <si>
    <t>Int. Commun. Heat Mass Transf.</t>
  </si>
  <si>
    <t>10.1016/j.icheatmasstransfer.2023.107002</t>
  </si>
  <si>
    <t>Thermodynamics; Mechanics</t>
  </si>
  <si>
    <t>S4DR1</t>
  </si>
  <si>
    <t>WOS:001070694600001</t>
  </si>
  <si>
    <t>Zhang, AQ; Wang, Y; Li, Y; Tan, YY; Liu, PX; Lv, XB; Lei, K</t>
  </si>
  <si>
    <t>Zhang, Anqi; Wang, Yan; Li, Yi; Tan, Yingyu; Liu, Pengxia; Lv, Xubo; Lei, Kun</t>
  </si>
  <si>
    <t>Multiple isotopes reveal the driving forces of nitrogen cycling from freshwater to brackish water</t>
  </si>
  <si>
    <t>Nitrogen cycling; Isotopes; Climatic and hydrological factors; Freshwater-brackish water</t>
  </si>
  <si>
    <t>STABLE-ISOTOPES; RIVER-BASIN; DEUTERIUM EXCESS; NITRATE; UNCERTAINTY; EUTROPHICATION; IDENTIFICATION; PHYTOPLANKTON; PRECIPITATION; ASSIMILATION</t>
  </si>
  <si>
    <t>Rivers play a crucial role in global nitrogen (N) cycling, but revealing the driving mechanism of N cycling remains challenging because of the complex natural background gradients. The Qiantang River Basin provides an opportunity to elucidate the driving mechanism due to the complex climatic and hydrological conditions. In this study, the multiple stable isotopes suggested that the conservative mixing of two end members was insufficient to explain the complex behavior of N in both seasons. In-soil processes were the primary N cycling processes that controlled riverine N loading during the wet season, whereas in-stream N biological transformation processes (nitrification and assimilation) were more prevalent during the dry season. The results of MixSIAR revealed that soil sources (soil N and N fertilizer) contributed the most to NO3- during the wet season, accounting for 64.3 %, followed by manure and sewage (31.6 %) and atmospheric precipitation (4.1 %). During the dry season, manure and sewage were the predominant contributors to NO3- (52.1 %), followed by soil N (26.6 %), N fertilizer (18.8 %), and atmospheric precipitation (2.5 %). The relationships between d-excess and 815N-NH4+ or 815N-NO3- suggested that both climatic and hydrological conditions would be the driving forces regulating the N transportation and transformation in this basin, leading to the high spatiotemporal heterogeneity in N loading and isotopic compositions. In the wet season, precipitation patterns served as the primary driving forces regulating in-soil biological processes and soil leaching. While the hydrological conditions, especially water residence time, were the crucial factors controlling in-stream biological processes during the dry season. This study elucidates N sources, biotransformation processes, and their driving forces from freshwater to brackish water, which has applications for understanding the N fate from terrene to ocean.</t>
  </si>
  <si>
    <t>[Zhang, Anqi; Wang, Yan; Lv, Xubo; Lei, Kun] Chinese Res Inst Environm Sci, State Key Lab Environm Criteria &amp; Risk Assessment, Beijing 100012, Peoples R China; [Zhang, Anqi; Li, Yi] Northwest A&amp;F Univ, Coll Water Resources &amp; Architectural Engn, Minist Educ, Key Lab Agr Soil &amp; Water Engn Arid &amp; Semiarid Area, Yangling 712100, Peoples R China; [Tan, Yingyu] Ecoenvironm Sci Res &amp; Design Inst Zhejiang Prov, Key Lab Environm Pollut Control Technol Zhejiang P, Hangzhou 310007, Zhejiang, Peoples R China; [Liu, Pengxia] Minist Ecol &amp; Environm, Ecol &amp; Environm Monitoring &amp; Scienti fi Res Ctr Ta, Shanghai 200120, Peoples R China; [Liu, Pengxia] Minist Ecol &amp; Environm, East China Sea Ecol &amp; Environm Supervis Author, Shanghai 200120, Peoples R China</t>
  </si>
  <si>
    <t>Chinese Research Academy of Environmental Sciences; Northwest A&amp;F University - China</t>
  </si>
  <si>
    <t>Lei, K (corresponding author), Chinese Res Inst Environm Sci, State Key Lab Environm Criteria &amp; Risk Assessment, Beijing 100012, Peoples R China.</t>
  </si>
  <si>
    <t>leikun@craes.org.cn</t>
  </si>
  <si>
    <t>National Key Research and Develop-ment Program [2021YFC3101700]</t>
  </si>
  <si>
    <t>National Key Research and Develop-ment Program</t>
  </si>
  <si>
    <t>Acknowledgments This research is supported by the National Key Research and Develop-ment Program (2021YFC3101700) .</t>
  </si>
  <si>
    <t>10.1016/j.scitotenv.2023.165396</t>
  </si>
  <si>
    <t>O9EU5</t>
  </si>
  <si>
    <t>WOS:001046786700001</t>
  </si>
  <si>
    <t>Zhang, BB; Cheng, SF; Zhao, YB; Lu, F</t>
  </si>
  <si>
    <t>Zhang, Beibei; Cheng, Shifen; Zhao, Yibo; Lu, Feng</t>
  </si>
  <si>
    <t>Inferring intercity freeway truck volume from the perspective of the potential destination city attractiveness</t>
  </si>
  <si>
    <t>Truck volume inference; Freeway; Potential destination; Machine learning; Interpretability</t>
  </si>
  <si>
    <t>MODEL; PREDICTIONS; CAUSALITY</t>
  </si>
  <si>
    <t>Accurately inferring the spatiotemporal distribution of freeway traffic volume is one of the bottleneck problems for intelligent management of ground transportation. Although the accuracy of the widely used machine learning-based approaches has been improving, these methods on freeway traffic flow inference tend to become more and more complex and unexplainable, and sometimes even contradict the constraints of freeway access. From the perspective of the potential destination city attractiveness, this study proposes a new method to infer freeway truck volume. First, considering the spatial scope and direction constraints of road transportation, a restricted area search method for potential destination cities of freeway traffic trips is proposed. Second, a freeway traffic inference model was constructed by combining distance and the angle-weighted socioeconomic statistics of each potential destination city. Finally, the Shapley additive explanation value was used to explain how the potential destination city attraction affects the freeway traffic flow. The results show that the proposed method only used 10 indicators; however, the prediction results were closer to the true value, and the compu-tational efficiency improved by 3-10 times over the baseline method. The variables related to spatiotemporal heterogeneity were the most significant variable group, followed by the industrial structure of potential desti-nation cities.</t>
  </si>
  <si>
    <t>[Zhang, Beibei; Cheng, Shifen; Zhao, Yibo; Lu, Feng] Chinese Acad Sci, State Key Lab Resources &amp; Environm Informat Syst, IGSNRR, Beijing 100101, Peoples R China; [Zhang, Beibei; Cheng, Shifen; Zhao, Yibo; Lu, Feng] Univ Chinese Acad Sci, Beijing 100049, Peoples R China; [Lu, Feng] Fuzhou Univ, Acad Digital China, Fuzhou, Peoples R China; [Lu, Feng] Jiangsu Ctr Collaborat Innovat Geog Informat Resou, Nanjing 210023, Peoples R China</t>
  </si>
  <si>
    <t>Chinese Academy of Sciences; Chinese Academy of Sciences; University of Chinese Academy of Sciences, CAS; Fuzhou University</t>
  </si>
  <si>
    <t>Cheng, SF (corresponding author), Chinese Acad Sci, State Key Lab Resources &amp; Environm Informat Syst, IGSNRR, Beijing 100101, Peoples R China.;Cheng, SF (corresponding author), Univ Chinese Acad Sci, Beijing 100049, Peoples R China.</t>
  </si>
  <si>
    <t>chengsf@lreis.ac.cn</t>
  </si>
  <si>
    <t>National Natural Science Founda-tion of China [42101423]; Strategic Priority Research Program of the Chinese Academy of Sciences [XDA23100501, XDA23010202]</t>
  </si>
  <si>
    <t>National Natural Science Founda-tion of China(National Natural Science Foundation of China (NSFC)); Strategic Priority Research Program of the Chinese Academy of Sciences(Chinese Academy of Sciences)</t>
  </si>
  <si>
    <t>This research was funded by the National Natural Science Founda-tion of China [grant number 42101423] ; the Strategic Priority Research Program of the Chinese Academy of Sciences [grant numbers XDA23100501 and XDA23010202] . Their support is gratefully acknowledged. We also thank the anonymous referees for their helpful comments and suggestions.</t>
  </si>
  <si>
    <t>10.1016/j.scs.2023.104834</t>
  </si>
  <si>
    <t>P5HU1</t>
  </si>
  <si>
    <t>WOS:001050993000001</t>
  </si>
  <si>
    <t>Zhang, HC; Zhou, Q; Li, M; Li, MS; Xie, JK</t>
  </si>
  <si>
    <t>Zhang, Haicheng; Zhou, Qiang; Li, Ming; Li, Mingshui; Xie, Jingkai</t>
  </si>
  <si>
    <t>Peak factor estimation of non-Gaussian wind pressures based on a novel piecewise Johnson transformation model</t>
  </si>
  <si>
    <t>Piecewise Johnson transformation model; Non-Gaussian wind pressures; Peak factor; Long-span roof</t>
  </si>
  <si>
    <t>EXTREME-VALUE ANALYSIS; LOAD; DISTRIBUTIONS; TUNNEL; ROOF</t>
  </si>
  <si>
    <t>In present study, a novel piecewise Johnson transformation model (PJTM) is proposed by conducting separation-mirror-expansion on a non-Gaussian process, aiming to enhance the accuracy and efficiency of the estimation of non-Gaussian peak factor. The parameters of the proposed PJTM are strictly derived from the analytical formula of the unbounded system (SU system) and the semi-analytical formula of the bounded system (SB system). Based on the proposed PJTM and the crossing rate theory, the algorithm of peak factor estimation, as well as the overall calculation procedure, is thus established with explicit formulas and applied to estimating the peak factors of sufficient long-time non-Gaussian wind pressures on a long-span roof. It is noted that the peak factors of the non-Gaussian wind pressures are also calculated by the commonly used Johnson transform model (JTM) and the traditional Hermite polynomial model (HPM). The results show that the peak factors of the non-Gaussian wind pressures estimated by the proposed PJTM agree well with the real values based on a sufficient long-time of data. In addition, the proposed PJTM has comparable accuracy but a broader applicability range than the HPM, and significantly superior accuracy and efficiency than those of JTM. The present study can provide valuable guidance for the wind-resistance design of long-span roofs.</t>
  </si>
  <si>
    <t>[Zhang, Haicheng; Zhou, Qiang; Li, Ming; Li, Mingshui; Xie, Jingkai] Southwest Jiaotong Univ, Res Ctr Wind Engn, Chengdu 610031, Peoples R China; [Zhou, Qiang; Li, Ming; Li, Mingshui] Key Lab Wind Engn Sichuan Prov, Chengdu 610031, Peoples R China</t>
  </si>
  <si>
    <t>Southwest Jiaotong University</t>
  </si>
  <si>
    <t>Zhou, Q (corresponding author), Southwest Jiaotong Univ, Res Ctr Wind Engn, Chengdu 610031, Peoples R China.</t>
  </si>
  <si>
    <t>milan1023@gmail.com</t>
  </si>
  <si>
    <t>Natural Science Foundation of China [52078437, 51878580]; Sichuan Province Science and Technology Program [2021YJ0075]</t>
  </si>
  <si>
    <t>Natural Science Foundation of China(National Natural Science Foundation of China (NSFC)); Sichuan Province Science and Technology Program</t>
  </si>
  <si>
    <t>This research was funded in part by the Natural Science Foundation of China (Grant No. 52078437, 51878580) and Sichuan Province Science and Technology Program (No. 2021YJ0075).</t>
  </si>
  <si>
    <t>10.1016/j.jobe.2023.107601</t>
  </si>
  <si>
    <t>R8KA3</t>
  </si>
  <si>
    <t>WOS:001066778400001</t>
  </si>
  <si>
    <t>Zhang, JW; Liu, RH; Liu, XX; Li, J; Wu, RH; Yang, YZ</t>
  </si>
  <si>
    <t>Zhang, Jianwei; Liu, Ronghao; Liu, Xiaoxia; Li, Jun; Wu, Ruihui; Yang, Yanzhao</t>
  </si>
  <si>
    <t>Study on extraction of Rh(III) by DABCO-based ionic liquid from hydrochloric acid medium</t>
  </si>
  <si>
    <t>Rh(III); Ionic liquid; Extraction; Selectivity; Anion exchange</t>
  </si>
  <si>
    <t>SOLVENT-EXTRACTION; CHLORIDE SOLUTIONS; EFFICIENT EXTRACTION; RHODIUM; POLYMORPHISM; SPECIATION; CATALYSTS; GOLD(III); RECOVERY</t>
  </si>
  <si>
    <t>Rhodium, as a rare precious metal, has always been a challenge for the chemical industry to efficiently recover rhodium by extraction due to the complex existing situation in hydrochloric acid medium. Herein, a strongly hydrophobic DABCO-based ionic liquid (IL) [C8DABCO][NTf2] was designed and synthesized to construct a solvent-free extraction system of Rh(III) from high-concentration hydrochloric acid medium. At first, the effects of some important parameters on Rh(III) extraction were studied, such as equilibrium time, IL dosage, hydrochloric acid concentration, and initial Rh(III) concentration, the results showed that 81.54% Rh(III) can be extracted under the optimum extraction conditions. Based on the experimental run results, a quadratic model equation was established by using the response surface method (RSM), which can be used to calculate the amount that [C8DABCO][NTf2] will be offered at various HCl concentrations during the actual extraction of Rh (III). Then, using Job's method, the Ultraviolet visible spectroscopy (UV-vis), Fourier transform infrared spectroscopy (FT-IR), Energy-dispersive X-ray spectroscopy (EDS), and Electrostatic potential (ESP) prove that the extraction mechanism is an anion exchange mechanism. Finally, in the mixed solution of multi-metals, the extraction efficiency of [C8DABCO][NTf2] for Rh(III) is not disturbed, and the extraction efficiency for other metals is less than 1%. And the single-stage stripping efficiency of Rh(III) was up to 88% through HCl stripping, which solved the problem of difficult stripping of Rh(III) solution and realized the recycling of IL. The study provides a reliable and efficient way for recovering Rh(III) from high-concentrations HCl solutions.</t>
  </si>
  <si>
    <t>[Zhang, Jianwei; Liu, Ronghao; Liu, Xiaoxia; Li, Jun; Wu, Ruihui; Yang, Yanzhao] Shandong Univ, Sch Chem &amp; Chem Engn, Key Lab Special Funct Aggregate Mat, Educ Minist, Jinan 250100, Peoples R China</t>
  </si>
  <si>
    <t>Yang, YZ (corresponding author), Shandong Univ, Sch Chem &amp; Chem Engn, Key Lab Special Funct Aggregate Mat, Educ Minist, Jinan 250100, Peoples R China.</t>
  </si>
  <si>
    <t>yzhyang@sdu.edu.cn</t>
  </si>
  <si>
    <t>WANG, HUI/JFA-9683-2023</t>
  </si>
  <si>
    <t>National Natural Science Foundation of China [22178199]; Taishan Industry Leading Talents Project Special Fund of Shandong Province</t>
  </si>
  <si>
    <t>National Natural Science Foundation of China(National Natural Science Foundation of China (NSFC)); Taishan Industry Leading Talents Project Special Fund of Shandong Province</t>
  </si>
  <si>
    <t>This work was supported by the National Natural Science Foundation of China (22178199) and the Taishan Industry Leading Talents Project Special Fund of Shandong Province.</t>
  </si>
  <si>
    <t>10.1016/j.seppur.2023.124578</t>
  </si>
  <si>
    <t>O6PK5</t>
  </si>
  <si>
    <t>WOS:001045002500001</t>
  </si>
  <si>
    <t>Zhang, MR; Yang, X; Wu, XT; Liu, LJ; Wang, SH; Sun, LW; Fan, YB</t>
  </si>
  <si>
    <t>Zhang, Mingrou; Yang, Xiao; Wu, Xintong; Liu, Lijin; Wang, Shouhui; Sun, Lianwen; Fan, Yubo</t>
  </si>
  <si>
    <t>Effect of collagen fiber orientation on mechanical properties of bone and myofascia in hindlimb unloading rats</t>
  </si>
  <si>
    <t>Collagen; Bone; Myofascia; Unloading; Mechanical properties</t>
  </si>
  <si>
    <t>SKELETAL-MUSCLES; ELASTIC-MODULUS; TRABECULAR BONE; FORCE TRANSMISSION; ORGANIZATION; STRENGTH; TISSUE; HETEROGENEITY; MICROGRAVITY; RECOVERY</t>
  </si>
  <si>
    <t>It is well known that the bone loss which may lead to bone fracture risk occurs under microgravity and disuse. Besides bone mineral density (BMD), the role of collagen as the main component of bone in the mechanism has unknown. In addition, myofascia, which is also mainly composed of collagen, plays an important role in the force transmission in musculoskeletal system. In this study, the collagen alternations of hindlimb tibia and myofascia in tail-suspension rats, which hindlimb unloading as a model to simulate microgravity and/or disuse, were investigated and further the correlations with the mechanical properties were analyzed. The collagen fiber orientations were observed by second-harmonic generation (SHG) microscopy and quantitatively analyzed in MATLAB. Bone mechanical properties were measured by three-point-bending test and nanoindentation. Myofascial mechanical properties were explored by tensile test. The results showed: 1) the collagen fibers orientation both in bone and myofascia were dispersed, as standard deviation of collagen fiber orientation increased .2) the mechanical properties of tibia were decreased by unloading both at macro level (maximum load, breaking load and stiffness, etc.) and micro level (hardness). In myofascia, the yield strain and ultimate strain were significantly decreased. 3) correlation analysis showed bone collagen orientation was related to bone hardness/elastic modulus, and myofascial collagen orientation was related to myofascial elastic modulus and yield limit. Additionally, myofascial mechanical properties were related to bone mechanical properties. These suggested disordered collagen orientation may be related to the deterioration of mechanical properties in both bone and myofascia under simulated microgravity. The alternation of myofascial mechanical property may have a certain impact on the deterioration of bone mechanical properties through affecting the force transmission from muscle to bone.</t>
  </si>
  <si>
    <t>[Zhang, Mingrou; Yang, Xiao; Wu, Xintong; Liu, Lijin; Wang, Shouhui; Sun, Lianwen; Fan, Yubo] Beihang Univ, Key Lab Biomech &amp; Mechanobiol, Beijing Adv Innovat Ctr Biomed Engn, Sch Biol Sci &amp; Med Engn,Minist Educ, Beijing 100083, Peoples R China</t>
  </si>
  <si>
    <t>Beihang University</t>
  </si>
  <si>
    <t>Sun, LW; Fan, YB (corresponding author), Beihang Univ, Key Lab Biomech &amp; Mechanobiol, Beijing Adv Innovat Ctr Biomed Engn, Sch Biol Sci &amp; Med Engn,Minist Educ, Beijing 100083, Peoples R China.</t>
  </si>
  <si>
    <t>sunlw@buaa.edu.cn; yubofan@buaa.edu.cn</t>
  </si>
  <si>
    <t>National Natural Science Foundation of China [11972068, 12002026]</t>
  </si>
  <si>
    <t>The project was funded by National Natural Science Foundation of China [No. 11972068 and No.12002026] .</t>
  </si>
  <si>
    <t>10.1016/j.actaastro.2023.08.014</t>
  </si>
  <si>
    <t>Q9SD5</t>
  </si>
  <si>
    <t>WOS:001060833500001</t>
  </si>
  <si>
    <t>Zhang, T; Mu, YF; Dong, L; Jia, HJ; Pu, TJ; Wang, XY</t>
  </si>
  <si>
    <t>Zhang, Tao; Mu, Yunfei; Dong, Lei; Jia, Hongjie; Pu, Tianjiao; Wang, Xinying</t>
  </si>
  <si>
    <t>Fully parallel decentralized load restoration in coupled transmission and distribution system with soft open points</t>
  </si>
  <si>
    <t>Decentralized load restoration; Analytical target cascading; Transmission and distribution coordination; Diagonal quadratic approximation; Soft open point</t>
  </si>
  <si>
    <t>DISTRIBUTION NETWORKS; SERVICE RESTORATION; APPROXIMATION; CONVERGENCE; RESILIENCE; DG</t>
  </si>
  <si>
    <t>Collaboration between transmission and distribution system operators (TSOs and DSOs) is crucial to improve power supply reliability during a massive blackout. However, these two systems usually operate separately in reality. To coordinate them, a new fully parallel decentralized TSO + DSO service restoration (D-TDSR) scheme is proposed in this paper. Based on analytical target cascading (ATC) method, the proposed D-TDSR is able to formulate the local restoration model for each TSO and DSO by decomposing shared boundary information in an iterative process. By introducing the diagonal quadratic approximation in ATC, all local restoration models are solved in a fully parallel manner with no need for a central coordinator. This parallel implementation increases the computation efficiency of decentralized restoration procedure. Furthermore, to enhance the ability of TSO and DSOs to support each other, the potential benefits of flexible regulation in DSO, including soft open points and network reconfiguration, are fully exploited, thus improving critical load restoration speed, and reducing voltage deviations. The effectiveness of the proposed D-TDSR is validated using an IEEE standard test system.</t>
  </si>
  <si>
    <t>[Zhang, Tao] Hefei Univ Technol, Hefei 230009, Peoples R China; [Mu, Yunfei; Jia, Hongjie] Tianjin Univ, Key Lab Smart Grid, Minist Educ, Tianjin 300072, Peoples R China; [Dong, Lei] North China Elect Power Univ, Beijing 102206, Peoples R China; [Pu, Tianjiao; Wang, Xinying] China Elect Power Res Inst, Beijing 100192, Peoples R China</t>
  </si>
  <si>
    <t>Hefei University of Technology; Tianjin University; North China Electric Power University</t>
  </si>
  <si>
    <t>Mu, YF (corresponding author), Tianjin Univ, Key Lab Smart Grid, Minist Educ, Tianjin 300072, Peoples R China.;Dong, L (corresponding author), North China Elect Power Univ, Beijing 102206, Peoples R China.</t>
  </si>
  <si>
    <t>yunfeimu@tju.edu.cn; donglei@ncepu.edu.cn</t>
  </si>
  <si>
    <t>Jia, Hongjie/E-4970-2013</t>
  </si>
  <si>
    <t>Jia, Hongjie/0000-0003-2907-2895</t>
  </si>
  <si>
    <t>National Natural Science Foundation of China [U22B20105, 52277116]; National Natural Science Foundation of China for Excellent Young Scientists Fund [52222704]</t>
  </si>
  <si>
    <t>National Natural Science Foundation of China(National Natural Science Foundation of China (NSFC)); National Natural Science Foundation of China for Excellent Young Scientists Fund</t>
  </si>
  <si>
    <t>This work was financially funded by the National Natural Science Foundation of China (Grant/Award Numbers: U22B20105 and 52277116) and the National Natural Science Foundation of China for Excellent Young Scientists Fund (Grant/Award Numbers: 52222704) .</t>
  </si>
  <si>
    <t>10.1016/j.apenergy.2023.121626</t>
  </si>
  <si>
    <t>P3HI3</t>
  </si>
  <si>
    <t>WOS:001049580900001</t>
  </si>
  <si>
    <t>Zhang, XL; Wu, LP; Zhang, YW; Xu, RQ; Lou, YJ</t>
  </si>
  <si>
    <t>Zhang, Xiaoli; Wu, Lipeng; Zhang, Youwei; Xu, Ruiqiang; Lou, Yajun</t>
  </si>
  <si>
    <t>Sodium-doped InP/ZnSeS/ZnS quantum dots as a saturable absorber for passive Q-switched fiber lasers</t>
  </si>
  <si>
    <t>JOURNAL OF LUMINESCENCE</t>
  </si>
  <si>
    <t>Passive Q-switched laser; Sodium-doped quantum dots; Core-shell structure</t>
  </si>
  <si>
    <t>CHARGE SEPARATION; DYNAMICS; CU; PHOTOLUMINESCENCE; NANOCRYSTALS; INP</t>
  </si>
  <si>
    <t>In this work, sodium-doped InP/ZnSeS/ZnS (InP-Na) QDs was fabricated by thermal injection method for the first time. The nonlinear optical properties were first demonstrated by realizing a modulation depth of 7.85% and saturable intensity of 2.2 MW cm-2 by two-detector method. The Q-switching operations were carried out by integrating InP-Na QDs as saturable absorber (SA) in a fiber laser ring cavity system. Q-switched laser pulses with a pulse width of 139 ns were generated. The ability of effective pulse width compression can be attributed to the short exciton recovery time of SA, as confirmed by transient absorption and time-resolved photoluminescence. This is the first demonstration of Na-doped InP/ZnSeS/ZnS QDs and using it as SA for generating ultrafast laser pulses. Therefore, this study extends the research scope of InP-based QDs in optical communications, nonlinear photonics and ultrafast photonics.</t>
  </si>
  <si>
    <t>[Zhang, Xiaoli; Wu, Lipeng; Zhang, Youwei; Xu, Ruiqiang] Sch Phys &amp; Optoelect Engn, Guangdong Prov Key Lab Informat Photon Technol, Guangzhou 510006, Peoples R China; [Lou, Yajun] Southern Univ Sci &amp; Technol, Dept Elect Elect &amp; Engn, Shenzhen 518055, Peoples R China</t>
  </si>
  <si>
    <t>Southern University of Science &amp; Technology</t>
  </si>
  <si>
    <t>Zhang, XL (corresponding author), Sch Phys &amp; Optoelect Engn, Guangdong Prov Key Lab Informat Photon Technol, Guangzhou 510006, Peoples R China.</t>
  </si>
  <si>
    <t>xlzhang@tju.edu.cn</t>
  </si>
  <si>
    <t>INTERNATIONAL COOPERATION Project of Guangdong Province [2019A050510002]; Natural Science Foundation of Guangdong Province [2023A1515011467]</t>
  </si>
  <si>
    <t>INTERNATIONAL COOPERATION Project of Guangdong Province; Natural Science Foundation of Guangdong Province(National Natural Science Foundation of Guangdong Province)</t>
  </si>
  <si>
    <t>Lipeng Wu; supervision and funding acquisition, Xiaoli Zhang. All au-thors have read and agreed to the published version of the manuscript. This research was supported by INTERNATIONAL COOPERATION Project of Guangdong Province (No. 2019A050510002) and Natural Science Foundation of Guangdong Province (2023A1515011467) .</t>
  </si>
  <si>
    <t>0022-2313</t>
  </si>
  <si>
    <t>1872-7883</t>
  </si>
  <si>
    <t>J LUMIN</t>
  </si>
  <si>
    <t>J. Lumines.</t>
  </si>
  <si>
    <t>10.1016/j.jlumin.2023.120153</t>
  </si>
  <si>
    <t>S8UH6</t>
  </si>
  <si>
    <t>WOS:001073859500001</t>
  </si>
  <si>
    <t>Zhang, X; Li, TJ; Cao, YK; Liao, T; Xie, ZH; Fu, A; Li, J; Fang, QH; He, Z; Liu, B</t>
  </si>
  <si>
    <t>Zhang, Xin; Li, Tiejun; Cao, Yuankui; Liao, Tao; Xie, Zhonghao; Fu, Ao; Li, Jia; Fang, Qihong; He, Zhen; Liu, Bin</t>
  </si>
  <si>
    <t>Oxide dispersion strengthening mediated ultra-high strength at wide temperature range in NbTaTiV refractory high-entropy alloys</t>
  </si>
  <si>
    <t>Refractory high-entropy alloy; Powder metallurgy; Oxide strengthing; Solid solution strengthing; Mechanical property</t>
  </si>
  <si>
    <t>MECHANICAL-PROPERTIES; MICROSTRUCTURE</t>
  </si>
  <si>
    <t>The NbTaTiV-based refractory high-entropy alloys (RHEAs) show promising high-temperature properties and excellent processability. However, achieving ultra-strong strengths while maintaining room-temperature processability is still a challenge. In this work, a new ultra-strong NbTaTiV RHEA reinforced with 0.35 wt% Al2O3 was successfully designed and synthesized. The characteristics of oxides and their effects on mechanical properties were systematically studied. It was found that the Al2O3 will fully disperse and reacted with NbTaTiV RHEA after milling and sintering at 1600 degrees C, leading to the in-situ formation of dispersive Ti-(O, N) particles and the dissolving of Al atoms. The dual-phase RHEA exhibited a superior combination of yield strength (2075 MPa) and compressive plasticity (15%) while keeping high strength at a wide temperature range (25-1000 degrees C). The ultra-strong strength of the present dual-phase RHEA is mainly attributed to the particle strengthening caused by the high dispersion of Ti-(O, N) submicron particles and the solid solution strengthening from the dissolved Al and interstitial atoms. It is revealed that RHEAs can be remarkably enhanced through oxide dispersion strengthening and solution strengthening, which provides a new sight for designing high-performance RHEAs.</t>
  </si>
  <si>
    <t>[Zhang, Xin; Li, Tiejun; Cao, Yuankui; Liao, Tao; Xie, Zhonghao; Fu, Ao; Liu, Bin] Cent South Univ, State Key Lab Powder Met, Changsha 410083, Peoples R China; [Li, Jia; Fang, Qihong] Hunan Univ, Coll Mech &amp; Vehicle Engn, State Key Lab Adv Design &amp; Mfg Vehicle Body, Changsha 410082, Hunan, Peoples R China; [He, Zhen] Jiangsu Univ Sci &amp; Technol, Sch Mat Sci &amp; Engn, Zhenjiang 212003, Jiangsu, Peoples R China</t>
  </si>
  <si>
    <t>Central South University; Hunan University; Jiangsu University of Science &amp; Technology</t>
  </si>
  <si>
    <t>Cao, YK; Liu, B (corresponding author), Cent South Univ, State Key Lab Powder Met, Changsha 410083, Peoples R China.</t>
  </si>
  <si>
    <t>caoyuankui@csu.edu.cn; binliu@csu.edu.cn</t>
  </si>
  <si>
    <t>National Natural Science Foundation of China [52020105013]; Natural Science Foundation of Hunan Province [2022JJ40590]; Hubei Provincial Natural Science Foundation of China [2022CFB894]</t>
  </si>
  <si>
    <t>National Natural Science Foundation of China(National Natural Science Foundation of China (NSFC)); Natural Science Foundation of Hunan Province(Natural Science Foundation of Hunan Province); Hubei Provincial Natural Science Foundation of China(National Natural Science Foundation of China (NSFC))</t>
  </si>
  <si>
    <t>The authors would like to thank the financial support from the National Natural Science Foundation of China (52020105013), the Natural Science Foundation of Hunan Province (2022JJ40590), and the Hubei Provincial Natural Science Foundation of China (2022CFB894).</t>
  </si>
  <si>
    <t>10.1016/j.ijrmhm.2023.106352</t>
  </si>
  <si>
    <t>R2VQ2</t>
  </si>
  <si>
    <t>WOS:001062982300001</t>
  </si>
  <si>
    <t>Zhang, Z; Li, ZX; Kan, B; Chen, TQ; Zhang, YX; Wang, PR; Yao, ZY; Li, CX; Zhao, B; Li, MM; Duan, TN; Wan, XJ; Chen, YS</t>
  </si>
  <si>
    <t>Zhang, Zhe; Li, Zhixiang; Kan, Bin; Chen, Tianqi; Zhang, Yunxin; Wang, Peiran; Yao, Zhaoyang; Li, Chenxi; Zhao, Bin; Li, Miaomiao; Duan, Tainan; Wan, Xiangjian; Chen, Yongsheng</t>
  </si>
  <si>
    <t>Binary all-polymer solar cells with efficiency over 17% by fine-tuning halogenated thiophene linkers of polymer acceptors</t>
  </si>
  <si>
    <t>Polymer acceptor; Halogenated thiophene; High-performance; Flexible</t>
  </si>
  <si>
    <t>All-polymer solar cells (APSCs) have achieved significant advances because of the rising of polymerized small molecular acceptors (PSMAs). While, the effect of halogen atoms on PSMAs in linkers has not been systematically studied. Herein, three PSMAs of PZC1, PZC2, and PZC3 are designed and synthesized by introducing fluorine and chlorine atom on the linkers to fine-tune their optoelectronic and molecular packing properties. Both halogenated polymer acceptors exhibit a slightly blue-shifted absorption range as well as deeper-lying frontier energy levels. When compared with non-halogenated PZC1, the fluorinated polymer acceptor (PZC2) presents better coplanar and rigid molecular conformation. The 3,4-dichlorothiophene-based polymer acceptor (PZC3) displays a distinctly twisted molecular chain between terminal groups and 3,4-dichlorothiophene owing to the steric hindrance between chlorine (Cl) and hydrogen (H) atoms. Due to the optimal morphologies in PM6:PZC2 film, the corresponding devices exhibit an excellent PCE of 17.30%, superior to those of PM6:PZC1 (13.83%) and PM6:PZC3 (15.75%) based devices. The mechanical robustness of three blend films is further investigated. PZC2based films exhibit outstanding mechanical flexibility. Afterwards, the PM6:PZC2-based flexible devices achieve a PCE of 14.24%. Our results demonstrate that the usage of halogenated thiophene offers a practical way to finetune the performance of APSCs.</t>
  </si>
  <si>
    <t>[Zhang, Zhe; Li, Zhixiang; Wang, Peiran; Yao, Zhaoyang; Li, Chenxi; Wan, Xiangjian; Chen, Yongsheng] Nankai Univ, Coll Chem, State Key Lab, Tianjin 300071, Peoples R China; [Zhang, Zhe; Li, Zhixiang; Wang, Peiran; Yao, Zhaoyang; Li, Chenxi; Wan, Xiangjian; Chen, Yongsheng] Nankai Univ, Inst Elementoorgan Chem, Coll Chem, Ctr Nanoscale Sci &amp; Technol, Tianjin 300071, Peoples R China; [Zhang, Zhe; Li, Zhixiang; Wang, Peiran; Yao, Zhaoyang; Li, Chenxi; Wan, Xiangjian; Chen, Yongsheng] Nankai Univ, Coll Chem, Renewable Energy Convers &amp; Storage Ctr RECAST, Key Lab Funct Polymer Mat, Tianjin 300071, Peoples R China; [Kan, Bin; Chen, Tianqi; Zhang, Yunxin] Nankai Univ, Natl Inst Adv Mat, Sch Mat Sci &amp; Engn, Tianjin 300350, Peoples R China; [Zhao, Bin; Li, Miaomiao] Tianjin Univ, Sch Mat Sci &amp; Engn, Tianjin Key Lab Mol Optoelect Sci, Tianjin 300072, Peoples R China; [Duan, Tainan] Chinese Acad Sci, Univ Chinese Acad Sci UCAS Chongqing, Chongqing Inst Green &amp; Intelligent Technol, Chongqing Sch, Chongqing, Peoples R China</t>
  </si>
  <si>
    <t>Nankai University; Nankai University; Nankai University; Nankai University; Tianjin University; Chinese Academy of Sciences; Chongqing Institute of Green &amp; Intelligent Technology, CAS</t>
  </si>
  <si>
    <t>Chen, YS (corresponding author), Nankai Univ, Coll Chem, State Key Lab, Tianjin 300071, Peoples R China.;Chen, YS (corresponding author), Nankai Univ, Inst Elementoorgan Chem, Coll Chem, Ctr Nanoscale Sci &amp; Technol, Tianjin 300071, Peoples R China.;Chen, YS (corresponding author), Nankai Univ, Coll Chem, Renewable Energy Convers &amp; Storage Ctr RECAST, Key Lab Funct Polymer Mat, Tianjin 300071, Peoples R China.;Kan, B (corresponding author), Nankai Univ, Natl Inst Adv Mat, Sch Mat Sci &amp; Engn, Tianjin 300350, Peoples R China.</t>
  </si>
  <si>
    <t>kanbin04@nankai.edu.cn; yschen99@nankai.edu.cn</t>
  </si>
  <si>
    <t>MoST [2022YFB4200400, 2019YFA0705900]; NSFC of China [21935007, 52025033]; 100 Young Academic Leaders Program of Nankai University [020-ZB22000110]; Fundamental Research Funds for the Central Universities, Nankai University [023-ZB22000105]; Haihe Laboratory of Sustainable Chemical Transformations</t>
  </si>
  <si>
    <t>MoST; NSFC of China(National Natural Science Foundation of China (NSFC)); 100 Young Academic Leaders Program of Nankai University; Fundamental Research Funds for the Central Universities, Nankai University; Haihe Laboratory of Sustainable Chemical Transformations</t>
  </si>
  <si>
    <t>The authors gratefully acknowledge the financial support from MoST (2022YFB4200400, 2019YFA0705900) and NSFC (21935007, 52025033) of China, the 100 Young Academic Leaders Program of Nankai University (020-ZB22000110) , the Fundamental Research Funds for the Central Universities, Nankai University (023-ZB22000105) , and Haihe Laboratory of Sustainable Chemical Transformations. A portion of this work was based on the data obtained at BSRF-1W1A. The authors gratefully acknowledge the cooperation of the beamline scientists at BSRF-1W1A beamline.</t>
  </si>
  <si>
    <t>10.1016/j.nanoen.2023.108766</t>
  </si>
  <si>
    <t>R7AM1</t>
  </si>
  <si>
    <t>WOS:001065843200001</t>
  </si>
  <si>
    <t>Zhao, G; Zhao, SQ; Nielsen, LH; Zhou, F; Gu, LY; Tadesse, BT; Solem, C</t>
  </si>
  <si>
    <t>Zhao, Ge; Zhao, Shuangqing; Nielsen, Line Hagner; Zhou, Fa; Gu, Liuyan; Tadesse, Belay Tilahun; Solem, Christian</t>
  </si>
  <si>
    <t>Transforming acid whey into a resource by selective removal of lactic acid and galactose using optimized food-grade microorganisms</t>
  </si>
  <si>
    <t>Acid whey; Corynebacterium glutamicum; Adaptive laboratory evolution; Lactic acid; Galactose</t>
  </si>
  <si>
    <t>CORYNEBACTERIUM-GLUTAMICUM; LACTOCOCCUS-LACTIS; LACTATE; POWDERS; GENE; PYRUVATE</t>
  </si>
  <si>
    <t>The presence of lactic acid and galactose makes spray drying of acid whey (AW) a significant challenge for the dairy industry. In this study, a novel approach is explored to remove these compounds, utilizing food-grade microorganisms. For removing lactic acid, Corynebacterium glutamicum was selected, which has an inherent ability to metabolize lactic acid but does so slowly. To accelerate lactic acid metabolism, a mutant strain G6006 was isolated through adaptive laboratory evolution, which metabolized all lactic acid from AW two times faster than its parent strain. To eliminate galactose, a lactose-negative mutant of Lactococcus lactis that cannot produce lactate was generated. This strain was then co-cultured with G6006 to maximize the removal of both lactic acid and galactose. The microbially filtered AW could readily be spray dried into a stable lactose powder. This study highlights the potential of utilizing food-grade microorganisms to process AW, which currently constitutes a global challenge.</t>
  </si>
  <si>
    <t>[Zhao, Ge; Zhao, Shuangqing; Zhou, Fa; Gu, Liuyan; Tadesse, Belay Tilahun; Solem, Christian] Tech Univ Denmark, Natl Food Inst, DK-2800 Lyngby, Denmark; [Nielsen, Line Hagner] Tech Univ Denmark, DTU Hlth Tech, Dept Hlth Technol, DK-2800 Lyngby, Denmark</t>
  </si>
  <si>
    <t>Technical University of Denmark; Technical University of Denmark</t>
  </si>
  <si>
    <t>Solem, C (corresponding author), Tech Univ Denmark, Natl Food Inst, DK-2800 Lyngby, Denmark.</t>
  </si>
  <si>
    <t>chso@food.dtu.dk</t>
  </si>
  <si>
    <t>Tadesse, Belay Tilahun/AGV-4880-2022; Hagner Nielsen, Line/C-7312-2014</t>
  </si>
  <si>
    <t>Tadesse, Belay Tilahun/0000-0001-7851-5862; Zhao, Shuangqing/0000-0001-9296-5931; Hagner Nielsen, Line/0000-0002-3789-4816; Solem, Christian/0000-0002-3898-280X</t>
  </si>
  <si>
    <t>DTU discovery</t>
  </si>
  <si>
    <t>This work was supported by the DTU discovery.</t>
  </si>
  <si>
    <t>10.1016/j.biortech.2023.129594</t>
  </si>
  <si>
    <t>P8KR4</t>
  </si>
  <si>
    <t>WOS:001053109700001</t>
  </si>
  <si>
    <t>Zhao, JJ; Zhang, YR; Liu, Q; Mei, BL; Yang, XC; Liu, GJ; Yu, Y; Xu, L</t>
  </si>
  <si>
    <t>Zhao, Jiajia; Zhang, Yiran; Liu, Qing; Mei, Bolun; Yang, Xingchuan; Liu, Guoji; Yu, Yi; Xu, Li</t>
  </si>
  <si>
    <t>Equilibrium solubility, solvent effect, equation correlation, and thermodynamic properties of cyclododecanone in twelve organic solvents</t>
  </si>
  <si>
    <t>Cyclododecanone solubility; Solvent effect; Correlation; Thermodynamic properties</t>
  </si>
  <si>
    <t>QUANTITATIVE-ANALYSIS; CRYSTALLIZATION; SOLIDS</t>
  </si>
  <si>
    <t>The solubility of cyclododecanone (CDON) was determined in twelve solvents containing acetonitrile, acetone, toluene, ethyl acetate, cyclohexane, 1,2-dichloroethane, methanol, ethanol, n-propanol, i-propanol, n-butanol and i-butanol. The temperature range for the remaining solvents used in the experiment was 278.15-313.15 K, except for cyclohexane (283.15-313.15 K). The CDON solubility in solvents measured increased with growing temperature. The CDON solubility varies considerably in different solvents. Among the single solvents selected, CDON was most soluble in 1,2-dichloroethane and least in acetonitrile. The solubility in 1,2-dichloroethane is about 2-3 times higher than in acetonitrile. The carbonyl oxygen of CDON readily combines with alcoholic solvents to form hydrogen bonds. Hansen solubility parameters (HSP) and the physiochemical properties of the solvents explain the solvent effect in diverse solvents. To understand CDON dissolution, the electrostatic potential energy surfaces of CDON and the solute-solvent interactions were analyzed at the molecular level on the basis of density functional theory (DFT). Analysis of solvation effects revealed that variations in the CDON dissolution are influenced by a combination of factors rather than a single one. In addition, the Van't Hoff equation, modified Apelblat equation, Yaws equation, &amp; lambda;h equation, Wilson model and Jouyban model were utilized to correlate the experimentally obtained value. The computational data show that the ARD (0.88%) and RMSD (0.24%) of Wilson model are the smallest among the selected equations with the best correlation. The apparent thermodynamic properties of CDON dissolution were further accounted for Van't Hoff equation, and the CDON dissolution was observed to be endothermic and entropy-driven.</t>
  </si>
  <si>
    <t>[Zhao, Jiajia; Zhang, Yiran; Liu, Qing; Mei, Bolun; Yang, Xingchuan; Liu, Guoji; Yu, Yi; Xu, Li] Zhengzhou Univ, Sch Chem Engn, Zhengzhou 450001, Peoples R China</t>
  </si>
  <si>
    <t>Zhengzhou University</t>
  </si>
  <si>
    <t>Yu, Y; Xu, L (corresponding author), Zhengzhou Univ, Sch Chem Engn, Zhengzhou 450001, Peoples R China.</t>
  </si>
  <si>
    <t>yuyihg@zzu.edu.cn; xuli@zzu.edu.cn</t>
  </si>
  <si>
    <t>Henan Provincial Science and Technology Research Project [232102321041]; Supercomputing Center of Zhengzhou University</t>
  </si>
  <si>
    <t>Henan Provincial Science and Technology Research Project; Supercomputing Center of Zhengzhou University</t>
  </si>
  <si>
    <t>This work was supported by the Henan Provincial Science and Technology Research Project (No. 232102321041) . The DFT studies were supported by Supercomputing Center of Zhengzhou University.</t>
  </si>
  <si>
    <t>10.1016/j.molliq.2023.122857</t>
  </si>
  <si>
    <t>S5OR1</t>
  </si>
  <si>
    <t>WOS:001071663100001</t>
  </si>
  <si>
    <t>Zhao, Y; Chang, ZY; Zhao, YY; Yang, QC; Liu, GB; Li, LS</t>
  </si>
  <si>
    <t>Zhao, Yu; Chang, Zhiyuan; Zhao, Yuanyang; Yang, Qichao; Liu, Guangbin; Li, Liansheng</t>
  </si>
  <si>
    <t>Performance comparison of three supercritical CO2 solar thermal power systems with compressed fluid and molten salt energy storage</t>
  </si>
  <si>
    <t>Supercritical carbon dioxide Brayton cycle; Solar power tower plant; Energy storage; Exergy analysis</t>
  </si>
  <si>
    <t>BRAYTON CYCLES; EXERGETIC ANALYSIS; OPTIMIZATION; GENERATION; LAYOUT; HEAT</t>
  </si>
  <si>
    <t>In recent years, the supercritical carbon dioxide (sCO2) Brayton cycle power generation system has gradually attracted the attention of academics as a solar thermal power generation technology. To achieve the stable and effective use of solar energy, three sCO2 solar power generation systems were studied in this paper. These systems included a molten salt thermal storage system, a compressed CO2 energy storage system, and a combined molten salt thermal storage and compressed CO2 energy storage system. The thermodynamic analysis model of the sCO2 power generation system is constructed, and a mathematical model of the solar power tower system is produced. The operating conditions, thermal efficiency, exergy efficiency, and economics of these three systems on typical days are investigated and compared. The results indicate that the power generation system coupled with compressed CO2 storage has higher thermal and exergy efficiencies than the other two systems with the same daily heliostat field. The thermal efficiencies can be as high as 6.56% and 5.91% respectively, and the exergy efficiencies as high as 5.76% and 6.22% respectively. The system coupled with compressed CO2 energy storage is more cost-effective and has a shorter payback period than the system coupled with molten salt thermal storage system and the system with both forms of energy storage.</t>
  </si>
  <si>
    <t>[Zhao, Yu; Chang, Zhiyuan; Zhao, Yuanyang; Yang, Qichao; Liu, Guangbin; Li, Liansheng] Qingdao Univ Sci &amp; Technol, Coll Electromech Engn, Qingdao 266061, Peoples R China</t>
  </si>
  <si>
    <t>Qingdao University of Science &amp; Technology</t>
  </si>
  <si>
    <t>Zhao, YY (corresponding author), Qingdao Univ Sci &amp; Technol, Coll Electromech Engn, Qingdao 266061, Peoples R China.</t>
  </si>
  <si>
    <t>yuanyangzhao@163.com</t>
  </si>
  <si>
    <t>Zhao, Yuanyang/M-2065-2019</t>
  </si>
  <si>
    <t>Zhao, Yuanyang/0000-0003-1626-4863</t>
  </si>
  <si>
    <t>National Natural Science Foundation of China [52076114]; Shandong Provincial Natural Science Foundation [ZR2020ME168]; Taishan Scholar Program of Shandong [tsqn201812073]</t>
  </si>
  <si>
    <t>National Natural Science Foundation of China(National Natural Science Foundation of China (NSFC)); Shandong Provincial Natural Science Foundation(Natural Science Foundation of Shandong Province); Taishan Scholar Program of Shandong</t>
  </si>
  <si>
    <t>This work was supported by the National Natural Science Foundation of China (Grant No. 52076114), the Shandong Provincial Natural Science Foundation (Grant No. ZR2020ME168), and the Taishan Scholar Program of Shandong (No. tsqn201812073).</t>
  </si>
  <si>
    <t>10.1016/j.energy.2023.128807</t>
  </si>
  <si>
    <t>R5VC5</t>
  </si>
  <si>
    <t>WOS:001065018300001</t>
  </si>
  <si>
    <t>Zheng, XD; Bai, FF; Zhuang, ZY; Jin, T</t>
  </si>
  <si>
    <t>Zheng, Xidong; Bai, Feifei; Zhuang, Zhiyuan; Jin, Tao</t>
  </si>
  <si>
    <t>A novel hierarchical power allocation strategy considering severe wind power fluctuations for wind-storage integrated systems</t>
  </si>
  <si>
    <t>Quartile method; Hampel-Savitzky Golay; CEEMDAN; Dynamic mode decomposition; Power allocation</t>
  </si>
  <si>
    <t>MODE DECOMPOSITION; FARM</t>
  </si>
  <si>
    <t>The development of renewable energy dominated power system and the integration of large-scale wind-storage energy system are inevitable trends of the future society. This paper developed a new methodology of hierarchical power allocation strategy considering wind power fluctuation. A novel idea is presented that fully considers the fluctuation and energy proportion. Based on the Quartile Method (QM) and Hampel-Savitzky Golay (HSG) strategy, a layered-based method that considers the volatility interval to effectively overcome the limitations of a single strategy caused by severe volatility interval is proposed. Then, an improved power division method based on Complete Ensemble Empirical Mode Decomposition with Adaptive Noise (CEEMDAN) and Dynamic Mode Decomposition (DMD) is proposed where CEEMDAN is used to decompose the Intrinsic Mode Function (IMF) of the remaining fluctuations. Furthermore, according to the required setting of energy proportion, DMD strategy is used for power fitting of the hybrid energy storage system (HESS). Through experimental verification, the hierarchical strategy proposed in this paper can effectively reduce the probability of severe volatility interval or distortion interval and ensure the sequence in the ideal interval. Moreover, the proposed CEEMDAN-DMD strategy can realize the power division according to the energy proportion demand. In model verification, the volatility improvement &amp; zeta;&amp; lambda;1min = 85.4766%. Set the energy demand &amp; GE; 80%, the fitting energy proportion accounts for 87.7533%, which outperforms the traditional power division method. In addition, it is demonstrated that the theoretical method proposed in this paper is reliable and promising.</t>
  </si>
  <si>
    <t>[Zheng, Xidong; Zhuang, Zhiyuan; Jin, Tao] Fuzhou Univ, Coll Elect Engn &amp; Automat, Fuzhou 350108, Peoples R China; [Bai, Feifei] Univ Queensland, Sch Informat Technol &amp; Elect Engn, Brisbane, Qld 4072, Australia; [Bai, Feifei] Griffith Univ, Sch Engn &amp; Built Environm, Gold Coast, Qld 4222, Australia; [Zhuang, Zhiyuan] State Grid Fuzhou Elect Power Supply Co, Fuzhou 350009, Peoples R China</t>
  </si>
  <si>
    <t>Fuzhou University; University of Queensland; Griffith University</t>
  </si>
  <si>
    <t>Jin, T (corresponding author), Fuzhou Univ, Coll Elect Engn &amp; Automat, Fuzhou 350108, Peoples R China.</t>
  </si>
  <si>
    <t>210110011@fzu.edu.cn; jintly@fzu.edu.cn</t>
  </si>
  <si>
    <t>Jin, Tao/0000-0003-3829-4545</t>
  </si>
  <si>
    <t>Chinese National Natural Science Foundation [51977039]; Central Government Guiding Local Science And Technology Development Project [2021L3005]</t>
  </si>
  <si>
    <t>Chinese National Natural Science Foundation(National Natural Science Foundation of China (NSFC)); Central Government Guiding Local Science And Technology Development Project</t>
  </si>
  <si>
    <t>This work is supported by the Chinese National Natural Science Foundation (grant number 51977039) and the Central Government Guiding Local Science And Technology Development Project under Grant 2021L3005. It needs to be noted that the co-author Dr Feifei Baididn't involve these two projects and the main contribution of Dr Feifei Bai for this paper was providing technical comments and suggestions for the proposed method and improving the quality of this paper.</t>
  </si>
  <si>
    <t>10.1016/j.ijepes.2023.109363</t>
  </si>
  <si>
    <t>P4KL0</t>
  </si>
  <si>
    <t>WOS:001050350400001</t>
  </si>
  <si>
    <t>Zhou, HA; Xu, QM; Zhao, J; Luo, HJ; Huang, X; Huang, JZ</t>
  </si>
  <si>
    <t>Zhou, Haonan; Xu, Qingmeng; Zhao, Jing; Luo, Hongjie; Huang, Xiao; Huang, Jizhong</t>
  </si>
  <si>
    <t>Biomimetic super slippery surface with excellent and durable anti-icing property for immovable heritage conservation</t>
  </si>
  <si>
    <t>Slippery liquid-infused porous surfaces (SLIPSs); Nepenthes; Anti-icing; Heritage conservation</t>
  </si>
  <si>
    <t>ICEPHOBIC SURFACES; SUPERHYDROPHOBIC COATINGS; ENERGY; ROBUST</t>
  </si>
  <si>
    <t>The formation and accumulation of ice on solid surface is not only a potential threat to our daily life, but also a hazard to cultural heritages, such as murals, grottoes, monuments, ancient buildings. Inspired by slippery inner surface of Nepenthes, slippery liquid-infused porous surfaces (SLIPSs) for anti-icing attract a lot of attention recently. In this work, dip-coating approach is utilized to create a hydrophobic silica layer grafted with longchain organic molecules. After infusing the oil phase, a three-layer Nepenthes-like structure is formed. The SLIPS shows excellent anti-icing property. It reduces the ice-surface adhesion strength to 0 kPa on non-porous surface and 6.83 kPa on porous surface (sandstone from Yungang Grottoes) respectively. After 35 icing/deicing cycles, the SLIPS still shows good anti-icing ability. Our results show that the middle long-chain organic layer not only enhances the surface hydrophobicity but also increases its affinity with the oil phase to reduce lubricating oil loss, thus increasing its anti-icing durability. When the anti-icing ability decreases with time, simple re-infusing the oil phase can easily restore the anti-icing performance to its original level. The SLIPSs prepared in this work show outstanding hydrophobicity, ice repellency, durability and satisfying water vapor permeability on treated porous sandstones, which makes it potential to protect immovable cultural heritages from ice hazard.</t>
  </si>
  <si>
    <t>[Zhou, Haonan; Xu, Qingmeng; Luo, Hongjie] Shanghai Univ, Sch Mat Sci &amp; Engn, Shanghai 200444, Peoples R China; [Zhou, Haonan; Xu, Qingmeng; Luo, Hongjie; Huang, Xiao; Huang, Jizhong] Shanghai Univ, Inst Conservat Culture Heritage, Shanghai 200444, Peoples R China; [Zhao, Jing] Chinese Acad Sci, Shanghai Inst Ceram, Ancient Ceram Res Ctr, Shanghai 201800, Peoples R China</t>
  </si>
  <si>
    <t>Shanghai University; Shanghai University; Chinese Academy of Sciences; Shanghai Institute of Ceramics, CAS</t>
  </si>
  <si>
    <t>Huang, X (corresponding author), Shanghai Univ, Inst Conservat Culture Heritage, Shanghai 200444, Peoples R China.;Zhao, J (corresponding author), Chinese Acad Sci, Shanghai Inst Ceram, Ancient Ceram Res Ctr, Shanghai 201800, Peoples R China.</t>
  </si>
  <si>
    <t>zhaojing@mail.sic.ac.cn; xhuang@shu.edu.cn</t>
  </si>
  <si>
    <t>Chen, Xin/JDN-2017-2023; WANG, HUI/JFA-9683-2023</t>
  </si>
  <si>
    <t>National Key Ramp;D Program of China [2019YFC1520500, 2019YFC1520104]; Key Program of National Natural Science Foundation of China [51732008]; National Natural Science Foundation of China [52172297]</t>
  </si>
  <si>
    <t>National Key Ramp;D Program of China; Key Program of National Natural Science Foundation of China(National Natural Science Foundation of China (NSFC)); National Natural Science Foundation of China(National Natural Science Foundation of China (NSFC))</t>
  </si>
  <si>
    <t>The authors are grateful to the financial supports from the National Key R &amp; amp;D Program of China (No. 2019YFC1520500, 2019YFC1520104) , Key Program of National Natural Science Foundation of China (No. 51732008) and the National Natural Science Foundation of China (No. 52172297) .</t>
  </si>
  <si>
    <t>10.1016/j.porgcoat.2023.107818</t>
  </si>
  <si>
    <t>P6SH3</t>
  </si>
  <si>
    <t>WOS:001051949300001</t>
  </si>
  <si>
    <t>Zhou, HC; Zheng, Z; Chen, YJ; Wan, YH; Sun, JX; Zhang, TC; Chen, DD; Shi, SY; Ju, PH</t>
  </si>
  <si>
    <t>Zhou, Hengcheng; Zheng, Zhi; Chen, Yongjing; Wan, Yinhua; Sun, Jiaxuan; Zhang, Tianci; Chen, Dongdong; Shi, Shaoyuan; Ju, Peihai</t>
  </si>
  <si>
    <t>A novel ion exchange-electrodialysis hybrid system to treat rare-earth oxalic precipitation mother liquid: Contamination reduction, efficient Y3+recovery, and acid separation</t>
  </si>
  <si>
    <t>Ion exchangers; Selective electrodialysis; Rare earth recovery; Acid separation; Membrane fouling</t>
  </si>
  <si>
    <t>MEMBRANE; RECOVERY; GROUNDWATER; ADSORPTION; EVOLUTION; REVERSAL; ORIGIN; ROCK; REE</t>
  </si>
  <si>
    <t>A novel ion exchange process combined with selective electrodialysis (SED) process has been demonstrated to not only efficiently recover low concentration rare-earth elements (REEs) and separate hydrochloric acid, but also significantly reduce membrane fouling. Two resins with different functional groups were selected for pretreatment and recovery of Y3+ from Y rare-earth oxalic precipitation (Y REOP) mother liquor. CH-93 resin showed a Y recovery rate of over 94 %, and the Y recovery efficiency remained above 90 % after 5 cycles. The mother liquor treated with resin (R-T) and the untreated mother liquor (W-R-T) were subjected to acid separation via SED, and membrane fouling was systematically evaluated. Compared with W-R-T group, the hydrochloric acid recovery efficiency of R-T group increased by 21.01 % (12 V), and the unit energy consumption decreased by 54.30 % (12 V). The results of 3D fluorescence excitation-emission matrix (3D-EEM) and fluorescent region integration (FRI) showed the dissolved organic matter (DOM) on AEM , CEM in R-T group both decreased by &gt;45 %. The AEM of W-R-T group showed the highest fluorescence intensity ratio in V region (36 %), indicating humic acid-like substances were the main cause of AEM fouling. Generally, this study provides a new approach for the resource utilization of REOP mother liquor.</t>
  </si>
  <si>
    <t>[Zhou, Hengcheng; Zheng, Zhi; Wan, Yinhua; Sun, Jiaxuan; Zhang, Tianci; Chen, Dongdong; Shi, Shaoyuan; Ju, Peihai] Chinese Acad Sci, Ganjiang Innovat Acad, Ganzhou 341119, Peoples R China; [Zhou, Hengcheng; Wan, Yinhua; Shi, Shaoyuan] Nanchang Univ, Coll Resources &amp; Environm, Nanchang 330031, Peoples R China; [Zhou, Hengcheng; Wan, Yinhua; Chen, Dongdong; Shi, Shaoyuan; Ju, Peihai] Jiangxi Prov Key Lab Cleaner Prod Rare Earths, Ganzhou 341119, Peoples R China; [Chen, Yongjing] JiangXi Univ Sci &amp; Technol, Coll Resources &amp; Environm Engn, Ganzhou 341000, Peoples R China; [Wan, Yinhua; Shi, Shaoyuan] Chinese Acad Sci, Inst Proc Engn, Beijing 100190, Peoples R China</t>
  </si>
  <si>
    <t>Chinese Academy of Sciences; Nanchang University; Jiangxi University of Science &amp; Technology; Institute of Process Engineering, CAS; Chinese Academy of Sciences</t>
  </si>
  <si>
    <t>Shi, SY; Ju, PH (corresponding author), Chinese Acad Sci, Ganjiang Innovat Acad, Ganzhou 341119, Peoples R China.;Shi, SY (corresponding author), Nanchang Univ, Coll Resources &amp; Environm, Nanchang 330031, Peoples R China.;Chen, YJ (corresponding author), JiangXi Univ Sci &amp; Technol, Coll Resources &amp; Environm Engn, Ganzhou 341000, Peoples R China.</t>
  </si>
  <si>
    <t>chenyj0839@sina.com; syshi@gia.cas.cn; phju@gia.cas.cn</t>
  </si>
  <si>
    <t>National Natural Science Foundation of China [51878645, 51908567]; Key Research Program of the Chinese Academy of Sciences [ZDRW-CN-2021-3]; Double Thousand Plan of Jiangxi Province [jxsq2020105012]; Self-deployed Projects of Ganjiang Innovation Academy, Chinese Academy of Sciences [E055A001]</t>
  </si>
  <si>
    <t>National Natural Science Foundation of China(National Natural Science Foundation of China (NSFC)); Key Research Program of the Chinese Academy of Sciences(Chinese Academy of Sciences); Double Thousand Plan of Jiangxi Province; Self-deployed Projects of Ganjiang Innovation Academy, Chinese Academy of Sciences</t>
  </si>
  <si>
    <t>This work was supported by the National Natural Science Foundation of China (51878645, 51908567), Key Research Program of the Chinese Academy of Sciences (ZDRW-CN-2021-3), Double Thousand Plan of Jiangxi Province (jxsq2020105012), and Self-deployed Projects of Ganjiang Innovation Academy, Chinese Academy of Sciences (E055A001).</t>
  </si>
  <si>
    <t>10.1016/j.desal.2023.116815</t>
  </si>
  <si>
    <t>P0HS2</t>
  </si>
  <si>
    <t>WOS:001047541900001</t>
  </si>
  <si>
    <t>Zhou, YP; Yang, PX; Wang, LX; Xu, JC; He, YL</t>
  </si>
  <si>
    <t>Zhou, Yi-Peng; Yang, Pei-Xin; Wang, Liang-Xu; Xu, Jia-Chen; He, Ya-Ling</t>
  </si>
  <si>
    <t>Full spectrum photon management of photonic crystal-based aerogels to achieve the multiscale multiphysics regulations and optimizations of PV-TE/T systems</t>
  </si>
  <si>
    <t>Full -spectrum solar energy utilization; Photovoltaic-thermoelectric/thermal system; Photonic crystal-based aerogel; Multiscale photon propagation; Multiphysics coupling</t>
  </si>
  <si>
    <t>THERMAL-CONDUCTIVITY; BEAM SPLITTER; BANDGAP; SURFACE; DESIGN</t>
  </si>
  <si>
    <t>Multicomponent coupling is an effective way to achieve full-spectrum solar energy utilization. However, conventional multicomponent coupled PV systems are deficient in the rational distribution of full-spectrum sunlight. In this study, a photovoltaic-thermoelectric/thermal (PV-TE/T) system with photonic crystal-based aerogels (PCA) is proposed based on a novel strategy for efficient full-spectrum solar energy utilization. Then, a multiscale multiphysics theoretical model is developed to study the effects of full-spectrum selectivity characteristics of PCA on the performance of the PCA-based PV-TE/T system. Comparative analyses between stand-alone PV system, tandem PV-TE system, normal PV-TE/T system and PCA-based PV-TE/T system are performed. The full-spectrum selectivity characteristics of PCA allows the PCA-based PV-TE/T system to not only increase the maximum achievable photon current density of PV component by 2.39%-3.00%, but also to increase the heat source (light absorption) for TE component by at least 2609.84%. When the concentration increases to 20, the electrical efficiency of the stand-alone PV system is already 0%, and the electrical efficiency of the tandem PV-TE starts to decrease to 27.01%. As for the PCA-based PV-TE/T system, the maximum electrical efficiency of the PCA-based PV-TE/T system is 32.64% at the concentration of 93. Meanwhile, the thermal collector of the PCA-based PV-TE/ T system absorbs 6277.5 W/m2 of thermal energy. Therefore, the PCA-based PV-TE/T system not only has a high efficiency of full-spectrum solar energy utilization, but also is applicable to higher concentrations, which offers the system the potential for further cost reductions.</t>
  </si>
  <si>
    <t>[Zhou, Yi-Peng; Yang, Pei-Xin; Wang, Liang-Xu] Northwestern Polytech Univ, Ningbo Inst, Inst Flexible Elect IFE, Frontiers Sci Ctr Flexible Elect, Xian 710129, Shaanxi, Peoples R China; [Xu, Jia-Chen; He, Ya-Ling] Xi An Jiao Tong Univ, Sch Energy &amp; Power Engn, Key Lab Thermo Fluid Sci &amp; Engn, Minist Educ, Xian 710049, Shaanxi, Peoples R China</t>
  </si>
  <si>
    <t>Northwestern Polytechnical University; Xi'an Jiaotong University</t>
  </si>
  <si>
    <t>Zhou, YP (corresponding author), Northwestern Polytech Univ, Ningbo Inst, Inst Flexible Elect IFE, Frontiers Sci Ctr Flexible Elect, Xian 710129, Shaanxi, Peoples R China.</t>
  </si>
  <si>
    <t>iamypzhou@nwpu.edu.cn; yalinghe@mail.xjtu.edu.cn</t>
  </si>
  <si>
    <t>National Natural Science Foundation of China [52106272]; Ningbo Natural Science Foundation [2021J056]; Fundamental Research Funds for the Central Universities</t>
  </si>
  <si>
    <t>National Natural Science Foundation of China(National Natural Science Foundation of China (NSFC)); Ningbo Natural Science Foundation; Fundamental Research Funds for the Central Universities(Fundamental Research Funds for the Central Universities)</t>
  </si>
  <si>
    <t>This work was supported by the National Natural Science Foundation of China (Grant No.52106272) , the Ningbo Natural Science Foundation (Grant No. 2021J056) , and the Fundamental Research Funds for the Central Universities.</t>
  </si>
  <si>
    <t>10.1016/j.renene.2023.119235</t>
  </si>
  <si>
    <t>S4BF7</t>
  </si>
  <si>
    <t>WOS:001070630900001</t>
  </si>
  <si>
    <t>Zhu, HT; Li, JX; Wu, DC; Zhang, GY; Wang, A; Sun, K</t>
  </si>
  <si>
    <t>Zhu, Haotian; Li, Junxiao; Wu, Dichao; Zhang, Gaoyue; Wang, Ao; Sun, Kang</t>
  </si>
  <si>
    <t>A novel pre-lithiation strategy achieved by the capacitive adsorption in the cathode for lithium-ion capacitors</t>
  </si>
  <si>
    <t>Novel; Cathode pre-lithiation; Capacitive adsorption; Lithium ion capacitor</t>
  </si>
  <si>
    <t>SOLID-ELECTROLYTE INTERPHASE; ENERGY-STORAGE; ANODE; BATTERIES; CHEMISTRY; DENSITY</t>
  </si>
  <si>
    <t>Pre-lithiation is a critical component to improve the performance of lithium-ion capacitors. However, the process of pre-lithiation may bring some safety problems or hazards for the capacitor itself, like the danger associated with the usage of metallic lithium or impairments of the cathode. In this work, a novel cathode pre-lithiation method is proposed to avoid those problems. In this strategy, lithium ions are stored in the cathode by capacitive adsorption in advance. And they are used as the lithium source to achieve the pre-lithiation in the first few cycles. Meanwhile, the degree of pre-lithiation can also be regulated by changing the charge voltage of the capacitive adsorption. The full LIC device pre-lithiated through this method has a specific capacity of 31.4 mAh g-1. In addition to providing potential solutions for hazards associated with metallic lithium or the performance of the cathode in the production of LICs, the study will also offer some insights through a new design of the cathode pre-lithiation method.</t>
  </si>
  <si>
    <t>[Zhu, Haotian; Li, Junxiao; Wu, Dichao; Wang, Ao; Sun, Kang] Chinese Acad Forestry, Inst Chem Ind Forest Prod, Key Lab Biomass Energy &amp; Mat, Nanjing, Jiangsu, Peoples R China; [Zhu, Haotian; Li, Junxiao; Wang, Ao; Sun, Kang] SFA, Natl Engn Lab Biomass Chem Utilizat, Key &amp; Open Lab Forest Chem Engn, Nanjing 210042, Peoples R China; [Zhu, Haotian; Li, Junxiao; Wu, Dichao] Nanjing Forestry Univ, Coinnovat Ctr Efficient Proc &amp; Utilizat Forest Res, Nanjing 210037, Peoples R China; [Zhang, Gaoyue] Southeast Univ, Sch Energy &amp; Environm, Nanjing 210096, Peoples R China</t>
  </si>
  <si>
    <t>Chinese Academy of Forestry; Institute of Chemical Industry of Forest Products, CAF; Nanjing Forestry University; Southeast University - China</t>
  </si>
  <si>
    <t>Wang, A; Sun, K (corresponding author), Chinese Acad Forestry, Inst Chem Ind Forest Prod, Key Lab Biomass Energy &amp; Mat, Nanjing, Jiangsu, Peoples R China.</t>
  </si>
  <si>
    <t>wangao@icifp.cn; sunkang0226@163.com</t>
  </si>
  <si>
    <t>Foundation of Jiangsu Key Lab of Biomass Energy and Material [JSBEM-S-202101]; National Nonprofit Institute Research Grant of Chinese Academy of Forestry [CAFYBB2020ZF001]</t>
  </si>
  <si>
    <t>Foundation of Jiangsu Key Lab of Biomass Energy and Material; National Nonprofit Institute Research Grant of Chinese Academy of Forestry</t>
  </si>
  <si>
    <t>The authors gratefully acknowledge financial support by the Foundation of Jiangsu Key Lab of Biomass Energy and Material (JSBEM-S-202101) , National Nonprofit Institute Research Grant of Chinese Academy of Forestry (CAFYBB2020ZF001) .</t>
  </si>
  <si>
    <t>10.1016/j.renene.2023.119163</t>
  </si>
  <si>
    <t>S1SN9</t>
  </si>
  <si>
    <t>WOS:001069041100001</t>
  </si>
  <si>
    <t>Zhu, MM; Cao, Y; Liang, YG; Ma, C; Lu, HB; Xu, M; Qiu, LZ; Zhu, J</t>
  </si>
  <si>
    <t>Zhu, Mengmeng; Cao, Ying; Liang, Yuge; Ma, Chao; Lu, Hongbo; Xu, Miao; Qiu, Longzhen; Zhu, Jun</t>
  </si>
  <si>
    <t>Polymer-stabilized fast-relaxation dye-doped cholesteric liquid crystals with a wide temperature range by thiol-Michael addition polymerization</t>
  </si>
  <si>
    <t>Dye-doped cholesteric liquid crystals; Fast-relaxation; Thiol-Michael addition polymerization; Wide temperature range</t>
  </si>
  <si>
    <t>LIGHT</t>
  </si>
  <si>
    <t>The transient planar (TP) state during the relaxation process, from homeotropic (H) to planar (P) state, of dyedoped cholesteric liquid crystals (DDCLCs) can be eliminated by adjusting the elastic constants, reducing the time and haze of the relaxation process. However, the elastic constants are easily influenced by temperature. Therefore, the operating temperature range for fast-relaxation DDCLCs is relatively narrow. This work demonstrates that a polymer helical template can be formed in the P state of DDCLCs by thiol-Michael addition polymerization. It can significantly expand the temperature range from 20 degrees C to 60 degrees C for fast-relaxation DDCLCs. More importantly, polymer-stabilized dye-doped cholesteric liquid crystals (PS-DDCLCs) did not show any reduction in the absorption of the dye or discoloration after polymerization. PS-DDCLCs could still achieve tri-state switching and could be used for fast-relaxation smart windows capable of adapting to increasing environmental temperatures. The proposed smart window can be used in vehicles and aircraft to prevent glare and protect privacy.</t>
  </si>
  <si>
    <t>[Zhu, Mengmeng; Cao, Ying; Liang, Yuge; Ma, Chao; Lu, Hongbo; Xu, Miao; Qiu, Longzhen; Zhu, Jun] Hefei Univ Technol, Acad Optoelect Technol, Special Display &amp; Imaging Technol Innovat Ctr Anhu, Natl Engn Lab Special Display Technol,State Key La, Hefei 230009, Peoples R China; [Zhu, Mengmeng; Cao, Ying; Liang, Yuge; Lu, Hongbo; Zhu, Jun] Hefei Univ Technol, Sch Chem &amp; Chem Engn, Anhui Prov Key Lab Adv Funct Mat &amp; Devices, Hefei 230009, Peoples R China; [Ma, Chao; Qiu, Longzhen] Sch Instrument Sci &amp; Optoelect Engn, Anhui Prov Key Lab Measuring Theory &amp; Precis Instr, Hefei 230009, Peoples R China</t>
  </si>
  <si>
    <t>Lu, HB; Xu, M (corresponding author), Hefei Univ Technol, Acad Optoelect Technol, Special Display &amp; Imaging Technol Innovat Ctr Anhu, Natl Engn Lab Special Display Technol,State Key La, Hefei 230009, Peoples R China.</t>
  </si>
  <si>
    <t>bozhilu@hfut.edu.cn; xumiao0711@hfut.edu.cn</t>
  </si>
  <si>
    <t>National Key Research and Development Program of China [2019YFE0101300]; Natural Science Foundation of Anhui Province [1708085MF150]; Fundamental Research Funds for the Central Universities of China [JZ2022HGTB0294]</t>
  </si>
  <si>
    <t>National Key Research and Development Program of China; Natural Science Foundation of Anhui Province(Natural Science Foundation of Anhui Province); Fundamental Research Funds for the Central Universities of China(Fundamental Research Funds for the Central Universities)</t>
  </si>
  <si>
    <t>This work was supported by the National Key Research and Development Program of China (2019YFE0101300), Natural Science Foundation of Anhui Province [1708085MF150] and the Fundamental Research Funds for the Central Universities of China (JZ2022HGTB0294).</t>
  </si>
  <si>
    <t>10.1016/j.dyepig.2023.111628</t>
  </si>
  <si>
    <t>Q9PP8</t>
  </si>
  <si>
    <t>WOS:001060767400001</t>
  </si>
  <si>
    <t>Zhu, YY; Wang, YT; Chen, PH; Lei, Y; Yan, F; Yang, Z; Yang, L; Wang, LB</t>
  </si>
  <si>
    <t>Zhu, Yuyang; Wang, Yituo; Chen, Pinhong; Lei, Yu; Yan, Feng; Yang, Zheng; Yang, Liu; Wang, Lubin</t>
  </si>
  <si>
    <t>Effects of acute stress on risky decision-making are related to neuroticism: An fMRI study of the Balloon Analogue Risk Task</t>
  </si>
  <si>
    <t>Acute stress; BART; fMRI; Risky decision-making; Neuroticism</t>
  </si>
  <si>
    <t>TRANSCRANIAL MAGNETIC STIMULATION; PREFRONTAL CORTEX; FUNCTIONAL CONNECTIVITY; PSYCHOSOCIAL STRESS; INDIVIDUAL-DIFFERENCES; CORTISOL REACTIVITY; TAKING BEHAVIOR; OLDER-ADULTS; PERSONALITY; ACTIVATION</t>
  </si>
  <si>
    <t>Background: Decision making under acute stress is frequent in daily life. While evidence suggests for a modulatory role of neuroticism on risky decision-making behaviors, the neural correlates underlying the association between neuroticism and risky decision-making under acute stress remain to be elucidated.Methods: Based on a modified Balloon Analogue Risk Task (BART) with concurrent functional magnetic resonance imaging, we evaluated the effect of acute stress on risk-taking behavior in 27 healthy male adults, and further assessed stress-induced changes in brain activation according to the individual differences in neuroticism.Results: Higher trait neuroticism levels positively correlated with increased stress-modulated activation of the right dorsal anterior cingulate cortex during risk-taking, and negatively correlated with decreased stress modulated activation of the right dorsolateral prefrontal cortex during cash-outs. Limitations: Only male participants were recruited.Conclusions: We found a positive correlation between neuroticism and greater risk-taking behavior under acute stress. These results extend our understanding of the increased risk-taking propensity in high neurotic individuals under acute stress.</t>
  </si>
  <si>
    <t>[Zhu, Yuyang; Wang, Yituo; Chen, Pinhong; Lei, Yu; Yan, Feng; Yang, Zheng; Wang, Lubin] Beijing Inst Basic Med Sci, Brain Sci Ctr, Beijing 100850, Peoples R China; [Zhu, Yuyang; Yang, Liu] Air Force Med Univ, Air Force Med Ctr, Aviat Psychol Efficacy Lab, PLA, Beijing 100142, Peoples R China; [Wang, Yituo] Chinese Peoples Liberat Army Gen Hosp, Med Ctr 7, Dept Radiol, Beijing 100700, Peoples R China; [Yang, Liu] 28 Fucheng Rd, Beijing 100142, Peoples R China; [Wang, Lubin] 27 Taiping Rd, Beijing 100850, Peoples R China</t>
  </si>
  <si>
    <t>Academy of Military Medical Sciences - China; Air Force Military Medical University; Chinese People's Liberation Army General Hospital; Seventh Medical Center of Chinese PLA General Hospital</t>
  </si>
  <si>
    <t>Yang, L (corresponding author), 28 Fucheng Rd, Beijing 100142, Peoples R China.;Wang, LB (corresponding author), 27 Taiping Rd, Beijing 100850, Peoples R China.</t>
  </si>
  <si>
    <t>yangliuhenry@aliyun.com; wanglb@bmi.ac.cn</t>
  </si>
  <si>
    <t>Wang, Yi-Tuo/GYR-0385-2022</t>
  </si>
  <si>
    <t>Wang, Yi-Tuo/0000-0002-9295-8894</t>
  </si>
  <si>
    <t>National Science Foundation of China [61673391]; National Basic Science Research Program of China [JCKY2019548B001]</t>
  </si>
  <si>
    <t>National Science Foundation of China(National Natural Science Foundation of China (NSFC)); National Basic Science Research Program of China(National Basic Research Program of China)</t>
  </si>
  <si>
    <t>This work was supported by the National Science Foundation of China (61673391) and National Basic Science Research Program of China (JCKY2019548B001).</t>
  </si>
  <si>
    <t>10.1016/j.jad.2023.08.038</t>
  </si>
  <si>
    <t>R1ZG5</t>
  </si>
  <si>
    <t>WOS:001062386000001</t>
  </si>
  <si>
    <t>Zou, YA; Xiao, ZJ; Wang, LF; Wang, YT; Yin, HJ; Li, Y</t>
  </si>
  <si>
    <t>Zou, Yina; Xiao, Zijian; Wang, Longfei; Wang, Yutao; Yin, Haojie; Li, Yi</t>
  </si>
  <si>
    <t>Prevalence of antibiotic resistance genes and virulence factors in the sediment of WWTP effluent-dominated rivers</t>
  </si>
  <si>
    <t>Effluent-dominated rivers; Antibiotic resistance genes (ARGs); Virulence factors (VFs); Network analysis; Metagenome-assembled genomes (MAGs) analysis</t>
  </si>
  <si>
    <t>PSYCHROBACTER-SANGUINIS; NITROGEN; BIOFILM; CLASSIFICATION; DETERMINANTS; BACTERIA; MOTILITY</t>
  </si>
  <si>
    <t>In the context of increasing aridity due to climate changes, effluent from wastewater treatment plants (WWTPs) became dominant in some rivers. However, the prevalence of antibiotic resistance genes (ARGs) and virulence factors (VFs) in effluent-dominated rivers was rarely investigated. In this study, the profiles of ARGs and VFs in the sediment of two effluent-dominated rivers were revealed through the metagenomic sequencing technique. In each river, samples from the effluent discharge point (P site) and approximately 500 m downstream (D site) were collected. Results showed that the abundances of ARGs and VFs were both higher in D sites than those in P sites, indicating higher risks in the downstream areas. The compositions of ARGs were similar in the P sites of two rivers while being distinct in the D sites. The same was true for changes in the VFs compositions. Microbial community structure variations were the main driver for the changes in ARGs and VFs. Network analysis revealed that the interaction of ARGs and VF genes (VFGs) in sediment was intense. Two VFGs and eleven ARGs were identified to play important roles in the network. Metagenome-assembled genomes (MAGs) were generated to evaluate the coexistence of ARGs and VFGs at the single genome level. It was found that 38.4 % of the MAGs contained both ARGs and VFGs, and two MAGs were from pathogenic genera. These results suggested that high microbiological risks existed in effluent-dominated rivers, and necessary measures should be taken to prevent the potential threat to public health.</t>
  </si>
  <si>
    <t>[Zou, Yina] Hohai Univ, Yangtze Inst Conservat &amp; Dev, Natl Key Lab Water Disaster Prevent, Nanjing 210098, Peoples R China; [Xiao, Zijian] Hohai Univ, Dayu Coll, Natl Key Lab Water Disaster Prevent, Nanjing 210098, Peoples R China; [Wang, Longfei; Wang, Yutao; Yin, Haojie; Li, Yi] Hohai Univ, Coll Environm, Key Lab Integrated Regulat &amp; Resource Dev Shallow, Minist Educ, Nanjing 210098, Peoples R China</t>
  </si>
  <si>
    <t>Hohai University; Hohai University; Hohai University</t>
  </si>
  <si>
    <t>Li, Y (corresponding author), Hohai Univ, Coll Environm, Key Lab Integrated Regulat &amp; Resource Dev Shallow, Minist Educ, Nanjing 210098, Peoples R China.</t>
  </si>
  <si>
    <t>envly@hhu.edu.cn</t>
  </si>
  <si>
    <t>National Natural Science Foundation of China [5217100104, 52200192]; Belt and Road Special Foundation of the National Key Laboratory of Water Disaster Prevention [2022491511]; Joint Open Foundation of School of Environ-ment, China University of Geosciences (Wuhan) [SES-UF-13]</t>
  </si>
  <si>
    <t>National Natural Science Foundation of China(National Natural Science Foundation of China (NSFC)); Belt and Road Special Foundation of the National Key Laboratory of Water Disaster Prevention; Joint Open Foundation of School of Environ-ment, China University of Geosciences (Wuhan)</t>
  </si>
  <si>
    <t>This study received support from National Natural Science Foundation of China (No. 5217100104 and No. 52200192) , the Belt and Road Special Foundation of the National Key Laboratory of Water Disaster Prevention (No. 2022491511) , and the Joint Open Foundation of School of Environ-ment, China University of Geosciences (Wuhan) (No. SES-UF-13) .</t>
  </si>
  <si>
    <t>10.1016/j.scitotenv.2023.165441</t>
  </si>
  <si>
    <t>O9MW7</t>
  </si>
  <si>
    <t>WOS:001046997800001</t>
  </si>
  <si>
    <t>Zuo, ZY; Ke, RQ; Han, QL</t>
  </si>
  <si>
    <t>Zuo, Zongyu; Ke, Ruiqi; Han, Qing-Long</t>
  </si>
  <si>
    <t>Fully distributed adaptive practical fixed-time consensus protocols for multi-agent systems*</t>
  </si>
  <si>
    <t>AUTOMATICA</t>
  </si>
  <si>
    <t>Fully distributed protocol; Practical fixed-time consensus; Multi-agent system; Adaptive control; First-order system</t>
  </si>
  <si>
    <t>COOPERATIVE CONTROL; NETWORKS; TRACKING</t>
  </si>
  <si>
    <t>This paper investigates the practical fixed-time consensus problem for a multi-agent system in networks with an undirected topology. Both node-based and edge-based fully distributed adaptive protocols are proposed to achieve the practical fixed-time consensus for the single integrator-type multi-agent systems, i.e., fixed-time attractiveness of a residual set as well as asymptotic consensus. Most notably, the settling time estimate can be computed without using any global information, which is distinctive from the existing fixed-time protocols. Furthermore, a scaling technique is applied for the proposed protocol such that the fixed-time attraction region can be contracted by only tuning a scaling parameter and the original settling time estimate remains unchanged. Finally, a numerical simulation example is given to validate the proposed protocols. &amp; COPY; 2023 The Author(s). Published by Elsevier Ltd. This is an open access article under the CC BY-NC license (http://creativecommons.org/licenses/by-nc/4.0/).</t>
  </si>
  <si>
    <t>[Zuo, Zongyu; Ke, Ruiqi] Beihang Univ BUAA, Res Div 7, Beijing 100191, Peoples R China; [Han, Qing-Long] Swinburne Univ Technol, Sch Sci Comp &amp; Engn Technol, Melbourne, Vic 3122, Australia</t>
  </si>
  <si>
    <t>Beihang University; Swinburne University of Technology</t>
  </si>
  <si>
    <t>Han, QL (corresponding author), Swinburne Univ Technol, Sch Sci Comp &amp; Engn Technol, Melbourne, Vic 3122, Australia.</t>
  </si>
  <si>
    <t>zzybobby@buaa.edu.cn; krq2000@buaa.edu.cn; qhan@swin.edu.au</t>
  </si>
  <si>
    <t>National Natural Science Foundation of China [62073019]</t>
  </si>
  <si>
    <t>This work was supported by the National Natural Science Foundation of China (No. 62073019) . The material in this paper was not presented at any conference. This paper was recommended for publication in revised form by Associate Editor Yongcan Cao under the direction of Editor Christos G. Cassandras.</t>
  </si>
  <si>
    <t>0005-1098</t>
  </si>
  <si>
    <t>1873-2836</t>
  </si>
  <si>
    <t>Automatica</t>
  </si>
  <si>
    <t>10.1016/j.automatica.2023.111248</t>
  </si>
  <si>
    <t>Automation &amp; Control Systems; Engineering, Electrical &amp; Electronic</t>
  </si>
  <si>
    <t>Automation &amp; Control Systems; Engineering</t>
  </si>
  <si>
    <t>R0KS0</t>
  </si>
  <si>
    <t>WOS:001061321800001</t>
  </si>
  <si>
    <t>Chen, J; Fan, RL; Peng, YH; Qin, N; Jin, LM; Zheng, JS; Ming, PW; Zhang, CM; Zheng, JP</t>
  </si>
  <si>
    <t>Chen, Jing; Fan, Runlin; Peng, Yuhang; Qin, Nan; Jin, Liming; Zheng, Junsheng; Ming, Pingwen; Zhang, Cunman; Zheng, Jim P.</t>
  </si>
  <si>
    <t>Tuning the performance of composite bipolar plate for proton exchange membrane fuel cell by modulating resin network structure</t>
  </si>
  <si>
    <t>JOURNAL OF POWER SOURCES</t>
  </si>
  <si>
    <t>PEMFC; Composite bipolar plate; Resin network structure; Polycondensation; Copolymerization</t>
  </si>
  <si>
    <t>CARBON-FIBER; SURFACE; GRAPHENE; PEMFC</t>
  </si>
  <si>
    <t>Composite bipolar plates (CBPs) are promising candidates in proton exchange membrane fuel cell (PEMFC) for achieving mechanical strength and electrical conductivity as well as chemical stability in acidic environments simultaneously. While widely-explored CBPs composed with Phenol-Formaldehyde (PF) resin as adhesive (donated as PF-CBP) deliver poor flexibility due to the numerous hard &amp; pi;-conjugation (benzene ring) in PF network structure, which is becoming the main bottleneck index and largely hindering the practical applications of CBP. Herein, we propose a co-polymerization method by introducing Epoxy (EP) into PF resin as adhesive for CBP (donated as PF-EP-CBP), by which abundant flexible segments (-CHOH-CH2-O-) from EP are demonstrated to be well embedded into the structure of PF resin for enhanced flexibility. The obtained PF-EP-CBP exhibits significantly improved flexural strength of 46.20 MPa, 1.57 times higher than pristine PF-CBP (29.58 MPa), which is also higher than the 2025 DOE targets (40 MPa). Moreover, the detailed areal specific resistance, thermal conductivity, H2 permeability and corrosion behaviors are conducted systematically to support the single cell of PEMFC. The results provide a novel insight and convenient method on the adhesive tailoring by incorporating flexible linkers into resin network structure, which is of significance to drive the practical development of the CBPs in PEMFC fields.</t>
  </si>
  <si>
    <t>[Chen, Jing; Fan, Runlin; Peng, Yuhang; Qin, Nan; Jin, Liming; Zheng, Junsheng; Ming, Pingwen; Zhang, Cunman] Tongji Univ, Clean Energy Automot Engn Ctr, 4800 Caoan Rd, Shanghai 201804, Peoples R China; [Zheng, Jim P.] Univ Buffalo, State Univ New York, Dept Elect Engn, Buffalo, NY 14260 USA</t>
  </si>
  <si>
    <t>Tongji University; State University of New York (SUNY) System; SUNY Delhi; State University of New York (SUNY) Buffalo</t>
  </si>
  <si>
    <t>Zheng, JS; Ming, PW (corresponding author), Tongji Univ, Clean Energy Automot Engn Ctr, 4800 Caoan Rd, Shanghai 201804, Peoples R China.</t>
  </si>
  <si>
    <t>jszheng@tongji.edu.cn; pwming@tongji.edu.cn</t>
  </si>
  <si>
    <t>Key Technologies Research and Development Program [2020YFB1505904]</t>
  </si>
  <si>
    <t>Key Technologies Research and Development Program</t>
  </si>
  <si>
    <t>The authors would like to acknowledge the financial supports from the Key Technologies Research and Development Program (2020YFB1505904) .</t>
  </si>
  <si>
    <t>0378-7753</t>
  </si>
  <si>
    <t>1873-2755</t>
  </si>
  <si>
    <t>J POWER SOURCES</t>
  </si>
  <si>
    <t>J. Power Sources</t>
  </si>
  <si>
    <t>OCT 30</t>
  </si>
  <si>
    <t>10.1016/j.jpowsour.2023.233566</t>
  </si>
  <si>
    <t>Chemistry, Physical; Electrochemistry; Energy &amp; Fuels; Materials Science, Multidisciplinary</t>
  </si>
  <si>
    <t>Chemistry; Electrochemistry; Energy &amp; Fuels; Materials Science</t>
  </si>
  <si>
    <t>S1PC1</t>
  </si>
  <si>
    <t>WOS:001068950900001</t>
  </si>
  <si>
    <t>Hu, B; Liu, TJ; Wu, Z; Phan, SH; Blyth, K</t>
  </si>
  <si>
    <t>Hu, Biao; Liu, Tianju; Wu, Zhe; Phan, Sem H.; Blyth, Karen</t>
  </si>
  <si>
    <t>P53 regulates CCAAT/Enhancer binding protein beta gene expression</t>
  </si>
  <si>
    <t>P53; Transcriptional regulation; Translational regulation; CCAAT/Enhancer Binding Protein beta; eIF4e</t>
  </si>
  <si>
    <t>INITIATION-FACTOR 4E; ENRICHED INHIBITORY PROTEIN; CAP-DEPENDENT TRANSLATION; C/EBP-RELATED PROTEINS; MESSENGER-RNA; TRANSCRIPTIONAL ACTIVATOR; EUKARYOTIC TRANSLATION; CELL-SURVIVAL; ALPHA; LIVER</t>
  </si>
  <si>
    <t>Background: The transcription factor CCAAT/enhancer-binding protein beta (C/EBP beta) is implicated in diverse processes and diseases. Its two isoforms, namely liver-enriched activator protein (LAP) and liver-enriched in-hibitor protein (LIP) are translated from the same mRNA. They share the same C-terminal DNA binding domain except LAP has an extra N-terminal activation domain. Probably due to its higher affinity for its DNA cognate sequences, LIP can inhibit LAP transcriptional activity even at substoichiometric levels. However, the regulatory mechanism of C/EBP beta gene expression and the LAP: LIP ratio is unclear. Methods: In this study, the C/EBP beta promoter sequence was scanned for conserved P53 response element (P53RE), and binding of P53 to the C/EBP beta promoter was tested by Electrophoretic Mobility Shift Assay (EMSA) and chromatin immunoprecipitation assay. P53 over-expression and dominant negative P53 expression plasmids were transfected into rat lung fibroblasts and tested for C/EBP beta gene transcription and expression. Western blot analysis was used to test the regulation of C/EBP beta LAP and LIP isoforms. Constructs containing the LAP 5'untranslated region (5'UTR) or the LIP 5'UTR region were used to test the importance of 5'UTR in the control of C/EBP beta LAP and LIP translation. Results: The C/EBP beta promoter sequence was found to contain a conserved P53 response element (P53RE), which binds P53 as demonstrated by Electrophoresis Mobility Shift Assay and chromatin immunoprecipitation assays. P53 over-expression suppressed while dominant negative P53 stimulated C/EBP beta gene transcription and expression. Western blot analysis showed that P53 differentially regulated the translation of the C/EBP beta LAP and LIP isoforms through the regulation of eIF4E and eIF4E-BP1. Further studies with constructs containing the LAP 5'untranslated region (5'UTR) or the LIP 5'UTR region showed that the 5'UTR is important in differential control of C/EBP beta LAP and LIP translation. Conclusion: Analysis of the effects of P53 on C/EBP beta expression revealed a novel mechanism by which P53 could antagonize the effects of C/EBP beta on its target gene expression. For the first time, P53 is shown to be a repressor of C/EBP beta gene expression at both transcriptional and translational levels, with a differential effect in the magnitude of the effect on LAP vs. LIP isoforms.</t>
  </si>
  <si>
    <t>[Hu, Biao] Univ Michigan, Dept Internal Med, Med Sch, 1600 Huron Pkwy, Ann Arbor, MI 48109 USA; [Liu, Tianju; Wu, Zhe; Phan, Sem H.] Univ Michigan, Sch Med, Dept Pathol, 109 Zina Pitcher Pl, Ann Arbor, MI 48109 USA</t>
  </si>
  <si>
    <t>University of Michigan System; University of Michigan; University of Michigan System; University of Michigan</t>
  </si>
  <si>
    <t>Phan, SH (corresponding author), Univ Michigan, Sch Med, Dept Pathol, 109 Zina Pitcher Pl, Ann Arbor, MI 48109 USA.</t>
  </si>
  <si>
    <t>shphan@med.umich.edu</t>
  </si>
  <si>
    <t>Hu, Biao/0000-0002-4691-6490</t>
  </si>
  <si>
    <t>National Institute of Health [HL112880, HL052285]</t>
  </si>
  <si>
    <t>National Institute of Health(United States Department of Health &amp; Human ServicesNational Institutes of Health (NIH) - USA)</t>
  </si>
  <si>
    <t>This work was supported by grants HL052285 and HL112880 from the National Institute of Health.</t>
  </si>
  <si>
    <t>10.1016/j.gene.2023.147675</t>
  </si>
  <si>
    <t>R2EO5</t>
  </si>
  <si>
    <t>WOS:001062527900001</t>
  </si>
  <si>
    <t>Huang, XH; Wang, P; Xue, WL; Cheng, J; Yang, FM; Yu, DY; Shi, YG</t>
  </si>
  <si>
    <t>Huang, Xianhui; Wang, Peng; Xue, Wenlin; Cheng, Jie; Yang, Fuming; Yu, Dianyu; Shi, Yongge</t>
  </si>
  <si>
    <t>Preparation of meaty flavor additive from soybean meal through the Maillard reaction</t>
  </si>
  <si>
    <t>FOOD CHEMISTRY-X</t>
  </si>
  <si>
    <t>Magnetic immobilized enzyme; Soybean meal; Enzymatic hydrolysate; Maillard reaction</t>
  </si>
  <si>
    <t>REACTION-PRODUCTS; PROTEIN ISOLATE; ANTIOXIDATIVE ACTIVITY; FUNCTIONAL-PROPERTIES; MODEL SYSTEM; GLUCOSE; XYLOSE; IDENTIFICATION; CONJUGATION; IMPROVEMENT</t>
  </si>
  <si>
    <t>Meaty flavor additive was prepared from soybean meal hydrolysate and xylose in the method of Maillard re -action. Under the conditions of reaction temperature 120 celcius, time 120 min and cysteine addition 10%, the Maillard products had strong flavor of meat. The content of free amino acids was 4.941 &amp; mu; mol/mL in the products. There were 50 volatile flavor substances in Maillard reaction products according to GC-MS analysis. 4 mercaptans, 4 sulfur substituted furans, 3 thiophenes, 7 furans, 6 pyrazine, 3 pyrrole, 1 pyrimidine, 7 aldehydes, 4 ketones, 7 esters, 2 alcohols and 2 acids were included. The Maillard reaction products also have strong antioxidant activity. The scavenging ability of FRAP, DPPH radical, hydroxyl radical and ABTS+ radical was 1.82%, 69.8%, 68.7% and 71.6% respectively. The products of Mailard reaction have potential to be used in food additives.</t>
  </si>
  <si>
    <t>[Huang, Xianhui; Wang, Peng; Xue, Wenlin; Cheng, Jie; Yang, Fuming; Yu, Dianyu] Northeast Agr Univ, Coll Food Sci, Harbin 150030, Peoples R China; [Shi, Yongge] Jiusan Grains &amp; Oils Ind Grp Co Ltd, Harbin 150090, Peoples R China</t>
  </si>
  <si>
    <t>Northeast Agricultural University - China</t>
  </si>
  <si>
    <t>Yang, FM; Yu, DY (corresponding author), Northeast Agr Univ, Coll Food Sci, Harbin 150030, Peoples R China.</t>
  </si>
  <si>
    <t>yfmhj@163.com; dyyu2000@126.com</t>
  </si>
  <si>
    <t>Million Project of Heilongjiang Province [20XG015]; Academic backbone Project of Northeast Agricultural University; [2020ZX08B01]</t>
  </si>
  <si>
    <t>Million Project of Heilongjiang Province; Academic backbone Project of Northeast Agricultural University;</t>
  </si>
  <si>
    <t>Acknowledgements This work was also financially supported by the Million Project of Heilongjiang Province (2020ZX08B01) and Academic backbone Project of Northeast Agricultural University (20XG015) . The authors would like to thank the anonymous reviewers and the editor for their comments on this paper.</t>
  </si>
  <si>
    <t>2590-1575</t>
  </si>
  <si>
    <t>FOOD CHEM X</t>
  </si>
  <si>
    <t>Food Chem. X</t>
  </si>
  <si>
    <t>10.1016/j.fochx.2023.100780</t>
  </si>
  <si>
    <t>Q1SC8</t>
  </si>
  <si>
    <t>WOS:001055377800001</t>
  </si>
  <si>
    <t>Lu, HC; Tian, MB; Han, X; Shi, N; Li, HQ; Cheng, CF; Chen, W; Li, SD; He, F; Duan, CQ; Wang, J</t>
  </si>
  <si>
    <t>Lu, Hao-Cheng; Tian, Meng-Bo; Han, Xiao; Shi, Ning; Li, Hui-Qing; Cheng, Chi-Fang; Chen, Wu; Li, Shu-De; He, Fei; Duan, Chang-Qing; Wang, Jun</t>
  </si>
  <si>
    <t>The key role of vineyard parcel in shaping flavonoid profiles and color characteristics of Cabernet Sauvignon wines combined with the influence of harvest ripeness, vintage and bottle aging</t>
  </si>
  <si>
    <t>Single-vineyard wine; Terroir; Soil; Ripeness; Flavonoid compounds; Color; Anthocyanin derivatives; Aging</t>
  </si>
  <si>
    <t>VITIS-VINIFERA L.; ANTHOCYANIN-DERIVED PIGMENTS; RED WINES; CLIMATIC CONDITIONS; GRAPE; BERRY; SOIL; IDENTIFICATION; VARIABILITY; QUALITY</t>
  </si>
  <si>
    <t>Recently, revealing the terroir influence on wine chemical features has drawn increasing interest. This study aimed to explain how wine flavonoid signatures were altered by vineyard parcel, harvest ripeness, vintage and bottle aging. Six commercial Cabernet Sauvignon vineyards were selected in the Manas region to produce wines at three harvest ripeness in three seasons (2019-2021) and aged for three years. The six vineyards had little difference in mesoclimate conditions while varying greatly in soil composition. Results showed high vineyard pH (&gt; 8.5) could accelerate grape ripening rate and increase wine flavonol concentration. Vineyards with moderate nutrition produced wines with abundant anthocyanin derivatives and maintained color characteristics during aging. The role of detailed anthocyanin derivatives in regulating wine color was clarified. As the harvest ripeness elevated, wine's flavonoid profiles were altered and gained a higher red color intensity. This work provides chemical mechanisms underlying single-vineyard wines and a theoretical basis for targeted wine production.</t>
  </si>
  <si>
    <t>[Lu, Hao-Cheng; Tian, Meng-Bo; Han, Xiao; Shi, Ning; Li, Hui-Qing; He, Fei; Duan, Chang-Qing; Wang, Jun] China Agr Univ, Coll Food Sci &amp; Nutr Engn, Ctr Viticulture &amp; Enol, Beijing 100083, Peoples R China; [Lu, Hao-Cheng; Tian, Meng-Bo; Han, Xiao; Shi, Ning; Li, Hui-Qing; He, Fei; Duan, Chang-Qing; Wang, Jun] Minist Agr &amp; Rural Affairs, Key Lab Viticulture &amp; Enol, Beijing 100083, Peoples R China; [Cheng, Chi-Fang; Chen, Wu; Li, Shu-De] CITIC Guoan Wine Co Ltd, Manasi 832200, Xinjiang, Peoples R China; [Wang, Jun] China Agr Univ, Coll Food Sci &amp; Nutr Engn, Beijing, Peoples R China</t>
  </si>
  <si>
    <t>China Agricultural University; Ministry of Agriculture &amp; Rural Affairs; China Agricultural University</t>
  </si>
  <si>
    <t>Wang, J (corresponding author), China Agr Univ, Coll Food Sci &amp; Nutr Engn, Beijing, Peoples R China.</t>
  </si>
  <si>
    <t>jun_wang@cau.edu.cn</t>
  </si>
  <si>
    <t>Lu, Hao-Cheng/IRZ-0617-2023</t>
  </si>
  <si>
    <t>Lu, Hao-Cheng/0000-0002-6912-3434</t>
  </si>
  <si>
    <t>China Agriculture Research System of MOF and MARA [CARS-29]; Major Science and Technology Special Projects of Xinjiang Uygur Autonomous Region during the 14th Five-year Plan [2022A02002-1]</t>
  </si>
  <si>
    <t>China Agriculture Research System of MOF and MARA(Ministry of Oceans &amp; Fisheries (MOF), Republic of Korea); Major Science and Technology Special Projects of Xinjiang Uygur Autonomous Region during the 14th Five-year Plan</t>
  </si>
  <si>
    <t>This research was supported by China Agriculture Research System of MOF and MARA (CARS-29) and Major Science and Technology Special Projects of Xinjiang Uygur Autonomous Region during the 14th Five-year Plan (2022A02002-1).</t>
  </si>
  <si>
    <t>10.1016/j.fochx.2023.100772</t>
  </si>
  <si>
    <t>R2BR9</t>
  </si>
  <si>
    <t>WOS:001062449600001</t>
  </si>
  <si>
    <t>Lucic, M; Spika, MJ; Mikac, N; Poscic, F; Rengel, Z; Romic, M; Begic, HB; Fiket, Z; Turk, MF; Bacic, N; Leder, R; Petric, IV; Urlic, B; Zanetic, M; Runjic, M; Selak, GV; Vitanovic, E; Klepo, T; Rosin, J; Perica, S</t>
  </si>
  <si>
    <t>Lucic, Mavro; Spika, Maja Jukic; Mikac, Nevenka; Poscic, Filip; Rengel, Zed; Romic, Marija; Begic, Helena Bakic; Fiket, Zeljka; Turk, Martina Furdek; Bacic, Niko; Leder, Renata; Petric, Ivana Vladimira; Urlic, Branimir; Zanetic, Mirella; Runjic, Marko; Selak, Gabriela Vuletin; Vitanovic, Elda; Klepo, Tatjana; Rosin, Jaksa; Perica, Slavko</t>
  </si>
  <si>
    <t>Traceability of Croatian extra virgin olive oils to the provenance soils by multielement and carbon isotope composition and chemometrics</t>
  </si>
  <si>
    <t>Traceability; Soil; Olive oil; Multielement composition; Carbon isotope ratio; Chemometrics</t>
  </si>
  <si>
    <t>RARE-EARTH-ELEMENTS; GEOGRAPHICAL ORIGIN; TRACE-ELEMENTS; FOOD</t>
  </si>
  <si>
    <t>A capacity to determine the provenance of high-value food products is of high scientific and economic interest. With the aim to develop a tool for geographical traceability of Croatian extra virgin olive oils (EVOO), multielement composition and 13C/12C isotope ratio in EVOO as well as the geochemistry of the associated soils were analysed in samples collected from three regions along the Croatian Adriatic coast. Soil geochemistry was shown to influence the transfer and elemental composition of EVOO. The most discriminating variables to distinguish EVOO from different regions were S, Mo, Rb, Mg, Pb, Mn, Sn, K, V and delta 13C. The predictive models achieved high sensitivity and specificity, especially when carbon isotope composition was added. The results suggest that interregional geographical traceability of Croatian EVOO is possible based on matching their multielement composition with that of the soils in the provenance area.</t>
  </si>
  <si>
    <t>[Lucic, Mavro; Mikac, Nevenka; Fiket, Zeljka; Turk, Martina Furdek; Bacic, Niko] Rudjer Boskovic Inst, Bijenicka Cesta 54, Zagreb 10000, Croatia; [Spika, Maja Jukic; Poscic, Filip; Rengel, Zed; Urlic, Branimir; Zanetic, Mirella; Runjic, Marko; Selak, Gabriela Vuletin; Vitanovic, Elda; Klepo, Tatjana; Rosin, Jaksa; Perica, Slavko] Inst Adriat Crops &amp; Karst Reclamat, Put Duilova 11, Split 21000, Croatia; [Spika, Maja Jukic; Zanetic, Mirella; Perica, Slavko] Ctr Excellence Biodivers &amp; Mol Plant Breeding, Svetosimunska 25, Zagreb 10000, Croatia; [Poscic, Filip] Univ Arizona, Dept Environm Sci, Postdoctoral Affairs Bldg 1600 E First St, Tucson, AZ 85719 USA; [Rengel, Zed] Univ Western Australia, UWA Sch Agr &amp; Environm, 35 Stirling Highway, Perth, WA 6009, Australia; [Romic, Marija; Begic, Helena Bakic] Univ Zagreb, Dept Soil Ameliorat, Fac Agr, Svetosimunska Cesta 25, Zagreb 10000, Croatia; [Leder, Renata; Petric, Ivana Vladimira] Croatian Agcy Agr &amp; Food, Ctr Viticulture Enol &amp; Edible Oils Anal, Gorice 68b, Zagreb 10000, Croatia; [Klepo, Tatjana] Croatian Agcy Agr &amp; Food, Ctr Pomol, Kralja Zvonimira 14a, Solin 21210, Croatia</t>
  </si>
  <si>
    <t>Rudjer Boskovic Institute; University of Zagreb; University of Arizona; University of Western Australia; University of Zagreb</t>
  </si>
  <si>
    <t>Lucic, M (corresponding author), Rudjer Boskovic Inst, Bijenicka Cesta 54, Zagreb 10000, Croatia.</t>
  </si>
  <si>
    <t>mlucic@irb.hr</t>
  </si>
  <si>
    <t>Pošćić, Filip/O-1023-2016; Špika, Maja Jukić/O-2448-2018; Lučić, Mavro/AFK-3809-2022</t>
  </si>
  <si>
    <t>Pošćić, Filip/0000-0002-6642-1532; Špika, Maja Jukić/0000-0002-8834-518X; Lučić, Mavro/0000-0002-1781-1390; Fiket, Zeljka/0000-0002-7628-9045</t>
  </si>
  <si>
    <t>10.1016/j.foodchem.2023.136401</t>
  </si>
  <si>
    <t>P8FP1</t>
  </si>
  <si>
    <t>WOS:001052977100001</t>
  </si>
  <si>
    <t>Sun, YG; Wu, YZ; Liu, B; Chen, R; Qiao, YJ; Zhang, Q; Li, Q; Wang, XW; Wang, ZY</t>
  </si>
  <si>
    <t>Sun, Yinggang; Wu, Yanzhi; Liu, Ben; Chen, Rui; Qiao, Yanjun; Zhang, Qiu; Li, Qian; Wang, Xiaowei; Wang, Zeying</t>
  </si>
  <si>
    <t>Analysis for different flavor compounds in mature milk from human and livestock animals by GC x GC-TOFMS</t>
  </si>
  <si>
    <t>Flavoromic; Thermal oxidation; Volatile compounds; Fatty acid ethyl ester; Relative odor activity value (ROAV)</t>
  </si>
  <si>
    <t>CHAIN FATTY-ACIDS; BREAST-MILK; GOAT MILK; TASTE; COW; CAPACITY; IMPROVE; PROFILE</t>
  </si>
  <si>
    <t>Breast milk plays a crucial role in the taste development of infants, which cannot be replicated by other mammalian milk or formulas. This study aimed to identify and characterize the flavor substances in 15 different types of milk and analyze the differences among them. The results showed that human milk contained high levels of esters, particularly fatty acid ethyl esters, which contribute to its unique flavor. The four substances that had the highest flavor contribution in all species were identified as 2,3-butanedione, trimethylamine, isophorone, and acetaldehyde. Furthermore, the analysis of differences revealed that thermal-oxidation of lipids could explain the variation between human milk and other species in terms of flavor compounds. The key differential flavor compounds identified in milk from all species were trimethylamine, propanal, 1-pentanol, pyridine 2-methyl, and 2-butanone. These findings can potentially aid in developing formulas that better meet the taste needs of infants.</t>
  </si>
  <si>
    <t>[Sun, Yinggang; Wu, Yanzhi; Chen, Rui; Qiao, Yanjun; Zhang, Qiu; Li, Qian; Wang, Xiaowei; Wang, Zeying] Shenyang Agr Univ, Coll Anim Sci &amp; Vet Med, Shenyang 110866, Peoples R China; [Liu, Ben] Huishan Dairy Grp, 111A Huanghe South St, Shenyang 110031, Peoples R China</t>
  </si>
  <si>
    <t>Shenyang Agricultural University</t>
  </si>
  <si>
    <t>Wang, ZY (corresponding author), Shenyang Agr Univ, Coll Anim Sci &amp; Vet Med, Shenyang 110866, Peoples R China.</t>
  </si>
  <si>
    <t>wangzeying2012@syau.edu.cn</t>
  </si>
  <si>
    <t>National Natural Science Foundation of China [32272836]; Post-doctoral Science Foundation of China [2021 M693859]; Liaoning Province the open competition mechanism to select the best candidates Science and Technology Research Project [2021JH1/10400033]</t>
  </si>
  <si>
    <t>National Natural Science Foundation of China(National Natural Science Foundation of China (NSFC)); Post-doctoral Science Foundation of China(China Postdoctoral Science Foundation); Liaoning Province the open competition mechanism to select the best candidates Science and Technology Research Project</t>
  </si>
  <si>
    <t>Our research is supported by the following 3 projects: 1. The National Natural Science Foundation of China (No. 32272836) ; 2. Post-doctoral Science Foundation of China: Genetic trajectory and expression localization of key genes of cashmere fineness by multiomics (2021 M693859) ; 3. Liaoning Province the open competition mechanism to select the best candidates Science and Technology Research Project: Selection and breeding of special advantageous livestock and poultry breeds in Liaoning and key technology of whole industry chain production (2021JH1/10400033) .</t>
  </si>
  <si>
    <t>10.1016/j.fochx.2023.100760</t>
  </si>
  <si>
    <t>Q2TZ6</t>
  </si>
  <si>
    <t>WOS:001056104300001</t>
  </si>
  <si>
    <t>Zhao, ZH; Hao, YF; Liu, YJ; Shi, YS; Lin, X; Wang, L; Wen, P; Hu, XP; Li, JX</t>
  </si>
  <si>
    <t>Zhao, Zhiheng; Hao, Yaofei; Liu, Yijun; Shi, Yousheng; Lin, Xue; Wang, Lu; Wen, Pan; Hu, Xiaoping; Li, Jianxun</t>
  </si>
  <si>
    <t>Comprehensive evaluation of aroma and taste properties of different parts from the wampee fruit</t>
  </si>
  <si>
    <t>Wampee; Relative odor activity value; Taste activity value; Principal components analysis; Partial least squares discriminant analysis</t>
  </si>
  <si>
    <t>CARBAZOLE ALKALOIDS; GAS-CHROMATOGRAPHY; CLAUSENA; SEEDS; ANTIOXIDANT; LEAVES</t>
  </si>
  <si>
    <t>Wampee is a tropical fruit having high medicinal value. To fully realize the fruit's potential, it is essential to reveal the flavor characteristics. In this study, a comprehensive analysis of the aroma and taste profiles of different parts from the wampee fruit was conducted. The aroma profile was analyzed by E-nose, and 67 volatile components were identified through HS-SPME-GC-MS. Among them, 11 were considered as crucial compounds. Additionally, 42 volatile components were identified by HS-GC-IMS, with 22 compounds showing a variable importance in projection scores greater than 1.0. Moreover, the taste profile and representative compounds were analyzed by E-tongue and HPLC, and 12 compounds were considered as important taste contributors based on taste activity value. These findings shed light on the various compounds responsible for the unique aroma and taste of the wampee fruit, providing theoretical foundation for exploring ways for its comprehensive utilization and development.</t>
  </si>
  <si>
    <t>[Zhao, Zhiheng; Hao, Yaofei; Liu, Yijun; Shi, Yousheng; Lin, Xue; Wang, Lu; Hu, Xiaoping] Hainan Univ, Sch Food Sci &amp; Engn, Haikou 570228, Peoples R China; [Zhao, Zhiheng; Hao, Yaofei; Liu, Yijun; Shi, Yousheng; Lin, Xue; Wang, Lu; Hu, Xiaoping] Hainan Univ, Key Lab Food Nutr &amp; Funct Food Hainan Prov, Haikou 570228, Peoples R China; [Wen, Pan] Hainan Trop Ocean Univ, Sch Food Sci &amp; Engn, Sanya 572022, Peoples R China; [Li, Jianxun] Chinese Acad Agr Sci CAAS, Inst Food Sci &amp; Technol, Beijing 100193, Peoples R China</t>
  </si>
  <si>
    <t>Hainan University; Hainan University; Hainan Tropical Ocean University; Chinese Academy of Agricultural Sciences; Institute of Food Science &amp; Technology, CAAS</t>
  </si>
  <si>
    <t>Hu, XP (corresponding author), Hainan Univ, Sch Food Sci &amp; Engn, Haikou 570228, Peoples R China.;Hu, XP (corresponding author), Hainan Univ, Key Lab Food Nutr &amp; Funct Food Hainan Prov, Haikou 570228, Peoples R China.;Li, JX (corresponding author), Chinese Acad Agr Sci CAAS, Inst Food Sci &amp; Technol, Beijing 100193, Peoples R China.</t>
  </si>
  <si>
    <t>21210832000034@hainanu.edu.cn; 21220860000045@hainanu.edu.cn; liuyijunmm@163.com; shiys0418@163.com; xuelin@hainanu.edu.cn; lwang@hainanu.edu.cn; peizhis@hntou.edu.cn; huxiaoping03@hainanu.edu.cn; lijianxun@caas.cn</t>
  </si>
  <si>
    <t>Hainan Provincial Natural Science Foundation of China [321RC1030]; National Natural Science Foundation of China [321RC1075]; [32060513]</t>
  </si>
  <si>
    <t>Hainan Provincial Natural Science Foundation of China; National Natural Science Foundation of China(National Natural Science Foundation of China (NSFC));</t>
  </si>
  <si>
    <t>This work was supported by Hainan Provincial Natural Science Foundation of China (321RC1030 and 321RC1075) and National Natural Science Foundation of China (32060513).</t>
  </si>
  <si>
    <t>10.1016/j.fochx.2023.100835</t>
  </si>
  <si>
    <t>S2OU1</t>
  </si>
  <si>
    <t>WOS:001069623100001</t>
  </si>
  <si>
    <t>Chen, XH; Yang, R; Xue, YH; Yang, C; Song, BY; Zhong, MY</t>
  </si>
  <si>
    <t>Chen, Xiaohan; Yang, Rui; Xue, Yihao; Yang, Chao; Song, Baoye; Zhong, Maiying</t>
  </si>
  <si>
    <t>A novel momentum prototypical neural network to cross-domain fault diagnosis for rotating machinery subject to cold-start</t>
  </si>
  <si>
    <t>NEUROCOMPUTING</t>
  </si>
  <si>
    <t>Fault diagnosis; Few-shot; Cross-domain; Cold-start; Transfer learning</t>
  </si>
  <si>
    <t>SYSTEMS; MODEL</t>
  </si>
  <si>
    <t>Cross-domain rotating machinery fault diagnosis has achieved great success recently with the development of deep transfer learning. However, conventional deep transfer learning methods encounter a severe decline in prediction accuracy when fault samples are limited. Moreover, conventional deep transfer learning methods require additional parameter tuning rather than cold-start when applied to the target tasks, hampering their implementation in practical fault diagnosis applications. In this paper, a novel method, named momentum prototypical neural network (MoProNet), is proposed for cross-domain few-shot rotating machinery fault diagnosis. The MoProNet progressively updates the support encoder to address the prototype oscillation problem and enable the model to apply limited source domain samples to predict target domain faults with cold-start. The performance of the proposed MoProNet is tested on a bearing dataset and a hardware-in-the-loop high-speed train simulation platform, respectively, with over forty cross-domain few-shot fault diagnosis tasks. The experimental results demonstrate that the proposed MoProNet achieves satisfactory results and outperforms the other comparable methods in the same cross-domain few-shot scenarios with the simple AlexNet backbone.</t>
  </si>
  <si>
    <t>[Chen, Xiaohan; Yang, Rui; Xue, Yihao] Xian Jiaotong Liverpool Univ, Sch Adv Technol, Suzhou 215123, Peoples R China; [Chen, Xiaohan; Xue, Yihao] Univ Liverpool, Dept Elect Engn &amp; Elect, Liverpool L69 3BX, England; [Yang, Chao] Cent South Univ, Sch Automat, Changsha 410083, Peoples R China; [Song, Baoye; Zhong, Maiying] Shandong Univ Sci &amp; Technol, Coll Elect Engn &amp; Automat, Qingdao 266590, Peoples R China</t>
  </si>
  <si>
    <t>Xi'an Jiaotong-Liverpool University; University of Liverpool; Central South University; Shandong University of Science &amp; Technology</t>
  </si>
  <si>
    <t>Yang, R (corresponding author), Xian Jiaotong Liverpool Univ, Sch Adv Technol, Suzhou 215123, Peoples R China.</t>
  </si>
  <si>
    <t>R.Yang@xjtlu.edu.cn</t>
  </si>
  <si>
    <t>YANG, RUI/0000-0002-5634-5476</t>
  </si>
  <si>
    <t>National Natural Science Foundation of China [62233012]; Jiangsu Provincial Qinglan Project; Suzhou Science and Technology Programme [SYG202106]</t>
  </si>
  <si>
    <t>National Natural Science Foundation of China(National Natural Science Foundation of China (NSFC)); Jiangsu Provincial Qinglan Project; Suzhou Science and Technology Programme</t>
  </si>
  <si>
    <t>This research is partially supported by: National Natural Science Foundation of China (62233012), Jiangsu Provincial Qinglan Project, Suzhou Science and Technology Programme (SYG202106).&amp; nbsp;</t>
  </si>
  <si>
    <t>0925-2312</t>
  </si>
  <si>
    <t>1872-8286</t>
  </si>
  <si>
    <t>Neurocomputing</t>
  </si>
  <si>
    <t>OCT 28</t>
  </si>
  <si>
    <t>10.1016/j.neucom.2023.126656</t>
  </si>
  <si>
    <t>R7AG2</t>
  </si>
  <si>
    <t>WOS:001065837300001</t>
  </si>
  <si>
    <t>Su, JX; Anderson, S; Javed, M; Khompatraporn, C; Udomsakdigool, A; Mihaylova, L</t>
  </si>
  <si>
    <t>Su, Jingxuan; Anderson, Sean; Javed, Mahed; Khompatraporn, Charoenchai; Udomsakdigool, Apinanthana; Mihaylova, Lyudmila</t>
  </si>
  <si>
    <t>Plant leaf deep semantic segmentation and a novel benchmark dataset for morning glory plant harvesting</t>
  </si>
  <si>
    <t>Semantic image segmentation; Yield prediction; Precision agriculture; Deep learning methods; Encoder-decoder networks; Dense block</t>
  </si>
  <si>
    <t>K-MEANS; IMAGE; FRAMEWORK; PRECISION</t>
  </si>
  <si>
    <t>Computer vision and deep learning have made substantial progress in the areas of agriculture and smart farming, particularly for enhancing crop production using image segmentation techniques for crop yield prediction. Further improvements to crop yield prediction results can be achieved by developing accurate and efficient methods. In response to such demands, this paper proposes a novel convolutional neural network architecture, called densely connected SegNet (D-SegNet) and demonstrates its advantages on plant segmentation using a new morning glory plant dataset, and also on a complimentary publicly available dataset to promote research in this direction. The D-SegNet is evaluated using 10-fold cross validation. It achieves performance better than the state-of-the-art SegNet algorithm. The evaluated precision, recall and F1-score values are 98.20%, 90.64% and 94.26%, respectively, for the morning glory plant dataset. The intersection over union (IoU) value in the image segmentation tasks is 90.56%. A series of experiments on the morning glory plant dataset as well as on the publicly available dataset were conducted. The results show that the proposed method achieves accurate segmentation results and can be useful for assessing the plant weight during harvesting. In summary, this new plant segmentation network, D-SegNet, could form an important component of future cloud-based machine learning systems to predict crop yield from noisy smartphone images taken in the field.</t>
  </si>
  <si>
    <t>[Su, Jingxuan; Anderson, Sean; Javed, Mahed; Mihaylova, Lyudmila] Univ Sheffield, Dept Automat Control &amp; Syst Engn, Sheffield S10 3JD, England; [Khompatraporn, Charoenchai; Udomsakdigool, Apinanthana] King Mongkuts Univ Technol Thonburi KMUTT, Dept Prod Engn, Bangkok, Thailand</t>
  </si>
  <si>
    <t>University of Sheffield; King Mongkuts University of Technology Thonburi</t>
  </si>
  <si>
    <t>Su, JX (corresponding author), Univ Sheffield, Dept Automat Control &amp; Syst Engn, Sheffield S10 3JD, England.</t>
  </si>
  <si>
    <t>jsu14@sheffield.ac.uk; s.anderson@sheffield.ac.uk; mahed95@yahoo.com; charoenchai.kho@kmutt.ac.th; apinanthana.udo@kmutt.ac.th; l.s.mihaylova@sheffield.ac.uk</t>
  </si>
  <si>
    <t>Su, Jingxuan/0000-0001-7441-794X</t>
  </si>
  <si>
    <t>Industry Academia Partnership Programme (IAPP) [IAPP18-19299]; Thailand Integrated Research Program [IAPP18-19299, 47330]</t>
  </si>
  <si>
    <t>Industry Academia Partnership Programme (IAPP); Thailand Integrated Research Program</t>
  </si>
  <si>
    <t>the Industry Academia Partnership Programme (IAPP) and the Thailand Integrated Research Program [grant number IAPP18-19299] and the Thailand Integrated Research Program [grant number 47330] . For the purpose of open access, the author has applied a Creative Commons Attribution (CC BY) licence to any Author Accepted Manuscript version arising.</t>
  </si>
  <si>
    <t>10.1016/j.neucom.2023.126609</t>
  </si>
  <si>
    <t>Q8FX7</t>
  </si>
  <si>
    <t>WOS:001059836900001</t>
  </si>
  <si>
    <t>Coniglio, D; Ventura, G; Calvano, CD; Losito, I; Cataldi, TRI</t>
  </si>
  <si>
    <t>Coniglio, Davide; Ventura, Giovanni; Calvano, Cosima D.; Losito, Ilario; Cataldi, Tommaso R. I.</t>
  </si>
  <si>
    <t>Strategies for the analysis of arsenolipids in marine foods: A review</t>
  </si>
  <si>
    <t>JOURNAL OF PHARMACEUTICAL AND BIOMEDICAL ANALYSIS</t>
  </si>
  <si>
    <t>Lipidomics; Arsenolipids; Marine foods; LC-MS; ICP-MS</t>
  </si>
  <si>
    <t>ARSENIC-CONTAINING HYDROCARBONS; CHAIN FATTY-ACIDS; SOUTH-EAST COAST; BROWN ALGA; COD-LIVER; ARSENOSUGAR PHOSPHOLIPIDS; BIOLOGICAL SAMPLES; FISH-OIL; RP-HPLC; ICP-MS</t>
  </si>
  <si>
    <t>Arsenic-containing lipids, also named arsenolipids (AsLs), are a group of organic compounds usually found in a variety of marine organisms such as fish, algae, shellfish, marine oils, and microorganisms. Numerous AsLs have been recognised so far, from simple compounds such as arsenic fatty acids (AsFAs), arsenic hydrocarbons (AsHCs), and trimethylarsenio fatty alcohols (TMAsFOHs) to more complex arsenic-containing species, of which arsenophospholipids (AsPLs) are a case in point. Mass spectrometry, both as inductively coupled plasma (ICPMS) and liquid chromatography coupled by an electrospray source (LC-ESI-MS), was applied to organic arsenicals playing a key role in extending and refining the characterisation of arsenic-containing lipids in marine organisms. Herein, upon the introduction of a systematic notation for AsLs and a brief examination of their toxicity and biological role, the most relevant literature concerning the characterisation of AsLs in marine organisms, including edible ones, is reviewed. The use of both ICP-MS and ESI-MS coupled with reversed-phase liquid chromatography (RPLC) has brought significant advancements in the field. In the case of ESI-MS, the employment of negative polarity and tandem MS analyses has further enhanced these advancements. One notable development is the identification of the m/z 389.0 ion ([AsC10H19O9P]- ) as a diagnostic product ion of AsPLs, which is obtained from the fragmentation of the deprotonated forms of AsPLs ([M - H]- ). The pinpointing product ions offer the possibility of determining the identity and regiochemistry of AsPL side chains. Advanced MS-based analytical methods may contribute remarkably to the understanding of the chemical diversity characterising the metalloid As in natural organic compounds of marine organisms.</t>
  </si>
  <si>
    <t>[Coniglio, Davide; Ventura, Giovanni; Calvano, Cosima D.; Losito, Ilario; Cataldi, Tommaso R. I.] Univ Bari Aldo Moro, Dept Chem, Via Orabona 4, I-70126 Bari, Italy; [Ventura, Giovanni; Calvano, Cosima D.; Losito, Ilario; Cataldi, Tommaso R. I.] Univ Bari Aldo Moro, Interdept Res Ctr SMART, Via Orabona 4, I-70126 Bari, Italy</t>
  </si>
  <si>
    <t>Universita degli Studi di Bari Aldo Moro; Universita degli Studi di Bari Aldo Moro</t>
  </si>
  <si>
    <t>Calvano, CD; Cataldi, TRI (corresponding author), Univ Bari Aldo Moro, Dept Chem, Via Orabona 4, I-70126 Bari, Italy.</t>
  </si>
  <si>
    <t>cosimadamiana.calvano@uniba.it; tommaso.cataldi@uniba.it</t>
  </si>
  <si>
    <t>Italian Ministero per l 'Istruzione, l 'Universita e la Ricerca (MIUR); [PONa3_00395/1]</t>
  </si>
  <si>
    <t>Italian Ministero per l 'Istruzione, l 'Universita e la Ricerca (MIUR)(Ministry of Education, Universities and Research (MIUR));</t>
  </si>
  <si>
    <t>This work was supported by PONa3_00395/1 BIOSCIENZE &amp; amp; SALUTE (B &amp; amp; H) financed by the Italian Ministero per l 'Istruzione, l 'Universita e la Ricerca (MIUR) .</t>
  </si>
  <si>
    <t>0731-7085</t>
  </si>
  <si>
    <t>1873-264X</t>
  </si>
  <si>
    <t>J PHARMACEUT BIOMED</t>
  </si>
  <si>
    <t>J. Pharm. Biomed. Anal.</t>
  </si>
  <si>
    <t>OCT 25</t>
  </si>
  <si>
    <t>10.1016/j.jpba.2023.115628</t>
  </si>
  <si>
    <t>Chemistry, Analytical; Pharmacology &amp; Pharmacy</t>
  </si>
  <si>
    <t>Chemistry; Pharmacology &amp; Pharmacy</t>
  </si>
  <si>
    <t>Q7EC0</t>
  </si>
  <si>
    <t>WOS:001059107000001</t>
  </si>
  <si>
    <t>Nagy, K; Darko, E; Szalai, G; Janda, T; Jokai, Z; Ladanyi, M; Rady, MR; Dernovics, M</t>
  </si>
  <si>
    <t>Nagy, Katalin; Darko, Eva; Szalai, Gabriella; Janda, Tibor; Jokai, Zsuzsa; Ladanyi, Marta; Rady, Mohamed Ramadan; Dernovics, Mihaly</t>
  </si>
  <si>
    <t>UPLC-ESI-QTOF-MS assisted targeted metabolomics to study the enrichment of vinca alkaloids and related metabolites in Catharanthus roseus plants grown under controlled LED environment</t>
  </si>
  <si>
    <t>Vinblastine; Vincristine; Targeted metabolomics; MANOVA; Games-Howell 's post hoc test; VIP; UPLC; Periwinkle</t>
  </si>
  <si>
    <t>RED-LIGHT; INDOLE ALKALOIDS; ULTRAVIOLET; EXTRACTS</t>
  </si>
  <si>
    <t>Enrichment of pharmaceutically important vinca alkaloids, vinblastine and vincristine, in the leaves of Madagascar periwinkle (Catharanthus roseus) plants through different pre- or postharvest treatments or cultivation conditions, e.g., exposing the plants to UV-irradiation, has been in focus for decades. Controlled LED environment in the visible light range offers the possibility of monitoring the changes in the concentration of metabolites in the vinca alkaloid-related pathway without involving UV-related abiotic stress. In the frame of our targeted metabolomics approach, 64 vinca alkaloids and metabolites were screened with the help of a UPLC-ESIQTOF-MS instrumental setup from the leaf extracts of C. roseus plants grown in chambers under control (medium light), low light, and high blue / high red/ high far-red conditions. Out of the 14 metabolites that could be assigned either unambiguously with authentic standards or tentatively with high resolution mass spectrometrybased methods, all three dimer vinca alkaloids, that is, 3',4'-anhydrovinblastine, vinblastine and vincristine showed an at least nine-fold enrichment under high blue irradiation when compared with the control conditions: final concentrations of 961 mg kg-1 dry weight, 33.8 mg kg-1 dry weight, and 11.7 mg kg-1 dry weight could be achieved, respectively. As supported by multivariate statistical analysis, the key metabolites of the vinca alkaloid pathway were highly represented among the metabolites that were specifically stimulated by high blue light application.</t>
  </si>
  <si>
    <t>[Nagy, Katalin; Darko, Eva; Szalai, Gabriella; Janda, Tibor; Dernovics, Mihaly] ELKH, Agr Inst, Ctr Agr Res, Dept Plant Physiol &amp; Metabol, Brunszvik u 2, H-2462 Martonvasar, Hungary; [Nagy, Katalin; Jokai, Zsuzsa] Hungarian Univ Agr &amp; Life Sci, Inst Food Sci &amp; Technol, Dept Food Chem &amp; Analyt Chem, Villany ut 29-43, H-1118 Budapest, Hungary; [Ladanyi, Marta] Hungarian Univ Agr &amp; Life Sci, Inst Math &amp; Basic Sci, Dept Appl Stat, Villany ut 29-43, H-1118 Budapest, Hungary; [Rady, Mohamed Ramadan] Natl Res Ctr, Dept Plant Biotechnol, 33 El Behouth st, Dokki 12622, Egypt</t>
  </si>
  <si>
    <t>Eotvos Lorand Research Network; Hungarian Academy of Sciences; Hungarian Centre for Agricultural Research; Hungarian University of Agriculture &amp; Life Sciences; Hungarian University of Agriculture &amp; Life Sciences; Egyptian Knowledge Bank (EKB); National Research Centre (NRC)</t>
  </si>
  <si>
    <t>Dernovics, M (corresponding author), ELKH, Agr Inst, Ctr Agr Res, Dept Plant Physiol &amp; Metabol, Brunszvik u 2, H-2462 Martonvasar, Hungary.</t>
  </si>
  <si>
    <t>dernovics.mihaly@atk.hu</t>
  </si>
  <si>
    <t>Dernovics, Mihaly/AAS-6142-2020</t>
  </si>
  <si>
    <t>Dernovics, Mihaly/0000-0002-7249-9328; Jokai, Zsuzsa/0000-0002-6641-0745; Nagy, Katalin/0009-0007-1468-6946</t>
  </si>
  <si>
    <t>Hungarian Academy of Sciences (MTA; Hungary); Egyptian Academy of Scientific Research and Technology (ASRT; Egypt); National Research, Development and Innovation Office, Hungary [NKM2022-1/2023]; [K131907]</t>
  </si>
  <si>
    <t>Hungarian Academy of Sciences (MTA; Hungary); Egyptian Academy of Scientific Research and Technology (ASRT; Egypt)(Egyptian Academy of Scientific Research &amp; Technology (ASRT)); National Research, Development and Innovation Office, Hungary(National Research, Development &amp; Innovation Office (NRDIO) - Hungary);</t>
  </si>
  <si>
    <t>The study was financially supported by the bilateral international research project No. NKM2022-1/2023. of the Hungarian Academy of Sciences (MTA; Hungary) and the Egyptian Academy of Scientific Research and Technology (ASRT; Egypt). The study was supported by the National Research, Development and Innovation Office, Hungary (grant No. K131907).</t>
  </si>
  <si>
    <t>10.1016/j.jpba.2023.115611</t>
  </si>
  <si>
    <t>P8CT5</t>
  </si>
  <si>
    <t>WOS:001052903000001</t>
  </si>
  <si>
    <t>Potega, A; Goldner, V; Niehaves, E; Paluszkiewicz, E; Karst, U</t>
  </si>
  <si>
    <t>Potega, Agnieszka; Goeldner, Valentin; Niehaves, Erik; Paluszkiewicz, Ewa; Karst, Uwe</t>
  </si>
  <si>
    <t>Electrochemistry/mass spectrometry (EC/MS) for fast generation and identification of novel reactive metabolites of two unsymmetrical bisacridines with anticancer activity</t>
  </si>
  <si>
    <t>Unsymmetrical bisacridines; Electrochemistry; mass spectrometry; Metabolite electrosynthesis; Reactive metabolites; Quinone; Glutathione S -conjugate</t>
  </si>
  <si>
    <t>PHASE-I; DRUG; SIMULATION; TOXICITY; INSIGHTS; MIMICRY; QUINONE</t>
  </si>
  <si>
    <t>The development of a new drug requires knowledge about its metabolic fate in a living organism, regarding the comprehensive assessment of both drug therapeutic activity and toxicity profiles. Electrochemistry (EC) coupled with mass spectrometry (MS) is an efficient tool for predicting the phase I metabolism of redox-sensitive drugs. In particular, EC/MS represents a clear advantage for the generation of reactive drug transformation products and their direct identification compared to biological matrices. In this work, we focused on the characterization of novel electrochemical products of two representative unsymmetrical bisacridines (C-2028 and C-2045) with demonstrated high anticancer activity. The electrochemical thin-layer flow-through cell &amp; mu;-PrepCell 2.0 (Antec Scientific) was used here for the effective metabolite electrosynthesis. The electrochemical simulation of C-2028 reductive and C-2045 oxidative metabolism resulted in the generation of new products that were not observed before. The formation of nitroso [M-O+H]+ and azoxy [2M-3O+H]+ species from C-2028, as well as a series of hydroxylated and/or dehydrogenated products, including possible quinones [M-2H+H]+ and [M+O-2H+H]+ from C-2045, was demonstrated. For the latter, a glutathione S-conjugate (m/z 935.3130) was also obtained in measurements supplemented with the excess of reduced glutathione. For the identification of the products of interest, structural confirmation based on MS/MS fragmentation experiments was performed. Novel products of electrochemical conversions of unsymmetrical bisacridines were discussed in the context of their possible bio-logical effect on the human organism.</t>
  </si>
  <si>
    <t>[Potega, Agnieszka; Paluszkiewicz, Ewa] Gdansk Univ Technol, Fac Chem, Dept Pharmaceut Technol &amp; Biochem, Gabriela Narutowicza St 11-12, PL-80233 Gdansk, Poland; [Potega, Agnieszka; Paluszkiewicz, Ewa] Gdansk Univ Technol, BioTechMed Ctr, Gabriela Narutowicza St 11-12, PL-80233 Gdansk, Poland; [Goeldner, Valentin; Niehaves, Erik; Karst, Uwe] Univ Munster, Inst Inorgan &amp; Analyt Chem, Corrensstr 48, D-48149 Munster, Germany; [Goeldner, Valentin; Karst, Uwe] Univ Munster, Int Grad Sch Battery Chem Characterizat Anal Recyc, Corrensstr 40, D-48149 Munster, Germany</t>
  </si>
  <si>
    <t>Fahrenheit Universities; Gdansk University of Technology; Fahrenheit Universities; Gdansk University of Technology; University of Munster; University of Munster</t>
  </si>
  <si>
    <t>Potega, A (corresponding author), Gdansk Univ Technol, Fac Chem, Dept Pharmaceut Technol &amp; Biochem, Gabriela Narutowicza St 11-12, PL-80233 Gdansk, Poland.;Potega, A (corresponding author), Gdansk Univ Technol, BioTechMed Ctr, Gabriela Narutowicza St 11-12, PL-80233 Gdansk, Poland.</t>
  </si>
  <si>
    <t>agnieszka.potega@pg.edu.pl</t>
  </si>
  <si>
    <t>Potega, Agnieszka/AGU-5744-2022</t>
  </si>
  <si>
    <t>Potega, Agnieszka/0000-0003-1853-9277; Niehaves, Erik/0000-0001-7036-3294; Goldner, Valentin/0009-0007-1454-4112</t>
  </si>
  <si>
    <t>Gdansk University of Technology [DEC-5/2022/IDUB/IV.2/EUROPIUM]; EUROPIUM SHORT-TERM OUTGOING VISITS PROGRAM - Excellence Initiative - Research University'; Ministry for Culture and Science of North Rhine-Westphalia, Germany</t>
  </si>
  <si>
    <t>Gdansk University of Technology; EUROPIUM SHORT-TERM OUTGOING VISITS PROGRAM - Excellence Initiative - Research University'; Ministry for Culture and Science of North Rhine-Westphalia, Germany</t>
  </si>
  <si>
    <t>Financial support of these studies from Gdansk University of Technology by the DEC-5/2022/IDUB/IV.2/EUROPIUM grant under the EUROPIUM SHORT-TERM OUTGOING VISITS PROGRAM - Excellence Initiative - Research University' program is gratefully acknowledged. Valentin Goldner and Uwe Karst are members of the International Graduate School for Battery Chemistry, Characterization, Analysis, Recycling and Application (BACCARA) , which is funded by the Ministry for Culture and Science of North Rhine-Westphalia, Germany.</t>
  </si>
  <si>
    <t>10.1016/j.jpba.2023.115607</t>
  </si>
  <si>
    <t>P5WO1</t>
  </si>
  <si>
    <t>WOS:001051379600001</t>
  </si>
  <si>
    <t>Retmana, IA; Loos, NHC; Schinkel, AH; Beijnen, JH; Sparidans, RW</t>
  </si>
  <si>
    <t>Retmana, Irene A.; Loos, Nancy H. C.; Schinkel, Alfred H.; Beijnen, Jos H.; Sparidans, Rolf W.</t>
  </si>
  <si>
    <t>Validated LC-MS/MS method for simultaneous quantification of KRASG12C inhibitor sotorasib and its major circulating metabolite (M24) in mouse matrices and its application in a mouse pharmacokinetic study</t>
  </si>
  <si>
    <t>Sotorasib; M24; KRAS inhibitor; Major circulating metabolite; LC-MS/MS</t>
  </si>
  <si>
    <t>We have successfully developed and validated a bioanalytical assay using liquid chromatography tandem mass spectrometry to simultaneously quantify the first approved KRASG12C inhibitor sotorasib and its major circulating metabolite (M24) in various mouse matrices. M24 was synthesized in-house via low-pH hydrolysis. We utilized a fast and efficient protein precipitation method in a 96-well plate format to extract both analytes from biological matrices. Erlotinib was selected as the internal standard in this assay. Gradient elution using methanol and 0.1 % formic acid in water (v/v) was applied on an Acquity UPLC BEH C18 column to separate all analytes. Sotorasib, M24, and erlotinib were detected with a triple quadrupole mass spectrometer in positive electrospray ionization in multiple reaction monitoring mode. During the validation and sample quantification, a linear calibration range was observed for both sotorasib and M24 in a range of 4 - 4000 nM and 1 - 1000 nM, respectively. The % bias and %CV (both intra-and inter-day) for all tested levels in all investigated matrices were lower than 15 % as required by the guidelines. Sotorasib had a rather short room temperature stability in mouse plasma for up to 8 h compared to M24 which was stable up to 16 h at room temperature. This method has been successfully applied to measure sotorasib and M24 in several mouse matrices from three different mouse strains. We can conclude that the plasma exposure of sotorasib in mice is limited via human CYP3A4-and mouse Cyp3a-mediated metabolism of sotorasib into M24.</t>
  </si>
  <si>
    <t>[Retmana, Irene A.; Loos, Nancy H. C.; Schinkel, Alfred H.] Netherlands Canc Inst, Div Pharmacol, Plesmanlaan 121, NL-1066 CX Amsterdam, Netherlands; [Retmana, Irene A.; Sparidans, Rolf W.] Univ Utrecht, Fac Sci, Dept Pharmaceut Sci, Div Pharmacol, Univ Weg 99, NL-3584 CG Utrecht, Netherlands; [Beijnen, Jos H.] Netherlands Canc Inst, Dept Pharm &amp; Pharmacol, Plesmanlaan 121, NL-1066 CX Amsterdam, Netherlands; [Beijnen, Jos H.] Univ Utrecht, Fac Sci, Dept Pharmaceut Sci, Div Pharmacoepidemiol &amp; Clin Pharmacol, Univ Weg 99, NL-3584 CG Utrecht, Netherlands</t>
  </si>
  <si>
    <t>Netherlands Cancer Institute; Utrecht University; Netherlands Cancer Institute; Utrecht University</t>
  </si>
  <si>
    <t>Sparidans, RW (corresponding author), Univ Utrecht, Fac Sci, Dept Pharmaceut Sci, Div Pharmacol, Univ Weg 99, NL-3584 CG Utrecht, Netherlands.</t>
  </si>
  <si>
    <t>r.w.sparidans@uu.nl</t>
  </si>
  <si>
    <t>Retmana, Irene/0000-0003-2345-5529</t>
  </si>
  <si>
    <t>10.1016/j.jpba.2023.115612</t>
  </si>
  <si>
    <t>P8YS6</t>
  </si>
  <si>
    <t>WOS:001053482000001</t>
  </si>
  <si>
    <t>Syrek, K; Tynkevych, O; Wojtas, M; Koziel, M; Pieta, L; Zaraska, L</t>
  </si>
  <si>
    <t>Syrek, Karolina; Tynkevych, Olena; Wojtas, Mateusz; Koziel, Marcin; Pieta, Lukasz; Zaraska, Leszek</t>
  </si>
  <si>
    <t>Room-temperature electrochemical deposition of nanostructured ZnO films on FTO substrate and their photoelectrochemical activity</t>
  </si>
  <si>
    <t>JOURNAL OF INDUSTRIAL AND ENGINEERING CHEMISTRY</t>
  </si>
  <si>
    <t>Zinc oxide; Electrodeposition; Photoelectrochemical properties</t>
  </si>
  <si>
    <t>ZINC-OXIDE; THIN-FILMS; ELECTRODEPOSITION; MORPHOLOGY; GROWTH; TRANSPARENT</t>
  </si>
  <si>
    <t>The possibility of fabrication of nanostructured ZnO layers on conductive glass substrates via simple room-temperature electrodeposition was studied in detail. The process was carried out in zinc nitrate electrolyte at different potentials for various durations. The morphology, composition, and semiconduct-ing properties of the deposits were examined by various techniques. As-synthesized materials were found to be amorphous and co-deposition of the metallic Zn at more negative potentials was confirmed. Nevertheless, thermal treatment in air results in the successful conversion of the as-deposited precipitate to the wurtzite ZnO. The potential of-1.5 V vs. SCE was identified as optimal to achieve both full cover-age of the glass substrate, as well as uniform morphology of the deposits. In general, the photoelectro-chemical performance of such kind of ZnO photoanodes was found to be significantly dependent on the electrodeposition duration since this parameter strongly affected the thickness, surface morphology, as well as semiconducting properties of the obtained material. In consequence, the photoanode deposited at-1.5 V vs. SCE for 40 min exhibited the most promising photoelectrochemical activity under studied conditions.&amp; COPY; 2023 The Korean Society of Industrial and Engineering Chemistry. Published by Elsevier B.V. All rights reserved.</t>
  </si>
  <si>
    <t>[Syrek, Karolina; Tynkevych, Olena; Wojtas, Mateusz; Koziel, Marcin; Pieta, Lukasz; Zaraska, Leszek] Jagiellonian Univ, Fac Chem, Gronostajowa 2, PL-30387 Krakow, Poland; [Tynkevych, Olena] Yuriy Fedkovych Chernivtsi Natl Univ, Dept Chem &amp; Expertise Food Prod, Lesya Ukrainka Str 25, UA-58012 Chernovtsy, Ukraine; [Wojtas, Mateusz] Swiss Fed Inst Technol, Dept Chem &amp; Appl Biosci, Vladimir Prelog Weg 1, CH-8093 Zurich, Switzerland</t>
  </si>
  <si>
    <t>Jagiellonian University; Ministry of Education &amp; Science of Ukraine; Yuri Fedkovych Chernivtsi National University; Swiss Federal Institutes of Technology Domain; ETH Zurich</t>
  </si>
  <si>
    <t>Zaraska, L (corresponding author), Jagiellonian Univ, Fac Chem, Gronostajowa 2, PL-30387 Krakow, Poland.</t>
  </si>
  <si>
    <t>leszek.zaraska@uj.edu.pl</t>
  </si>
  <si>
    <t>Zaraska, Leszek/0000-0002-5330-7191; Syrek, Karolina/0000-0002-4041-9100</t>
  </si>
  <si>
    <t>National Science Centre Poland [UMO-2018/30/E/ST5/00531]</t>
  </si>
  <si>
    <t>National Science Centre Poland(National Science Centre, Poland)</t>
  </si>
  <si>
    <t>The research was supported by the National Science Centre Poland (Contract No. UMO-2018/30/E/ST5/00531). The SEM imaging was performed in the Laboratory of Field Emission Scanning Electron Microscopy and Microanalysis at the Institute of Geological Sciences, Jagiellonian University, Poland. The authors would like to acknowledge Weronika Zbyszynska for her assistance in preliminary investigations.</t>
  </si>
  <si>
    <t>1226-086X</t>
  </si>
  <si>
    <t>1876-794X</t>
  </si>
  <si>
    <t>J IND ENG CHEM</t>
  </si>
  <si>
    <t>J. Ind. Eng. Chem.</t>
  </si>
  <si>
    <t>10.1016/j.jiec.2023.06.007</t>
  </si>
  <si>
    <t>Chemistry, Multidisciplinary; Engineering, Chemical</t>
  </si>
  <si>
    <t>O5VL3</t>
  </si>
  <si>
    <t>WOS:001044482900001</t>
  </si>
  <si>
    <t>Yang, L; Wang, JM; Na, JC; Yu, JF</t>
  </si>
  <si>
    <t>Yang, Li; Wang, Jieming; Na, Jin-Cheon; Yu, Jianfei</t>
  </si>
  <si>
    <t>Generating paraphrase sentences for multimodal entity-category-sentiment triple extraction</t>
  </si>
  <si>
    <t>KNOWLEDGE-BASED SYSTEMS</t>
  </si>
  <si>
    <t>Entity-based sentiment analysis; Fine-grained opinion mining; Multimodal sentiment analysis</t>
  </si>
  <si>
    <t>RECOGNITION; FUSION</t>
  </si>
  <si>
    <t>Multimodal entity-based sentiment analysis (MEBSA) is an emerging task in sentiment analysis that aims to identify three key elements (entity, entity category, and sentiment polarity) from a pair of sentence and image. However, most existing studies have primarily focused on one or two MEBSA subtasks, ignoring the fact that these subtasks are closely related with one another. Moreover, previous studies focused on the detection of coarse-grained entity categories, which failed to provide sufficient information to disambiguate entities. To address these two issues, we introduced a new task called multimodal entity-category-sentiment triple extraction (MECSTE) to extract entities, their corresponding fine-grained entity categories, and sentiment polarities simultaneously. We constructed two datasets for this task based on two existing Twitter corpora. Moreover, we developed a generative multimodal approach based on a pre-trained sequence-to-sequence model that formulates the MECSTE task as a paraphrase generation problem by linearising all the entity-category-sentiment triples into a natural language sentence. Extensive experiments on the annotated Twitter datasets demonstrate the superiority of the proposed method.&amp; COPY; 2023 Elsevier B.V. All rights reserved.</t>
  </si>
  <si>
    <t>[Yang, Li; Na, Jin-Cheon] Nanyang Technol Univ, Wee Kim Wee Sch Commun &amp; Informat, Singapore, Singapore; [Wang, Jieming; Yu, Jianfei] Nanjing Univ Sci &amp; Technol, Sch Comp Sci &amp; Engn, Nanjing, Peoples R China</t>
  </si>
  <si>
    <t>Nanyang Technological University &amp; National Institute of Education (NIE) Singapore; Nanyang Technological University; Nanjing University of Science &amp; Technology</t>
  </si>
  <si>
    <t>Yu, JF (corresponding author), Nanjing Univ Sci &amp; Technol, Sch Comp Sci &amp; Engn, Nanjing, Peoples R China.</t>
  </si>
  <si>
    <t>jfyu@njust.edu.cn</t>
  </si>
  <si>
    <t>Natural Science Founda-tion of China [62006117]; Natural Science Foundation of Jiangsu Province for Young Scholars [BK20200463]</t>
  </si>
  <si>
    <t>Natural Science Founda-tion of China(National Natural Science Foundation of China (NSFC)); Natural Science Foundation of Jiangsu Province for Young Scholars(Natural Science Foundation of Jiangsu Province)</t>
  </si>
  <si>
    <t>This work was supported by the Natural Science Founda-tion of China (No. 62006117) and Natural Science Foundation of Jiangsu Province for Young Scholars (No. BK20200463) . All authors approved the final version of manuscript to be published.</t>
  </si>
  <si>
    <t>0950-7051</t>
  </si>
  <si>
    <t>1872-7409</t>
  </si>
  <si>
    <t>KNOWL-BASED SYST</t>
  </si>
  <si>
    <t>Knowledge-Based Syst.</t>
  </si>
  <si>
    <t>10.1016/j.knosys.2023.110823</t>
  </si>
  <si>
    <t>S2ZD7</t>
  </si>
  <si>
    <t>WOS:001069895800001</t>
  </si>
  <si>
    <t>Zhao, D; Wan, GJ; Zhan, YB; Wang, ZM; Ding, L; Zheng, ZG; Du, B</t>
  </si>
  <si>
    <t>Zhao, Dong; Wan, Guojia; Zhan, Yibing; Wang, Zengmao; Ding, Liang; Zheng, Zhigao; Du, Bo</t>
  </si>
  <si>
    <t>KE-X: Towards subgraph explanations of knowledge graph embedding based on knowledge information gain</t>
  </si>
  <si>
    <t>Knowledge graph; Knowledge graph embedding; Explainability</t>
  </si>
  <si>
    <t>Over the past years, knowledge graph embedding approaches have proven effective for knowledge graph completion tasks. However, most existing models are either built on a certain embedding space or black-box neural networks, making it hard to access explanations for prediction results and resulting in limited explainability. In this paper, we propose to leverage information entropy to quantify the importance of explanation candidates, then build a framework KE-X, for explaining results from knowledge graph embedding approaches by generating explainable subgraphs. Specifically, by performing a modified message passing mechanism on a partially masked knowledge subgraph and maximizing knowledge information gain, KE-X can extract the most valuable subgraph explanation for a link prediction query. To evaluate KE-X, we conduct experiments on three real-world knowledge graphs with two representative KGE models, TransE and DistMult. Both quantitative and case study results show that our framework can extract high-quality explanations. &amp; COPY; 2023 Elsevier B.V. All rights reserved.</t>
  </si>
  <si>
    <t>[Zhao, Dong; Wan, Guojia; Wang, Zengmao; Zheng, Zhigao; Du, Bo] Wuhan Univ, Sch Comp Sci, Inst Artificial Intelligence, Natl Engn Res Ctr Multimedia Software, Wuhan, Peoples R China; [Zhao, Dong; Wan, Guojia; Wang, Zengmao; Zheng, Zhigao; Du, Bo] Wuhan Univ, Hubei Key Lab Multimedia &amp; Network Commun Engn, Wuhan, Peoples R China; [Zhan, Yibing; Ding, Liang] JD Explore Acad, Beijing, Peoples R China; [Ding, Liang] Univ Sydney, Camperdown, Australia</t>
  </si>
  <si>
    <t>Wuhan University; Wuhan University; University of Sydney</t>
  </si>
  <si>
    <t>Wan, GJ; Du, B (corresponding author), Wuhan Univ, Sch Comp Sci, Inst Artificial Intelligence, Natl Engn Res Ctr Multimedia Software, Wuhan, Peoples R China.;Wan, GJ; Du, B (corresponding author), Wuhan Univ, Hubei Key Lab Multimedia &amp; Network Commun Engn, Wuhan, Peoples R China.</t>
  </si>
  <si>
    <t>Zhao.Dong@whu.edu.cn; guojiawan@whu.edu.cn; zhanyibing@jd.com; wangzengmao@whu.edu.cn; ldin3097@uni.sydney.edu.au; zhengzhigao@whu.edu.cn; dubo@whu.edu.cn</t>
  </si>
  <si>
    <t>National Natural Science Foundation of China [62225113, 2022M712461]; China Postdoctoral Science Foundation, China [2022010702040070]; Artificial Intelligence Innovation Project of Wuhan Science and Technology Bureau [2042022kf1043]; Fundamental Research Funds for the Central Universities, China; [62206202]</t>
  </si>
  <si>
    <t>National Natural Science Foundation of China(National Natural Science Foundation of China (NSFC)); China Postdoctoral Science Foundation, China(China Postdoctoral Science Foundation); Artificial Intelligence Innovation Project of Wuhan Science and Technology Bureau; Fundamental Research Funds for the Central Universities, China(Fundamental Research Funds for the Central Universities);</t>
  </si>
  <si>
    <t>This work is partially supported by the National Natural Science Foundation of China (62206202, 62225113) , China Postdoctoral Science Foundation, China (2022M712461) , Artificial Intelligence Innovation Project of Wuhan Science and Technology Bureau (No. 2022010702040070) , The Fundamental Research Funds for the Central Universities, China (2042022kf1043) .</t>
  </si>
  <si>
    <t>10.1016/j.knosys.2023.110772</t>
  </si>
  <si>
    <t>Q5IA2</t>
  </si>
  <si>
    <t>WOS:001057843500001</t>
  </si>
  <si>
    <t>Deng, SH; Wu, LS; Lai, JJ; Wang, L; Yan, GL; Zhao, CX; Xiang, D; Li, H; Wang, B; Li, ZY; Zhou, HW; Wu, YP</t>
  </si>
  <si>
    <t>Deng, Shuhang; Wu, Laishun; Lai, Jingjuan; Wang, Li; Yan, Guilong; Zhao, Chunxia; Xiang, Dong; Li, Hui; Wang, Bin; Li, Zhenyu; Zhou, Hongwei; Wu, Yuanpeng</t>
  </si>
  <si>
    <t>Bioinspired ultra-lubrication hydrogels with controllably switchable lubrication</t>
  </si>
  <si>
    <t>Hydrogel; Mucin; Ultra-low friction state; High friction state; Switchable lubrication</t>
  </si>
  <si>
    <t>FRICTION; ROBUST</t>
  </si>
  <si>
    <t>Switchable lubrication materials have great potential in the preparation of intelligent grabbing devices, tissue materials, and intelligent soft robots. In nature, numerous living organisms can dynamically change their frictional behaviors. Inspired by the lubrication to the astringency of the oral cavity, mucin was incorporated with poly(vinyl alcohol) (PVA) to emulate this behavior from an ultra-low friction state to a high friction state. The results show that mucin allows for the reduction in coefficient of friction by 95.8 % relative to mucin-free hydrogels. Furthermore, large-scale switchable lubrication (mu similar to 0.009 to mu similar to 0.47) is achieved through the interaction between mucin and tannic acid (TA). The approach may offer a method for preparing intelligent grabbing devices, tissue materials, and intelligent soft robots.</t>
  </si>
  <si>
    <t>[Deng, Shuhang; Wu, Laishun; Lai, Jingjuan; Wang, Li; Yan, Guilong; Zhao, Chunxia; Xiang, Dong; Li, Hui; Wang, Bin; Li, Zhenyu; Wu, Yuanpeng] Southwest Petr Univ, Ctr Funct Mat Working Fluids Oil &amp; Gas Field, Sch New Energy &amp; Mat, Chengdu 610500, Sichuan, Peoples R China; [Wang, Li; Yan, Guilong; Zhao, Chunxia; Xiang, Dong; Li, Hui; Wang, Bin; Li, Zhenyu; Wu, Yuanpeng] Southwest Petr Univ, Sichuan Engn Technol Res Ctr Basalt Fiber Composit, State Key Lab Oil &amp; Gas Reservoir Geol &amp; Exploitat, Chengdu 610500, Sichuan, Peoples R China; [Zhou, Hongwei] Xian Technol Univ, Sch Mat &amp; Chem Engn, Shaanxi Key Lab Photoelect Funct Mat &amp; Devices, Xian 710021, Peoples R China</t>
  </si>
  <si>
    <t>Southwest Petroleum University; Southwest Petroleum University; Xi'an Technological University</t>
  </si>
  <si>
    <t>Wang, L; Li, ZY; Wu, YP (corresponding author), Southwest Petr Univ, Ctr Funct Mat Working Fluids Oil &amp; Gas Field, Sch New Energy &amp; Mat, Chengdu 610500, Sichuan, Peoples R China.;Zhou, HW (corresponding author), Xian Technol Univ, Sch Mat &amp; Chem Engn, Shaanxi Key Lab Photoelect Funct Mat &amp; Devices, Xian 710021, Peoples R China.</t>
  </si>
  <si>
    <t>wangli@swpu.edu.cn; zhenyu.li@swpu.edu.cn; xatuzhou@163.com; ypwu@swpu.edu.cn</t>
  </si>
  <si>
    <t>Foundation of China [52073238, 2019YFE0120300]; National Key Research and Development Program of China; [52173301]</t>
  </si>
  <si>
    <t>Foundation of China; National Key Research and Development Program of China;</t>
  </si>
  <si>
    <t>Acknowledgements Y. W. thanks the financial support by the National Natural Sciencer Foundation of China (No. 52173301, 52073238) , the National Key Research and Development Program of China (No. 2019YFE0120300) .</t>
  </si>
  <si>
    <t>OCT 20</t>
  </si>
  <si>
    <t>10.1016/j.colsurfa.2023.132033</t>
  </si>
  <si>
    <t>Q4QO5</t>
  </si>
  <si>
    <t>WOS:001057385000001</t>
  </si>
  <si>
    <t>Huo, HH; Li, X; Li, YZ; Duan, RB; Yi, SY; Shi, JH; Sun, ZX; Li, S; Gao, LZ</t>
  </si>
  <si>
    <t>Huo, Haohao; Li, Xin; Li, Yuzhen; Duan, Runbin; Yi, Siyuan; Shi, Jianhui; Sun, Zhaoxin; Li, Shuo; Gao, Lizhen</t>
  </si>
  <si>
    <t>Fabrication ternary dual electron transfer Ag2MoO4/SrWO4/g-C3N4 heterojunction photocatalyst for the highly efficient visible-light-driven degradation of tetracycline</t>
  </si>
  <si>
    <t>Ag2MoO4/SrWO4/g-C3N4; Heterojunction; Photocatalyst; Tetracycline</t>
  </si>
  <si>
    <t>Z-SCHEME; CARBON NITRIDE; NANOCOMPOSITES; PERFORMANCE; PROPERTY; SYSTEM; SRWO4; WATER; AG</t>
  </si>
  <si>
    <t>The construction of new electron transfer channels is essential to improve the photocatalyst activity. Herein, a novel Ag2MoO4/SrWO4/g-C3N4 photocatalyst with dual electron transfer channels was constructed by one-step precipitation method. The obtained photocatalysts were characterized using XRD, SEM, FT-IR, TEM, Uv-vis and PL. Under visible light, the photocatalyst was evaluated for its ability to degrade tetracycline (TC). The characterization results presented that the olive sphere-like SrWO4 and the nanosphere-like Ag2MoO4 were uniformly dispersed on the surface and pores of g-C3N4, forming a heterostructure and thereby heterojunctions, which promoted the internal electron transfer. The degradation experiments showed that the Ag2MoO4/SrWO4/g-C3N4 improved degradation efficiency of TC under visible light relative to monomeric and binary materials. In addition, the 20AMO/8SW/CN maintained 92.19 % degradation of TC after four cycles of experiments, showing excellent reusability. During the photocatalytic process, .O-2(-), h+, and .OH promoted the degradation of TC. Combining with the energy band structure analysis, it was found that a novel dual electron transfer channel had been constructed among Ag2MoO4, SrWO4 and g-C3N4, which markedly enhanced photocatalytic</t>
  </si>
  <si>
    <t>[Huo, Haohao; Li, Xin; Li, Yuzhen; Duan, Runbin; Yi, Siyuan; Shi, Jianhui; Sun, Zhaoxin; Li, Shuo; Gao, Lizhen] Taiyuan Univ Technol, Coll Environm Sci &amp; Engn, 79 Yingze St, Taiyuan 030024, Peoples R China; [Gao, Lizhen] Univ Western Australia, Sch Mech Engn, 35 Stirling Highway, Perth, WA 6009, Australia</t>
  </si>
  <si>
    <t>Taiyuan University of Technology; University of Western Australia</t>
  </si>
  <si>
    <t>Li, YZ (corresponding author), Taiyuan Univ Technol, Coll Environm Sci &amp; Engn, 79 Yingze St, Taiyuan 030024, Peoples R China.</t>
  </si>
  <si>
    <t>liyuzhen123456@126.com</t>
  </si>
  <si>
    <t>National Natural Science Foundation of China (NSFC) [52100101]</t>
  </si>
  <si>
    <t>National Natural Science Foundation of China (NSFC)(National Natural Science Foundation of China (NSFC))</t>
  </si>
  <si>
    <t>Data Availability Data will be made available on request. Acknowledgements This work was financially supported by the National Natural Science Foundation of China (NSFC) (Grant No.52100101) .</t>
  </si>
  <si>
    <t>10.1016/j.colsurfa.2023.131945</t>
  </si>
  <si>
    <t>P6OT7</t>
  </si>
  <si>
    <t>WOS:001051857100001</t>
  </si>
  <si>
    <t>Li, N; Li, Y; Lou, RT; Xiong, RW; Xu, H</t>
  </si>
  <si>
    <t>Li, Na; Li, Yong; Lou, Ruitao; Xiong, Rongwei; Xu, Hong</t>
  </si>
  <si>
    <t>Adsorption and migration of ammonia nitrogen in sediments in the presence of SiO2 and HA colloids</t>
  </si>
  <si>
    <t>Ammonia nitrogen; Colloids; Transport; Adsorption; Sediments; Ionic strengths</t>
  </si>
  <si>
    <t>SATURATED POROUS-MEDIA; HUMIC-ACID; SUBSURFACE COLLOIDS; FULVIC-ACIDS; TRANSPORT; COTRANSPORT; NANOPARTICLES; SORPTION; URANIUM; SURFACE</t>
  </si>
  <si>
    <t>The release of internal pollutants in shallow lakes is a widely concerning environmental issue. Colloids widely existing in eutrophic shallow lakes will affect the release and migration of pollutants. In this context, the different effects of two colloids [humic acid (HA) and silica (SiO2)], either individual or in coexistence, on the adsorption and migration of ammonia nitrogen (NH4+-N) in sediments under different ionic strengths (IS) were analyzed, through a series of batch and column experiments. It was found that, under a relatively low IS condition (1 mM Na+), SiO2 colloids greatly enhanced the mobility of NH4+-N in sediments. With IS increased (20 mM Na+), the presence of colloids exhibited an impeding effect on the mobility of NH4+-N due to colloidal flocculation and precipitation. While HA colloids largely suppressed the mobility of NH4+-N in sediments under either low or high IS conditions. HA colloids are more likely to form aggregates and have more adsorption sites than SiO2 colloids. In the NH4+-N-SiO2-HA system, HA colloids also showed a retardant effect on the transport of both SiO2 colloids and NH4+-N, and the retardant effect increased with the increase of HA colloid concentration. Exchange coor-dination and hydrogen bond force, as well as the decreased stability of the colloid system, played an important role in such a retardant effect, which consequently resulted in more NH4+-N adsorption. The transport of colloids in the NH4+-N-colloids co-transport system can be successfully described by Derja-guin-Landau-Verwey-Overbeek (DLVO) theory. In addition, with an increase of IS, NH4+-N transport was enhanced because of competitive adsorption of the cations and NH4+-N on colloids and the porous medium. These results implied that abundant HA colloids and low ion concentration can reduce the risk of NH4+-N release and migration in sediments and consequently its exchange flux across the sediment-water interface.</t>
  </si>
  <si>
    <t>[Li, Na; Li, Yong; Lou, Ruitao; Xiong, Rongwei] Hohai Univ, Key Lab Integrated Regulat &amp; Resources Dev Shallow, Minist Educ, Nanjing 210098, Peoples R China; [Li, Na; Li, Yong; Lou, Ruitao; Xiong, Rongwei; Xu, Hong] Hohai Univ, Coll Environm, Nanjing 210098, Peoples R China; [Li, Yong] 1 Xikang Rd, Nanjing, Jiangsu, Peoples R China</t>
  </si>
  <si>
    <t>Hohai University; Hohai University</t>
  </si>
  <si>
    <t>Li, Y (corresponding author), 1 Xikang Rd, Nanjing, Jiangsu, Peoples R China.</t>
  </si>
  <si>
    <t>liyonghh@hhu.edu.cn</t>
  </si>
  <si>
    <t>National Natural Science Foundation of China [51579074, B22017010204]; Fundamental Research Funds for the Central Universities; Characteristic Development Guidance Funds for the Central Universities; Priority Academic Program Development of Jiangsu Higher Education In- stitutions (PAPD); [51879081]</t>
  </si>
  <si>
    <t>National Natural Science Foundation of China(National Natural Science Foundation of China (NSFC)); Fundamental Research Funds for the Central Universities(Fundamental Research Funds for the Central Universities); Characteristic Development Guidance Funds for the Central Universities; Priority Academic Program Development of Jiangsu Higher Education In- stitutions (PAPD);</t>
  </si>
  <si>
    <t>This work was supported by the National Natural Science Foundation of China (grant numbers: 51879081 and 51579074) , the Fundamental Research Funds for the Central Universities and the World -Class Uni- versities (Disciplines) , and the Characteristic Development Guidance Funds for the Central Universities (B22017010204) , and the Priority Academic Program Development of Jiangsu Higher Education In- stitutions (PAPD) .</t>
  </si>
  <si>
    <t>10.1016/j.colsurfa.2023.132008</t>
  </si>
  <si>
    <t>Q0FI6</t>
  </si>
  <si>
    <t>WOS:001054348300001</t>
  </si>
  <si>
    <t>Manohar, A; Vijayakanth, V; Chintagumpala, K; Manivasagan, P; Jang, ES; Kim, KH</t>
  </si>
  <si>
    <t>Manohar, Ala; Vijayakanth, V.; Chintagumpala, Krishnamoorthi; Manivasagan, Panchanathan; Jang, Eue- Soon; Kim, Ki Hyeon</t>
  </si>
  <si>
    <t>Zn- doped MnFe2O4 nanoparticles for magnetic hyperthermia and their cytotoxicity study in normal and cancer cell lines</t>
  </si>
  <si>
    <t>Ferrites; Hyperthermia; Cytotoxicity</t>
  </si>
  <si>
    <t>ZNFE2O4 NANOPARTICLES; NANOCRYSTALLINE MNFE2O4; SUBSTITUTION</t>
  </si>
  <si>
    <t>To improve magnetic hyperthermia for the treatment of cancer, we prepared Mn1_xZnxFe2O4 (x = 0.1, 0.3, 0.4, &amp; 0.5) magnetic nanoparticles (NPs) using the solvothermal reflux method. The preparation of NPs single phase was confirmed by X-ray diffraction (XRD) investigation. The prepared sample's magnetic properties were greatly improved by the addition of Zn, increasing its magnetization value. The specific loss power (SLP) values in DI water were used to assess the performance of the colloids. Zn0.1Mn0.9Fe2O4 NPs displayed the highest SLP value among the samples, at 1 mg/mL concentration (107.79 W/g) in an alternating magnetic field (AMF) of 35.2 kA/ m and 316 kHz. This proved how effectively they could produce heat for magnetic hyperthermia therapy. Through cell cytotoxicity analysis, the cytotoxicity of the Zn-doped MnFe2O4 NPs was evaluated, and the results showed high biocompatibility and negligible cytotoxicity. This shows that the NPs are appropriate for biomedical applications, particularly in the treatment of cancer with magnetic hyperthermia. The better magnetic charac-teristics and effective heat generation for hyperthermia treatment were obtained through the synthesis of Zn-doped MnFe2O4 NPs. The NPs also showed great biocompatibility, making them viable options for biomedical applications, particularly in the treatment of cancer.</t>
  </si>
  <si>
    <t>[Manohar, Ala; Kim, Ki Hyeon] Yeungnam Univ, Dept Phys, Gyongsan 38541, South Korea; [Vijayakanth, V.; Chintagumpala, Krishnamoorthi] Vellore Inst Technol, Ctr Nanotechnol Res, Vellore 632014, India; [Manivasagan, Panchanathan; Jang, Eue- Soon] Kumoh Natl Inst Technol, Dept Appl Chem, Daehak Ro 61, Gyeongbuk 39177, South Korea</t>
  </si>
  <si>
    <t>Yeungnam University; Vellore Institute of Technology (VIT); VIT Vellore; Kumoh National University Technology</t>
  </si>
  <si>
    <t>Kim, KH (corresponding author), Yeungnam Univ, Dept Phys, Gyongsan 38541, South Korea.</t>
  </si>
  <si>
    <t>kee1@ynu.ac.kr</t>
  </si>
  <si>
    <t>Korean Ministry of Education, Science amp; Technology [IITP-2023-2020-0-01612]; Grand Information Technology Research Center Program through the Institute of Information amp; Communications Technology Planning amp; Evaluation (IITP) - Ministry of Science and ICT (MSIT), Korea [NRF-2022R1I1A1A01068693]; Basic Science Research Program through the National Research Foundation of Korea (NRF) - Ministry of Education; [2016R1D1A3B0201175615]</t>
  </si>
  <si>
    <t>Korean Ministry of Education, Science amp; Technology; Grand Information Technology Research Center Program through the Institute of Information amp; Communications Technology Planning amp; Evaluation (IITP) - Ministry of Science and ICT (MSIT), Korea; 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</si>
  <si>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E.-S.J is especially thanks to a research grant from the Korean Ministry of Education, Science &amp; Technology (2016R1D1A3B0201175615) and the Grand Information Technology Research Center Program (IITP-2023-2020-0-01612) through the Institute of Information &amp; Communications Technology Planning &amp; Evaluation (IITP) funded by the Ministry of Science and ICT (MSIT), Korea. This research was supported by Basic Science Research Program through the National Research Foundation of Korea (NRF) funded by the Ministry of Education (NRF-2022R1I1A1A01068693) .</t>
  </si>
  <si>
    <t>10.1016/j.colsurfa.2023.132037</t>
  </si>
  <si>
    <t>Q0RV7</t>
  </si>
  <si>
    <t>WOS:001054682900001</t>
  </si>
  <si>
    <t>Shafiabadi, A; Parsaei, R; Rezaeiakmal, F; Dehdari, B</t>
  </si>
  <si>
    <t>Shafiabadi, Aniseh; Parsaei, Rafat; Rezaeiakmal, Farshad; Dehdari, Behnam</t>
  </si>
  <si>
    <t>Investigating the impact of wettability heterogeneity on tertiary oil recovery by foam flooding: A macroscopic visualization study</t>
  </si>
  <si>
    <t>Wettability heterogeneity; Foam flooding; AOS; CTAB; Mobility control; Enhanced oil recovery</t>
  </si>
  <si>
    <t>POROUS-MEDIA; GAS INJECTION; TWEEN 20; SURFACTANT; MECHANISMS; STABILITY; SWEEP; PERMEABILITY; RESERVOIRS; TENSION</t>
  </si>
  <si>
    <t>The gas injection is a widely used technique for improving oil recovery; however, in reservoirs with heterogeneous characteristics, the injection of gas in the form of foam is more promising. Due to the heterogeneous nature of oil reservoirs, we compared the foam flow performance at the tertiary mode with that of gas injection using an anionic surfactant AOS and a cationic surfactant CTAB. Glass bead packed models were used with different patterns of wettability heterogeneity including oil-wet, water-wet, stripe, layer, and quadrant. While gas injection in heterogeneous models produced only 10-15% of the waterflood residual oil, foam injection could control the gas mobility and recover almost 30-50% of the residual oil. The most stable foam was formed in the waterwet porous medium whereas the lowest stable foam was visually observed in the oil-wet porous medium due to the presence of more residual oil. However, the synergistic effect of wettability alteration and piston-wise displacement of the foam front improved oil recovery even in the oil-wet medium compared to the gas injection scenarios. Among all heterogeneous models, the highest oil recovery was achieved in the layer model and its oil recovery profile was compatible with that of the water-wet homogeneous model. Conversely, we found that positioning an oil-wet layer strongly declined foam flow performance as was observed in both layer and quadrant models. Compared to the AOS foam, the CTAB foam was more stable and efficient in recovering waterflood residual oil in the models under study.</t>
  </si>
  <si>
    <t>[Shafiabadi, Aniseh; Parsaei, Rafat; Rezaeiakmal, Farshad; Dehdari, Behnam] Shiraz Univ, Sch Chem &amp; Petr Engn, Dept Petr Engn, Shiraz, Iran</t>
  </si>
  <si>
    <t>Shiraz University</t>
  </si>
  <si>
    <t>Parsaei, R (corresponding author), Shiraz Univ, Sch Chem &amp; Petr Engn, Dept Petr Engn, Shiraz, Iran.</t>
  </si>
  <si>
    <t>rparsaei@shirazu.ac.ir</t>
  </si>
  <si>
    <t>Parsaei, Rafat/W-9029-2018</t>
  </si>
  <si>
    <t>Parsaei, Rafat/0000-0002-5803-0259</t>
  </si>
  <si>
    <t>EOR research center of Shiraz University</t>
  </si>
  <si>
    <t>The authors would like to thank the EOR research center of Shiraz University for the technical support of this study. We also thank Dr. Cleverson Esene for proofreading the manuscript.</t>
  </si>
  <si>
    <t>10.1016/j.colsurfa.2023.132022</t>
  </si>
  <si>
    <t>Q0GZ6</t>
  </si>
  <si>
    <t>WOS:001054392600001</t>
  </si>
  <si>
    <t>Zhu, CC; Wang, SM; Wang, DD; Hua, MX; Lin, S; Huang, BS; Xiang, SJ; Nan, KH</t>
  </si>
  <si>
    <t>Zhu, Chenchen; Wang, Shuimiao; Wang, Doudou; Hua, Mengxia; Lin, Sen; Huang, Baoshan; Xiang, Shengjin; Nan, Kaihui</t>
  </si>
  <si>
    <t>Novel nano-micro-macro multiple-nested hydrogel with gradient ciliary neurotrophic factor distribution induces directional axon regeneration of retinal ganglion cells</t>
  </si>
  <si>
    <t>Ciliary neurotrophic factor; Hydrogel; Magnetic nanoparticle; Retinal ganglion cell; Axon regeneration</t>
  </si>
  <si>
    <t>GELATIN MICROSPHERES; NEURITE OUTGROWTH; PHOTORECEPTOR NEUROPROTECTION; FE3O4 NANOPARTICLES; GROWTH; CNTF; REDUCTION; EXPLANTS; GUIDANCE; PATHWAYS</t>
  </si>
  <si>
    <t>Ciliary neurotrophic factor (CNTF) shows potential for stimulating axon regeneration of retinal ganglion cells (RGCs), whereas unordered regeneration of axons does not have any biological significance. Given the chemotaxis characteristics of RGCs, materials with gradient CNTF distribution can chemically stimulate axon extension based on the CNTF concentration gradient. Therefore, a novel nano-micro-macro multiple-nested hydrogel with gradient CNTF distribution was developed in this study to induce directional axonal outgrowth of RGCs. The CNTF and magnetic nanoparticles (MNPs) were co-loaded into gelatin microspheres (CNTF&amp;PEG-MNP@GMs), and subsequently suspended in a gelatin methacryloyl (GelMA) solution (viscous). Using a magnet, the CNTF&amp;PEG-MNP@GMs were moved from the far-magnet side toward the near-magnet side forming gradient CNTF&amp;PEG-MNP@GMs distribution inside the GelMA solution. The GelMA was then cross-linked via ultraviolet (365 nm) to form a hydrogel with gradient CNTF distribution. This hydrogel was further applied as the matrix for retinal explant culturing. The results showed that the number of axons in the segments of 200-300 mu m and &gt; 300 mu m was 10.21 times and 15.02 times of those in the Gradient than those in the Without Gradient. The axons area distribution was 3.28 times and 13.41 times, respectively. 86.1% of the axons area in the Gradient were distributed in the segments &gt; 200 mu m, whereas only 56.27% in the Without Gradient. The results suggested that the hydrogel-matrix with gradient CNTF distribution could intensely induce directional axonal extension of RGCs in the retinal explant. The present study provides a new method for CNTF distribution, which could induce directional axonal regeneration of RGCs, and in turn have potential application in optic nerve injury repair to some extent.</t>
  </si>
  <si>
    <t>[Zhu, Chenchen; Wang, Shuimiao; Wang, Doudou; Hua, Mengxia; Lin, Sen; Huang, Baoshan; Xiang, Shengjin; Nan, Kaihui] Wenzhou Med Univ, Eye Hosp, Natl Engn Res Ctr Ophthalmol &amp; Optometry, Wenzhou 325027, Peoples R China; [Lin, Sen; Huang, Baoshan; Nan, Kaihui] Wenzhou Med Univ, Sch Ophthalmol &amp; Optometry, State Key Lab Ophthalmol Optometry &amp; Vis Sci, Wenzhou 325027, Peoples R China; [Xiang, Shengjin] Wenzhou Med Univ, Eye Hosp, Natl Clin Res Ctr Ocular Dis, Wenzhou 325027, Peoples R China; [Xiang, Shengjin; Nan, Kaihui] Wenzhou Med Univ, Sch Ophthalmol &amp; Optometry, Wenzhou 325027, Peoples R China; [Xiang, Shengjin; Nan, Kaihui] Wenzhou Med Univ, Eye Hosp, Wenzhou 325027, Peoples R China</t>
  </si>
  <si>
    <t>Wenzhou Medical University; Wenzhou Medical University; Wenzhou Medical University; Wenzhou Medical University; Wenzhou Medical University</t>
  </si>
  <si>
    <t>Xiang, SJ; Nan, KH (corresponding author), Wenzhou Med Univ, Sch Ophthalmol &amp; Optometry, Wenzhou 325027, Peoples R China.;Xiang, SJ; Nan, KH (corresponding author), Wenzhou Med Univ, Eye Hosp, Wenzhou 325027, Peoples R China.</t>
  </si>
  <si>
    <t>xiangsj@mail.eye.ac.cn; nankh@wmu.edu.cn</t>
  </si>
  <si>
    <t>National Key Research and Development Program of China [2016YFC1101201, ZY2021018]; Wenzhou Major Scientific and Technological Innovation Project [J02-20190202]; Wenzhou Medical University [YNZD2201901]; [2021YFA1101204]</t>
  </si>
  <si>
    <t>National Key Research and Development Program of China; Wenzhou Major Scientific and Technological Innovation Project; Wenzhou Medical University;</t>
  </si>
  <si>
    <t>This work was financially supported by National Key Research and Development Program of China (2021YFA1101204, 2016YFC1101201) , the Wenzhou Major Scientific and Technological Innovation Project (ZY2021018) , and Internal funding from Wenzhou Medical University (J02-20190202; YNZD2201901) .</t>
  </si>
  <si>
    <t>10.1016/j.colsurfa.2023.131904</t>
  </si>
  <si>
    <t>Q4KS8</t>
  </si>
  <si>
    <t>WOS:001057230300001</t>
  </si>
  <si>
    <t>Hu, JY; Liu, H; Li, YW; Ma, T</t>
  </si>
  <si>
    <t>Hu, Jianying; Liu, Hao; Li, Yuwei; Ma, Tao</t>
  </si>
  <si>
    <t>Highly reflective and fluorescent TiO2 quantum dots modified asphalt coating: Engineering characterizations and microclimatic modelling</t>
  </si>
  <si>
    <t>Quantum dots (QDs); Solar reflectance; Fluorescent intensity; Microclimatic modeling; Economic analysis</t>
  </si>
  <si>
    <t>URBAN HEAT ISLANDS; COOL PAVEMENTS; DECADES</t>
  </si>
  <si>
    <t>Conventional asphalt absorbs and stores a large quantity of solar radiation, contributing to urban heat island (UHI) phenomenon. TiO2 quantum dots (QDs) are one of the important zero-dimensional nanocrystals with remarkable light reflection and fluorescence. In this study, the highly reflective and fluorescent asphalt binder modified with TiO2 QDs was proposed as an innovative UHI mitigation strategy. Optical and Superpave performance characterizations were employed on TiO2 QDs modified asphalt binder while its cooling potential was assessed by implementing microclimatic modelling. The results show that solar reflectance of asphalt binder increases from 12% to 17% when doping 5-30% TiO2 QDs compared to 3% of traditional asphalt binder. Meanwhile, fluorescent intensity of modified asphalt binder is increased by 43-289%. Compared to conventional asphalt binder, TiO2 QDs modified asphalt binder exhibits superior rutting resistance. The microclimatic modelling using ENVI-met simulation tool has revealed that asphalt coating with TiO2 QDs brings air temperature reduction by up to 2.9 degrees C. Moreover, economic analysis has shown that asphalt coating withTiO2 QDs could achieve desirable cost-effectiveness.</t>
  </si>
  <si>
    <t>[Hu, Jianying; Liu, Hao; Li, Yuwei; Ma, Tao] Southeast Univ, Sch Transportat, Rd 2, Nanjing 211189, Peoples R China</t>
  </si>
  <si>
    <t>Ma, T (corresponding author), Southeast Univ, Sch Transportat, Rd 2, Nanjing 211189, Peoples R China.</t>
  </si>
  <si>
    <t>matao@seu.edu.cn</t>
  </si>
  <si>
    <t>National Natural Science Foundation of China [51922030, 7721008037]; Natural Science Foun-dation of Jiangsu Province [2021BEG02018]; Ningxia key research and development plan project [1121000376]; Jiangsu Funds for Distinguished Young Scholars Shuangchuang Program~of Jiangsu Province; [6521009749]</t>
  </si>
  <si>
    <t>National Natural Science Foundation of China(National Natural Science Foundation of China (NSFC)); Natural Science Foun-dation of Jiangsu Province(Natural Science Foundation of Jiangsu Province); Ningxia key research and development plan project; Jiangsu Funds for Distinguished Young Scholars Shuangchuang Program~of Jiangsu Province;</t>
  </si>
  <si>
    <t>This research was supported by National Natural Science Foundation of China (Grant Nos. 6521009749, 51922030) , Natural Science Foun-dation of Jiangsu Province (Grant No. 7721008037) , Ningxia key research and development plan project (Grant No. 2021BEG02018) , Jiangsu Funds for Distinguished Young Scholars Shuangchuang Program~of Jiangsu Province (1121000376) . The authors would like to thank Prof. Shuai Huang at Southeast University for technical support. Thanks to the anonymous reviewers for constructive comments and suggestions which help us improve the manuscript.</t>
  </si>
  <si>
    <t>OCT 19</t>
  </si>
  <si>
    <t>10.1016/j.conbuildmat.2023.132701</t>
  </si>
  <si>
    <t>Q6SI6</t>
  </si>
  <si>
    <t>WOS:001058798900001</t>
  </si>
  <si>
    <t>Luo, W; Beek, TAV; Chen, B; Zuilhof, H; Salentijn, GI</t>
  </si>
  <si>
    <t>Luo, Wei; Beek, Teris A. van; Chen, Bo; Zuilhof, Han; Salentijn, Gert IJ.</t>
  </si>
  <si>
    <t>Bifunctional Ti4+-modified paper for selective extraction or removal of phospholipids and paper spray mass spectrometry for bioanalysis in urine and plasma</t>
  </si>
  <si>
    <t>ANALYTICA CHIMICA ACTA</t>
  </si>
  <si>
    <t>Paper modification; Paper spray mass spectrometry; Selective enrichment; Phospholipids; Matrix effect</t>
  </si>
  <si>
    <t>QUANTITATIVE-ANALYSIS; AFFINITY-CHROMATOGRAPHY</t>
  </si>
  <si>
    <t>Background: Phospholipids (PLs) are major constituents of cell membranes, play important roles in cell proliferation and death, as well as in signal transduction, and therefore are relevant biomarkers for different pathologies. On the other hand, when the analysis of small compounds, such as therapeutics in blood is desired, then phospholipids are part of the matrix and cause serious interference during analysis. Currently, both the analysis and removal of PLs from biological samples are limited by extensive sample preparation and instrumental separation. Results: A fast and simple quantitative Ti4+-modified paper spray tandem mass spectrometric (TiPS-MS/MS) method was established in urine, where the enrichment of phospholipids was achieved, as well as reduction of matrix effects (primarily caused by high salt content) that ultimately led to improved sensitivity and selectivity. The method could achieve a physiologically relevant limit of detection (0.01-0.03 &amp; mu;g mL-1). Also, the usefulness of the Ti4+-modified paper was investigated in the opposite mode, namely for the selective removal of phospholipids from matrices such as plasma. Clonidine is used as model compound, as the detection of this compound is known to suffer from ion suppression by phospholipids. Compared with blank paper spray tandem mass spectrometry, the limit of detection could be improved from 0.3 &amp; mu;g mL-1 to 0.03 &amp; mu;g mL-1 by employing a Ti4+modified paper on top of the spray tip to capture phospholipids from the sample. Significance and novelty: A novel Ti4+-modified paper was developed to allow for rapid solid-phase extraction of phospholipids from urine or selective removal from plasma, followed by direct paper spray mass spectrometric detection as a fast and convenient sample preparation and analysis combination. The paper properties are based on the Ti4+ metal ion, which can selectively bind phosphate-containing compounds under acidic conditions, and its applicability was demonstrated in relevant biological matrices.</t>
  </si>
  <si>
    <t>[Luo, Wei; Chen, Bo; Zuilhof, Han] Hunan Normal Univ, Key Lab Phytochem R&amp;D Hunan Prov, Changsha 410081, Hunan, Peoples R China; [Luo, Wei; Chen, Bo; Zuilhof, Han] Hunan Normal Univ, Key Lab Chem Biol &amp; Tradit Chinese Med Res, Minist Educ, Changsha 410081, Peoples R China; [Luo, Wei; Beek, Teris A. van; Zuilhof, Han; Salentijn, Gert IJ.] Wageningen Univ, Lab Organ Chem, NL-6708 WE Wageningen, Netherlands; [Salentijn, Gert IJ.] Wageningen Univ &amp; Res, Wageningen Food Safety Res WFSR, NL-6700 AE Wageningen, Netherlands</t>
  </si>
  <si>
    <t>Hunan Normal University; Hunan Normal University; Wageningen University &amp; Research; Wageningen University &amp; Research</t>
  </si>
  <si>
    <t>Chen, B; Zuilhof, H (corresponding author), Hunan Normal Univ, Key Lab Phytochem R&amp;D Hunan Prov, Changsha 410081, Hunan, Peoples R China.;Chen, B; Zuilhof, H (corresponding author), Hunan Normal Univ, Key Lab Chem Biol &amp; Tradit Chinese Med Res, Minist Educ, Changsha 410081, Peoples R China.;Zuilhof, H; Salentijn, GI (corresponding author), Wageningen Univ, Lab Organ Chem, NL-6708 WE Wageningen, Netherlands.</t>
  </si>
  <si>
    <t>dr-chenpo@vip.sina.com; Han.Zuilhof@wur.nl; gert.salentijn@wur.nl</t>
  </si>
  <si>
    <t>Salentijn, Gert/0000-0002-2870-9084</t>
  </si>
  <si>
    <t>National Natural Science Foundation of China [22276050, 22276049]; China Scholarship Council; Hunan Province [2015JC1001]; Hunan Province 100 experts project; Dutch Research Council (NWO) [17328]</t>
  </si>
  <si>
    <t>National Natural Science Foundation of China(National Natural Science Foundation of China (NSFC)); China Scholarship Council(China Scholarship Council); Hunan Province; Hunan Province 100 experts project; Dutch Research Council (NWO)(Netherlands Organization for Scientific Research (NWO))</t>
  </si>
  <si>
    <t>This work was supported by the National Natural Science Foundation of China (22276050, 22276049) , the China Scholarship Council 2020 International Cooperation Training Program for Innovative Talents, the Aid Program for S &amp; amp; T innovation research team in higher education in- stitutions, the construction program of key disciplines of Hunan Province (2015JC1001) , and the Hunan Province 100 experts project. Gert Salentijn acknowledges financial support from the Dutch Research Council (NWO) (Veni grant 17328) .</t>
  </si>
  <si>
    <t>0003-2670</t>
  </si>
  <si>
    <t>1873-4324</t>
  </si>
  <si>
    <t>ANAL CHIM ACTA</t>
  </si>
  <si>
    <t>Anal. Chim. Acta</t>
  </si>
  <si>
    <t>OCT 16</t>
  </si>
  <si>
    <t>10.1016/j.aca.2023.341673</t>
  </si>
  <si>
    <t>Q9SB6</t>
  </si>
  <si>
    <t>WOS:001060831500001</t>
  </si>
  <si>
    <t>Spiridon, A; Oburger, E; Valadbeigi, Y; Kloimbock, T; Stanetty, C; Kratena, N; Draskovits, M; Causon, T; Hann, S</t>
  </si>
  <si>
    <t>Spiridon, Andreea; Oburger, Eva; Valadbeigi, Younes; Kloeimbock, Tobias; Stanetty, Christian; Kratena, Nicolas; Draskovits, Markus; Causon, Tim; Hann, Stephan</t>
  </si>
  <si>
    <t>Surveying the mugineic acid family: Ion mobility - quadrupole time-of-flight mass spectrometry (IM-QTOFMS) characterization and tandem mass spectrometry (LC-ESI-MS/MS) quantification of all eight naturally occurring phytosiderophores</t>
  </si>
  <si>
    <t>Phytosiderophores; Ion mobility-mass spectrometry; Collision cross-section; LC-ESI-MS/MS; Graminaceous plants; Fe plant nutrition</t>
  </si>
  <si>
    <t>POROUS GRAPHITIC CARBON; IRON ACQUISITION; 2-DEOXYMUGINEIC ACID; PRACTICAL SYNTHESIS; STATIONARY-PHASE; ROOT EXUDATION; CHROMATOGRAPHY; COMPLEXES; MS; BARLEY</t>
  </si>
  <si>
    <t>Phytosiderophores (PS) are root exudates released by grass species (Poaceae) that play a pivotal role in iron (Fe) plant nutrition. A direct determination of PS in biological samples is of paramount importance in understanding micronutrient acquisition mediated by PS. To date, eight plant-born PS have been identified; however, no analytical procedure is currently available to quantify all eight PS simultaneously with high analytical confidence. With access to the full set of PS standards for the first time, we report comprehensive methods to both fully characterize (IM-QTOFMS) and quantify (LC-ESI-MS/MS) all eight naturally occurring PS belonging to the mugineic acid family. The quantitative method was fully validated, yielding linear results for all eight analytes, and no unwanted interferences with soil and plant matrices were observed. LOD and LOQ values determined for each PS were below 11 and 35 nmol L-1, respectively. The method's precision under reproducibility conditions (intra-and inter-day) of measurement was less than 2.5% RSD for all analytes. Additionally, all PS were annotated with high-resolution mass spectrometric fragment spectra and further characterized via drift tube ion mobility-mass spectrometry. The collision cross-sections obtained for primary ion species yielded a valuable database for future research focused on in-depth PS studies. The new quantitative method was applied to analyse root exudates from Fe-controlled and deficient barley, oat, rye, and sorghum plants. All eight PS, including mugineic acid (MA), 3-hydroxymugineic acid (HMA), 3-epi-hydroxymugineic acid (epi-HMA), hydroxyavenic acid (HAVA), deoxymugineic acid (DMA), 3-hydroxydeoxymugineic acid (HDMA), 3-epi-hydroxydeox-ymugineic acid (epi-HDMA) and avenic acid (AVA) were for the first time successfully identified and quantified in root exudates of various graminaceous plants using a single analytical procedure. These newly developed methods can be applied to studies aimed at improving crop yield and micronutrient grain content for food consumption via plant-based biofortification.</t>
  </si>
  <si>
    <t>[Spiridon, Andreea; Oburger, Eva; Kloeimbock, Tobias] Univ Nat Resources &amp; Life Sci, Inst Soil Res, Dept Forest &amp; Soil Sci, Konrad Lorenz Str 24-1, A-3430 Tulln An Der Donau, Austria; [Stanetty, Christian; Kratena, Nicolas; Draskovits, Markus] Vienna Univ Technol TU Wien, Inst Appl Synthet Chem, Getreidemarkt 9, A-1060 Vienna, Austria; [Valadbeigi, Younes; Causon, Tim; Hann, Stephan] Univ Nat Resources &amp; Life Sci, Inst Analyt Chem, Dept Chem, Muthgasse 18, A-1190 Vienna, Austria</t>
  </si>
  <si>
    <t>University of Natural Resources &amp; Life Sciences, Vienna; Technische Universitat Wien; University of Natural Resources &amp; Life Sciences, Vienna</t>
  </si>
  <si>
    <t>Hann, S (corresponding author), Univ Nat Resources &amp; Life Sci, Inst Analyt Chem, Dept Chem, Muthgasse 18, A-1190 Vienna, Austria.</t>
  </si>
  <si>
    <t>Stephan.Hann@boku.ac.at</t>
  </si>
  <si>
    <t>European Research Council ERC [801954]; Austrian Science Fund (FWF) [M 2938]; European Research Council (ERC) [801954] Funding Source: European Research Council (ERC)</t>
  </si>
  <si>
    <t>European Research Council ERC(European Research Council (ERC)Spanish Government); Austrian Science Fund (FWF)(Austrian Science Fund (FWF)); European Research Council (ERC)(European Research Council (ERC)Spanish Government)</t>
  </si>
  <si>
    <t>This work was supported by the European Research Council ERC Starting Grant 801954 PhytoTrace. BOKU Core Facility Mass Spectrometry is acknowledged for providing instrumentation. The computational results presented have been obtained using the Vienna Scientific Cluster (VSC) . YV thanks the Austrian Science Fund (FWF) for the Lise Meitner Fellowship M 2938.</t>
  </si>
  <si>
    <t>10.1016/j.aca.2023.341718</t>
  </si>
  <si>
    <t>Q9OF5</t>
  </si>
  <si>
    <t>WOS:001060730800001</t>
  </si>
  <si>
    <t>Alotaibi, S; Nazari, MA</t>
  </si>
  <si>
    <t>Alotaibi, Sorour; Nazari, Mohammad Alhuyi</t>
  </si>
  <si>
    <t>District cooling in the Middle East &amp; North Africa; history, current status, and future opportunities</t>
  </si>
  <si>
    <t>District cooling; Energy consumption; MENA region; Renewable energies</t>
  </si>
  <si>
    <t>PERFORMANCE ASSESSMENT; RESIDENTIAL BUILDINGS; ABSORPTION CHILLERS; OPTIMAL-DESIGN; SAUDI-ARABIA; ENERGY; SYSTEM; OPTIMIZATION; TECHNOLOGY; EFFICIENCY</t>
  </si>
  <si>
    <t>Air conditioners are responsible for substantial portion of electricity consumption all around the world. It is anticipated to require more cooling load in near future due to the global warming, population increment and increased tendency toward better life quality. In this regard, it is crucial to make use and develop more efficient systems for cooling particularly in hot and arid regions. District Cooling (DC) systems have significantly higher efficiency and lower energy con-sumption in comparison with the traditional cooling technologies. Owing to hot climate in the majority of the Middle East &amp; North Africa (MENA) region, utilization of DC systems would be in-credibly attractive option. In this article, status of DC systems in the countries of the MENA re-gions is represented and discussed and the planned future projects are represented. Furthermore, challenges and opportunities related to the development of these systems are provided. In order to get the required information, different sources such as the data provided by the companies and institutes working on the development of cooling technologies and responsible of it in this region in addition to the publications on the relevant subjects are used. Although there are some huge projects under construction and planning or operation in some of the countries like Qatar, the United Arab Emirates (UAE) and Saudi Arabia, there is not any plan for development of these sys-tems in some other countries such as Iraq. Furthermore, opportunities and challenges related to the development of these systems in the MENA region are provided. The findings of the present work would be beneficial for the policymakers and scholars working on the relevant subjects.</t>
  </si>
  <si>
    <t>[Alotaibi, Sorour] Kuwait Univ, Coll Engn &amp; Petr, Mech Engn Dept, POB 5969, Safat 13060, Kuwait; [Nazari, Mohammad Alhuyi] Univ Tehran, Fac New Sci &amp; Technol, Tehran, Iran</t>
  </si>
  <si>
    <t>Kuwait University; University of Tehran</t>
  </si>
  <si>
    <t>Alotaibi, S (corresponding author), Kuwait Univ, Coll Engn &amp; Petr, Mech Engn Dept, POB 5969, Safat 13060, Kuwait.</t>
  </si>
  <si>
    <t>sr.alotaibi@ku.edu.kw</t>
  </si>
  <si>
    <t>Kuwait University [EM03/21]</t>
  </si>
  <si>
    <t>Kuwait University</t>
  </si>
  <si>
    <t>This work was supported and funded by Kuwait University, research project No. (EM03/21) .</t>
  </si>
  <si>
    <t>OCT 15</t>
  </si>
  <si>
    <t>10.1016/j.jobe.2023.107522</t>
  </si>
  <si>
    <t>R2MI8</t>
  </si>
  <si>
    <t>WOS:001062735900001</t>
  </si>
  <si>
    <t>Aubanel, L; Delloro, F</t>
  </si>
  <si>
    <t>Aubanel, Laurent; Delloro, Francesco</t>
  </si>
  <si>
    <t>Tribological behavior of steel-based composite coatings produced by cold spray</t>
  </si>
  <si>
    <t>SURFACE &amp; COATINGS TECHNOLOGY</t>
  </si>
  <si>
    <t>Low friction; Wear-resistant coating; Cold spray; Metal matrix composites; Surface texture; Tribochemistry</t>
  </si>
  <si>
    <t>SLIDING WEAR BEHAVIOR; BOUNDARY LUBRICATION; TEMPERATURE; MODTC; FRICTION; PERFORMANCE; MECHANISMS; ZDDP; MICROSTRUCTURE; PROPERTY</t>
  </si>
  <si>
    <t>This study investigates the microstructure, the mechanical properties, the topography and the tribological behavior of a composite coating obtained by cold spray, as a potential candidate for its use in internal combustion engines in the automotive sector. The coating consists of a 410 L matrix and M2 tool steel reinforcements. For comparison, a single component 410 L cold sprayed coating and a wire arc coating, used in some of today's car engines, are also studied. Post-spraying, the coatings underwent specific surface finishing. Their microstructure and topographies were observed. A lubricated reciprocating sliding test was performed, resulting in an exceptionally low friction coefficient and negligible wear, even in harsh conditions for the composite coating. The analyses revealed that the surface finish creates protuberances due to the presence of hard M2 particles, activating a series of mechanisms bringing to the stabilization of a tribofilm. This can be considered responsible for the exceptional tribological properties observed. This study proposes the application of surface textures with protuberances, in particular, their use in lubricated contacts in presence of fully formulated oils, and how cold spray is a suitable process to easily produce them.</t>
  </si>
  <si>
    <t>[Aubanel, Laurent; Delloro, Francesco] Ctr Materiaux, CNRS, UMR 7633, Mines Paris PSL, BP 87, F-91003 Evry, France; [Aubanel, Laurent] RENAULT Technoctr, 1 Ave Golf, F-78288 Guyancourt, France</t>
  </si>
  <si>
    <t>Centre National de la Recherche Scientifique (CNRS); CNRS - Institute for Engineering &amp; Systems Sciences (INSIS); UDICE-French Research Universities; Universite PSL; MINES ParisTech; Renault SA</t>
  </si>
  <si>
    <t>Delloro, F (corresponding author), Ctr Materiaux, CNRS, UMR 7633, Mines Paris PSL, BP 87, F-91003 Evry, France.</t>
  </si>
  <si>
    <t>laurent.aubanel@minesparis.psl.eu; francesco.delloro@minesparis.psl.eu</t>
  </si>
  <si>
    <t>0257-8972</t>
  </si>
  <si>
    <t>1879-3347</t>
  </si>
  <si>
    <t>SURF COAT TECH</t>
  </si>
  <si>
    <t>Surf. Coat. Technol.</t>
  </si>
  <si>
    <t>10.1016/j.surfcoat.2023.129815</t>
  </si>
  <si>
    <t>Materials Science, Coatings &amp; Films; Physics, Applied</t>
  </si>
  <si>
    <t>O9JH7</t>
  </si>
  <si>
    <t>WOS:001046904500001</t>
  </si>
  <si>
    <t>Bai, Y; Li, SG; Zhou, JX; Liu, MH; Guo, Q</t>
  </si>
  <si>
    <t>Bai, Yu; Li, Shenggong; Zhou, Junxiong; Liu, Menghang; Guo, Qun</t>
  </si>
  <si>
    <t>Revisiting vegetation activity of Mongolian Plateau using multiple remote sensing datasets</t>
  </si>
  <si>
    <t>AGRICULTURAL AND FOREST METEOROLOGY</t>
  </si>
  <si>
    <t>Vegetation activity; Mongolian Plateau; Climate change; Spatio-temporal change</t>
  </si>
  <si>
    <t>GROSS PRIMARY PRODUCTIVITY; INDUCED CHLOROPHYLL FLUORESCENCE; CARBON-DIOXIDE FLUXES; PLANT PHENOLOGY; CLIMATE-CHANGE; LONG-TERM; GRASSLAND; DYNAMICS; GROWTH; TEMPERATURE</t>
  </si>
  <si>
    <t>In-depth understanding of the changes and characteristics of vegetation activity on the Mongolian Plateau (MP) is essential to address climate change in temperate regions and even globally, but the seasonal dynamics and spatial patterns of vegetation activity have not been fully investigated. To this end, we used different types of satellite vegetation datasets from 2001 to 2020, namely, gross primary production (GPP), solar-induced chlorophyll fluorescence (SIF), and normalized difference vegetation index (NDVI), in conjunction with environmental factor datasets, then we investigated the interaction between vegetation activity of the MP and environmental factors. The spatial pattern of vegetation activity in JJA exhibited obvious spatial heterogeneity, which mainly manifested that strong vegetation activity occurred mostly in the northeast and north MP, while weak vegetation activity occurred in the southeast MP, and this pattern was closely related to hydrothermal conditions. Vegetation activity mainly exhibited an increasing or stable trend on the MP in JJA. By exploring the changes in JJA vegetation activity and its trends over the last 20 years, we found that vegetation activity in the study area is predominantly positively correlated with temperature (Tem) and negatively correlated with vapor pressure deficit (VPD) and deep soil moisture (SM). Additionally, the trends of wind speed, solar radiation, and deep SM made significant contributions to the trend in vegetation activity, suggesting that water availability has an important influence on vegetation change. Clarifying the effects of environmental factors on vegetation activity is fundamental to understanding the impact of climate change on vegetation.</t>
  </si>
  <si>
    <t>[Bai, Yu; Li, Shenggong; Guo, Qun] Chinese Acad Sci, Inst Geog Sci &amp; Nat Resources Res, Key Lab Ecosyst Network Observat &amp; Modeling, 11 Datun Rd, Beijing 100101, Peoples R China; [Bai, Yu; Liu, Menghang] Univ Chinese Acad Sci, Beijing 100190, Peoples R China; [Li, Shenggong; Guo, Qun] Univ Chinese Acad Sci, Coll Resources &amp; Environm, Beijing 100190, Peoples R China; [Zhou, Junxiong] Univ Minnesota Twin Cities, Dept Bioprod &amp; Biosyst Engn, St Paul, MN 55108 USA; [Liu, Menghang] Chinese Acad Sci, Inst Geog Sci &amp; Nat Resources Res, Key Lab Reg Sustainable Dev Modeling, Beijing 100101, Peoples R China</t>
  </si>
  <si>
    <t>Chinese Academy of Sciences; Institute of Geographic Sciences &amp; Natural Resources Research, CAS; Chinese Academy of Sciences; University of Chinese Academy of Sciences, CAS; Chinese Academy of Sciences; University of Chinese Academy of Sciences, CAS; University of Minnesota System; University of Minnesota Twin Cities; Chinese Academy of Sciences; Institute of Geographic Sciences &amp; Natural Resources Research, CAS</t>
  </si>
  <si>
    <t>Li, SG (corresponding author), Chinese Acad Sci, Inst Geog Sci &amp; Nat Resources Res, Key Lab Ecosyst Network Observat &amp; Modeling, 11 Datun Rd, Beijing 100101, Peoples R China.;Li, SG (corresponding author), Univ Chinese Acad Sci, Coll Resources &amp; Environm, Beijing 100190, Peoples R China.</t>
  </si>
  <si>
    <t>yubaimail@163.com; lisg@igsnrr.ac.cn; zhou1743@umn.edu; liu_menghang@mail.bnu.edu.cn; guoq@igsnrr.ac.cn</t>
  </si>
  <si>
    <t>Zhou, Junxiong/ITV-0126-2023; OCO, OCO/GVS-4314-2022</t>
  </si>
  <si>
    <t>Liu, Menghang/0000-0002-2656-8724</t>
  </si>
  <si>
    <t>National Natural Science Foundation of China [31961143022]; Strategic Priority Research Program of the Chinese Academy of Sciences [XDA2003020202]</t>
  </si>
  <si>
    <t>National Natural Science Foundation of China(National Natural Science Foundation of China (NSFC)); Strategic Priority Research Program of the Chinese Academy of Sciences(Chinese Academy of Sciences)</t>
  </si>
  <si>
    <t>This work was supported by the National Natural Science Foundation of China (31961143022) , and the Strategic Priority Research Program of the Chinese Academy of Sciences (Pan-TPE, XDA2003020202) .</t>
  </si>
  <si>
    <t>0168-1923</t>
  </si>
  <si>
    <t>1873-2240</t>
  </si>
  <si>
    <t>AGR FOREST METEOROL</t>
  </si>
  <si>
    <t>Agric. For. Meteorol.</t>
  </si>
  <si>
    <t>10.1016/j.agrformet.2023.109649</t>
  </si>
  <si>
    <t>Agronomy; Forestry; Meteorology &amp; Atmospheric Sciences</t>
  </si>
  <si>
    <t>Agriculture; Forestry; Meteorology &amp; Atmospheric Sciences</t>
  </si>
  <si>
    <t>P6WS5</t>
  </si>
  <si>
    <t>WOS:001052064500001</t>
  </si>
  <si>
    <t>Barauskas, D; Pelenis, D; Dzikaras, M; Vanagas, G; Mikolaju, M; Baltrusaitis, J; Virzonis, D</t>
  </si>
  <si>
    <t>Barauskas, Dovydas; Pelenis, Donatas; Dzikaras, Mindaugas; Vanagas, Gailius; Mikolaju, Marius; Baltrusaitis, Jonas; Virzonis, Darius</t>
  </si>
  <si>
    <t>Highly selective capacitive micromachined ultrasonic transducer-based miniature gravimetric CO2 sensor with in-situ calibration for relative humidity</t>
  </si>
  <si>
    <t>Carbon dioxide sensing; Gravimetric gas sensor; Cross -selectivity in greenhouse effect gas; sensing; In -situ calibration of the gas sensor; Stability of the gravimetric gas sensor; Relative humidity and CO 2 sensing</t>
  </si>
  <si>
    <t>CARBON-DIOXIDE; FILM; SO2</t>
  </si>
  <si>
    <t>The prototype gravimetric microelectromechanical imine functionalized CO2 sensor equipped with custom electronics and significantly increased stability under sub-percent concentrations is investigated. Instabilities caused by the relative air humidity were eliminated by two in-situ calibration methods: two-channel readings correction and single-channel correction by the reference disturbance. Capacitive micromachined ultrasound transducers (CMUT) were designed for 15 MHz nominal resonance frequency, while actual sensor readings were lower (over 12 MHz) due to the functionalization. The resonance frequency of polyethyleneimine (PEI) functionalized CMUT during sub-percent CO2 detection experienced instabilities of several hundred Hz while the relative humidity of the air was changed between 10% and 35%. Readings of graphene oxide (GOx) functionalized CMUT working in parallel with PEI functionalized CMUT were used for two-channel correction, resulting in highly stable sensor output, characterized by 3.2 Hz standard deviation during almost one hour experiment, while relative humidity varied between 10% and 25%. Single channel reading correction method resulted in larger residual instability, characterized by a standard deviation of up to 36 Hz over a two-hour experiment, however, it was found to be more effective for longer humidity-induced drifts, since reference disturbance of known relative humidity of 75% maintained by saturated NaCl solution technique was used.</t>
  </si>
  <si>
    <t>[Barauskas, Dovydas; Pelenis, Donatas; Dzikaras, Mindaugas; Vanagas, Gailius; Virzonis, Darius] Kauno Technol Univ, Panevezio Fak, K Donelaicio g 73, LT-44249 Kaunas, Lithuania; [Baltrusaitis, Jonas] Lehigh Univ, Dept Chem &amp; Biomol Engn, HST Bldg 232,124 E Morton St, Bethlehem, PA 18015 USA</t>
  </si>
  <si>
    <t>Kaunas University of Technology; Lehigh University</t>
  </si>
  <si>
    <t>Virzonis, D (corresponding author), Kauno Technol Univ, Panevezio Fak, K Donelaicio g 73, LT-44249 Kaunas, Lithuania.</t>
  </si>
  <si>
    <t>darius.virzonis@ktu.lt</t>
  </si>
  <si>
    <t>European Regional Development Fund [01.2.2-LMT-K-718-03-0023]; Research Council of Lithuania (LMTLT); UNCAGE-ME, an Energy Frontier Research Center - U.S. Department of Energy, Office of Science, Basic Energy Sciences [DE-SC0012577]</t>
  </si>
  <si>
    <t>European Regional Development Fund(European Union (EU)); Research Council of Lithuania (LMTLT)(Research Council of Lithuania (LMTLT)); UNCAGE-ME, an Energy Frontier Research Center - U.S. Department of Energy, Office of Science, Basic Energy Sciences(United States Department of Energy (DOE))</t>
  </si>
  <si>
    <t>This project has received funding from European Regional Development Fund (project No 01.2.2-LMT-K-718-03-0023) under grant agreement with the Research Council of Lithuania (LMTLT). Authors acknowledge technical support received from Panevezys mechatronics center. This work by J.B. was supported as part of UNCAGE-ME, an Energy Frontier Research Center funded by the U.S. Department of Energy, Office of Science, Basic Energy Sciences under Award No. DE-SC0012577.</t>
  </si>
  <si>
    <t>10.1016/j.snb.2023.134178</t>
  </si>
  <si>
    <t>Q6GQ2</t>
  </si>
  <si>
    <t>WOS:001058490300001</t>
  </si>
  <si>
    <t>Bardinet, J; Pouchieu, C; Chuy, V; Helmer, C; Etheve, S; Gaudout, D; Samieri, C; Berr, C; Delcourt, C; Cougnard-Gregoire, A; Feart, C</t>
  </si>
  <si>
    <t>Bardinet, Jeanne; Pouchieu, Camille; Chuy, Virginie; Helmer, Catherine; Etheve, Stephane; Gaudout, David; Samieri, Cecilia; Berr, Claudine; Delcourt, Cecile; Cougnard-Gregoire, Audrey; Feart, Catherine</t>
  </si>
  <si>
    <t>Plasma carotenoids and risk of depressive symptomatology in a population-based cohort of older adults</t>
  </si>
  <si>
    <t>Depressive symptomatology; Plasma carotenoids; Cohort; Older adults; Three-City</t>
  </si>
  <si>
    <t>VEGETABLE CONSUMPTION; US ADULTS; SYMPTOMS; NUTRITION; FRUIT; ASSOCIATION; DEMENTIA; HEALTH; SERUM; DIET</t>
  </si>
  <si>
    <t>Background: As part of a healthy diet, higher carotenoid intakes have been associated with a reduced risk of depression, mainly in adults, while prospective studies on plasma carotenoids in older adults are lacking. The aim of this study was to assess the prospective association between plasma carotenoids and the risk of Depressive Symptomatology (DS) in older adults.Methods: The study sample was based on the Three-City cohort of adults aged 65y+ free from DS at enrollment in 1999. Plasma carotenoids were measured at baseline. DS was assessed every 2-3 years over 17 years and defined by a Center for Epidemiologic Studies-Depression Scale score &amp; GE; 16 and/or by antidepressant use. The association between plasma carotenoids or carotenoid/lipids (cholesterol and triglycerides) ratio and the risk for DS was assessed through multiple random-effect logistic regression.Results: The study sample was composed of 1010 participants (mean age 74 y (&amp; PLUSMN;4.9), 58 % of women) followed -up during a median time of 13.4 years. Plasma zeaxanthin and ratios of zeaxanthin/lipids, lutein+zeaxanthin/ lipids and 0-carotene/lipids were independently associated with a significant reduced risk of DS over time (Odds ratio (OR) = 0.81, 95 % Confidence Interval (CI) [0.67;0.99], OR = 0.79 [0.67;0.98], OR = 0.79 [0.64;0.94] and OR = 0.80 [0.66;0.97] for +1 standard deviation of each exposure respectively). Limitations: Plasma carotenoids were only available at study baseline.Conclusion: Focusing on circulating carotenoids and considering lipids levels, the present results suggested an association between higher levels of plasma zeaxanthin, combined lutein+zeaxanthin and 0-carotene and a decreased risk of DS over time in older adults.</t>
  </si>
  <si>
    <t>[Bardinet, Jeanne; Chuy, Virginie; Helmer, Catherine; Samieri, Cecilia; Delcourt, Cecile; Cougnard-Gregoire, Audrey; Feart, Catherine] Univ Bordeaux, INSERM, BPH, U1219, F-33000 Bordeaux, France; [Bardinet, Jeanne; Pouchieu, Camille; Gaudout, David] Activ Inside, F-33750 Beychac et caillau, France; [Chuy, Virginie] Univ Bordeaux, Dept Dent &amp; Oral Hlth, CHU Bordeaux, F-33000 Bordeaux, France; [Helmer, Catherine] INSERM, Clin &amp; Epidemiol Res Unit, CIC1401, F-33000 Bordeaux, France; [Etheve, Stephane] DSM Nutr Prod, Kaiseraugst, Switzerland; [Berr, Claudine] Univ Montpellier, INM, INSERM, F-34091 Montpellier, France; [Bardinet, Jeanne] Univ Bordeaux Bordeaux Populat Hlth, Inserm U 1219, 146 rue Leo Saignat, F-33076 Bordeaux, France</t>
  </si>
  <si>
    <t>Institut National de la Sante et de la Recherche Medicale (Inserm); UDICE-French Research Universities; Universite de Bordeaux; UDICE-French Research Universities; Universite de Bordeaux; CHU Bordeaux; Institut National de la Sante et de la Recherche Medicale (Inserm); UDICE-French Research Universities; Universite de Bordeaux; DSM NV; Universite de Montpellier; Institut National de la Sante et de la Recherche Medicale (Inserm); UDICE-French Research Universities; Universite de Bordeaux</t>
  </si>
  <si>
    <t>Bardinet, J (corresponding author), Univ Bordeaux Bordeaux Populat Hlth, Inserm U 1219, 146 rue Leo Saignat, F-33076 Bordeaux, France.</t>
  </si>
  <si>
    <t>jeanne.bardinet.1@u-bordeaux.fr</t>
  </si>
  <si>
    <t>Delcourt, Cecile/I-2627-2013</t>
  </si>
  <si>
    <t>Delcourt, Cecile/0000-0002-2099-0481; Pouchieu, Camille/0000-0002-7373-4545</t>
  </si>
  <si>
    <t>SilverBrainFood within the framework of the Future Investment Program</t>
  </si>
  <si>
    <t>Jeanne Bardinet is supported by the grant SilverBrainFood within the framework of the Future Investment Program (Programme d'Investissements d'Avenir PIA3) , Competitiveness cluster structuring projects (Projets structurants des poles de compe'titivite', PSPC) operated by BPI France.</t>
  </si>
  <si>
    <t>10.1016/j.jad.2023.07.076</t>
  </si>
  <si>
    <t>P5TP4</t>
  </si>
  <si>
    <t>WOS:001051302600001</t>
  </si>
  <si>
    <t>Bassi, D; Iryu, Y; Kinoshita, S; Fujita, K; Pignatti, J</t>
  </si>
  <si>
    <t>Bassi, Davide; Iryu, Yasufumi; Kinoshita, Shunichi; Fujita, Kazuhiko; Pignatti, Johannes</t>
  </si>
  <si>
    <t>A new species of the larger porcelaneous foraminifer Borelis provides novel insights into Neogene to Recent western Pacific palaeobiogeographical dispersal patterns</t>
  </si>
  <si>
    <t>PALAEOGEOGRAPHY PALAEOCLIMATOLOGY PALAEOECOLOGY</t>
  </si>
  <si>
    <t>Biogeography; Kuroshio; Ryukyu Islands; Indo-Pacific Ocean; Oligocene -Miocene; Recent</t>
  </si>
  <si>
    <t>BENTHIC FORAMINIFERA; MARINE BIODIVERSITY; ASSEMBLAGES; REEF; TETHYAN; BIOGEOGRAPHY; DIVERSITY; EVOLUTION; BOUNDARY; DYNAMICS</t>
  </si>
  <si>
    <t>Only three species of alveolinoidean larger foraminifera occur in present-day tropical shallow-water marine settings. Alveolinella quoyi thrives in the Central Indo-Pacific and Eastern Indo-Pacific, Borelis pulchra in the Central and Eastern Indo-Pacific and in the central Atlantic, whereas Borelis schlumbergeri inhabits the IndoPacific Ocean. The northernmost record is that of Alveolinella quoyi from the shallow-water settings in Okinawa (central Ryukyu Islands, Japan). A new porcelaneous larger foraminiferal species, Borelis matsudai sp. nov. (Alveolinoidea, Borelinae), is established herein, based on specimens discovered in present-day shallow-water sediments from Sekisei Lagoon, southern Ryukyu Islands (Japan). This is the northernmost record of the genus in the western Indo-Pacific Warm Pool. The architectural characters of this species suggest its phylogenetic relationship with the Borelis pulchra group. A comprehensive literature survey of fossil and modern records of Borelis pulchra over the past 30 million years shows that the Middle Miocene constriction of the Indonesian Seaway and the Late Miocene-Early Pliocene restriction of the Indonesian Throughflow impacted the species-level dispersal of this species in the Indo-Australian Archipelago. Driven by the Kuroshio dispersal route Borelis matsudai sp. nov. likely appeared in the southern and central Ryukyu Islands at least from the Chibanian (Middle Pleistocene). This species represents a marginal part of a population in significant contact with its ancestor (B. pulchra), which is widespread southward since the Oligocene (Philippines). With ongoing global warming possible occurrences of Borelis matsudai sp. nov. in the northern Ryukyu Islands, where it has not yet been found, are expected. The Sekisei Lagoon represents, therefore, a biogeographical stepping stone relay station in northward migration of the shallow-water benthic organisms along the Kuroshio dispersal route.</t>
  </si>
  <si>
    <t>[Bassi, Davide] Univ Ferrara, Dipartimento Fis &amp; Sci Terra, I-44122 Ferrara, Italy; [Iryu, Yasufumi] Tohoku Univ, Inst Geol &amp; Paleontol, Grad Sch Sci, Sendai, 9808578, Japan; [Kinoshita, Shunichi] Natl Museum Nat &amp; Sci, Dept Geol &amp; Paleontol, 4-1-1 Amakubo, Tsukuba, Ibaraki 3050005, Japan; [Fujita, Kazuhiko] Univ Ryukyus, Dept Phys &amp; Earth Sci, 1 Senbaru, Nishihara, Okinawa 9030213, Japan; [Pignatti, Johannes] Univ Roma La Sapienza, Dipartimento Sci Terra, Ple A Moro 5, I-00185 Rome, Italy</t>
  </si>
  <si>
    <t>University of Ferrara; Tohoku University; National Museum of Nature and Science; University of the Ryukyus; Sapienza University Rome</t>
  </si>
  <si>
    <t>Bassi, D (corresponding author), Univ Ferrara, Dipartimento Fis &amp; Sci Terra, I-44122 Ferrara, Italy.</t>
  </si>
  <si>
    <t>bsd@unife.it; yasufumi.iryu.d8@tohoku.ac.jp; skinokoscos@gmail.com; fujitaka@sci.u-ryukyu.ac.jp; johannes.pignatti@uniroma1.it</t>
  </si>
  <si>
    <t>Iryu, Yasufumi/0000-0002-6099-0662</t>
  </si>
  <si>
    <t>local research fund of the University of Ferrara [21K 18642, 22J01445]; local research fund of the University of Ferrara (FAR 2020-2023); JSPS KAKENHI [21K 18642]; Frontier Research in Duo (FRiD) of Tohoku University; JSPS [22J01445]</t>
  </si>
  <si>
    <t>local research fund of the University of Ferrara; local research fund of the University of Ferrara (FAR 2020-2023); JSPS KAKENHI(Ministry of Education, Culture, Sports, Science and Technology, Japan (MEXT)Japan Society for the Promotion of ScienceGrants-in-Aid for Scientific Research (KAKENHI)); Frontier Research in Duo (FRiD) of Tohoku University; JSPS(Ministry of Education, Culture, Sports, Science and Technology, Japan (MEXT)Japan Society for the Promotion of Science)</t>
  </si>
  <si>
    <t>This study was supported by local research fund of the University of Ferrara (FAR 2020-2023) . This paper is a scientific contribution of the MIUR-Dipartimenti di Eccellenza 2018-2022 Project and the PRIN 2017RX9XXXY (Biota resilience to global change: biomineralization of planktic and benthic calcifiers in the past, present and future) . DB sincerely acknowledges the International Research Fellow of the Japan Society for the Promotion of Science (JSPS) at the Institute of Geology and Paleontology, Graduate School of Science, Tohoku University (Sendai, Japan) . This work was financially supported by the JSPS KAKENHI (Grant-in-Aid for Scientific Research) Grant number 21K 18642 to YI and by the Frontier Research in Duo (FRiD) of Tohoku University to YI. SK acknowledges the JSPS for the Grants-in-Aid (No. 22J01445) . Dr. Hiroshi Fujioka is thanked for the SEM analysis. Reviews and comments by the Editor (Mary Elliot) and an anonymous reviewer are much appreciated.</t>
  </si>
  <si>
    <t>0031-0182</t>
  </si>
  <si>
    <t>1872-616X</t>
  </si>
  <si>
    <t>PALAEOGEOGR PALAEOCL</t>
  </si>
  <si>
    <t>Paleogeogr. Paleoclimatol. Paleoecol.</t>
  </si>
  <si>
    <t>10.1016/j.palaeo.2023.111764</t>
  </si>
  <si>
    <t>Geography, Physical; Geosciences, Multidisciplinary; Paleontology</t>
  </si>
  <si>
    <t>Physical Geography; Geology; Paleontology</t>
  </si>
  <si>
    <t>S4GV2</t>
  </si>
  <si>
    <t>WOS:001070777200001</t>
  </si>
  <si>
    <t>Benyahia, N; Menad, A; Zaoui, A; Ferhat, M</t>
  </si>
  <si>
    <t>Benyahia, N.; Menad, A.; Zaoui, A.; Ferhat, M.</t>
  </si>
  <si>
    <t>Structural, dynamical and thermodynamical stability of Cd1-xZnxS ternary systems</t>
  </si>
  <si>
    <t>PHYSICA B-CONDENSED MATTER</t>
  </si>
  <si>
    <t>CdZnS alloys; Evolutionary algorithm; Density functional theory (DFT); Optical bandgap bowing parameter</t>
  </si>
  <si>
    <t>BAND-GAP; THIN-FILMS; OPTICAL-PROPERTIES; PHASE-TRANSITION; ZINC BLENDE; PRESSURE; DENSITY; WURTZITE; GROWTH; ENERGY</t>
  </si>
  <si>
    <t>Cd1-xZnxS alloys are currently explored as one class of the most promising for producing hydrogen energy under visible-light irradiation. Here, using an ab intio evolutionary algorithm, we reveal that CdS-ZnS systems can form nearly thermodynamically stable crystal phases of Cd3ZnS4 (P-43m), CdZnS2 (P-4m2), and CdZn3S4 (P-43m), with low miscibility temperatures of 130 degrees C. By decomposing the formation enthalpy of the alloys into multiple contributions, it is found that electronic charge exchange plays a key role in controlling the weak thermodynamic instability of Cd1-xZnxS alloys. Phonon dispersion and elastic constants calculations were carried out to demonstrate the dynamical and mechanical stabilities of these structures. The bandgap in CdZnS alloys is tunable from wide direct bandgaps of 2.54eV (CdS) &amp; RARR; 2.70eV (Cd3ZnS4) &amp; RARR;2.93eV (CdZnS2) &amp; RARR; 3.33eV (CdZn3S4) &amp; RARR; 3.86eV (ZnS), with a nonlinear dependence on the composition. We found a medium-sized optical bandgap bowing of -1eV and -0.7eV; while considering respectively the wurtzite (WZ) and zinc-blend (ZB) crystal phases as reference of the compounds parents CdS and ZnS. The bowing has a remarkable contribution due to the structural volume-deformation effect; whereas charge exchange contribution is found relatively weak.</t>
  </si>
  <si>
    <t>[Benyahia, N.; Menad, A.; Ferhat, M.] Univ Sci &amp; Technol Oran, LPMF, Dept Genie Phys, Mohamed Boudiaf Oran, Algeria; [Menad, A.] Univ Abdelhamid Ibn Badis, Lab Struct Elaborat &amp; Applicat Mat Mol, SEA2M, Mostaganem, Algeria; [Zaoui, A.] Univ Artois, Univ Lille, IMT Nord Europe, JUNIA,ULR 4515,LGCgE Lab Genie Civil &amp; Geoenvironm, F-59000 Lille, France; [Zaoui, A.] Univ Lille, LGCgE, ESPRIT Bldg, F-59655 Villeneuve DAscq, France</t>
  </si>
  <si>
    <t>Universite des Sciences et de la Technologie d'Oran Mohamed Boudiaf; Universite Abdelhamid Ibn Badis de Mostaganem; Universite d'Artois; Universite de Lille - ISITE; Universite de Lille; Universite de Lille - ISITE; Universite de Lille</t>
  </si>
  <si>
    <t>Zaoui, A (corresponding author), Univ Lille, LGCgE, ESPRIT Bldg, F-59655 Villeneuve DAscq, France.</t>
  </si>
  <si>
    <t>azaoui@polytech-lille.fr</t>
  </si>
  <si>
    <t>0921-4526</t>
  </si>
  <si>
    <t>1873-2135</t>
  </si>
  <si>
    <t>PHYSICA B</t>
  </si>
  <si>
    <t>Physica B</t>
  </si>
  <si>
    <t>10.1016/j.physb.2023.415211</t>
  </si>
  <si>
    <t>Physics, Condensed Matter</t>
  </si>
  <si>
    <t>R9KK7</t>
  </si>
  <si>
    <t>WOS:001067466700001</t>
  </si>
  <si>
    <t>Bodini, I; Zani, N; Petrogalli, C; Mazzu, A; Kato, T; Makino, T</t>
  </si>
  <si>
    <t>Bodini, Ileana; Zani, Nicola; Petrogalli, Candida; Mazzu, Angelo; Kato, Takanori; Makino, Taizo</t>
  </si>
  <si>
    <t>Damage assessment in a wheel steel under alternated dry-lubricated contact by an innovative vision system</t>
  </si>
  <si>
    <t>Railway wheel steel; Rolling contact tests; Damage monitoring; Vision system; Dry-wet contact</t>
  </si>
  <si>
    <t>CRACK-PROPAGATION; FATIGUE; WEAR; MECHANISMS</t>
  </si>
  <si>
    <t>The alternation of dry and wet contact causes a complex interaction of various damage mechanisms in railway wheels. To study the damage evolution in such condition, rolling-sliding contact tests in alternated dry-wet contact were carried out by a bi-disc machine on specimens extracted from railway wheels. The effect of different durations of the dry and wet sessions was investigated. Two kinds of tests were done: in one case coupling two cylindrical specimens, in the other one coupling a cylindrical specimen with a crowned one. The surface appearance during the tests was acquired by a vision system; the acquired images were elaborated to extract quantitative damage indexes. At the end of the tests, the specimens were cut and analysed, to evaluate the subsurface damage and the strain hardening.In cylindrical-cylindrical coupling, the damage increased in alternated dry-wet sessions as far as the cycle number increased, whereas it was stabilized in long dry sessions. The prevailing phenomenon, occurring during the wet sessions, was fatigue, promoted by the pressurization of the water entrapped in the cracks previously formed in dry contact.In crowned-cylindrical couplings, the damage tended to decrease as far as the cycles increased, in all the test conditions. This was correlated to the widening of the contact patch caused by wear, which led to an overall stress relaxation, this way mitigating the damage.The results highlighted the double role of wear, which alters the optimum wheel profile, but at the meantime relaxes the overall stress state and mitigates rolling contact fatigue.</t>
  </si>
  <si>
    <t>[Bodini, Ileana; Zani, Nicola; Petrogalli, Candida; Mazzu, Angelo] Univ Brescia, Dept Mech &amp; Ind Engn, Brescia, Italy; [Kato, Takanori; Makino, Taizo] Nippon Steel Corp Ltd, Steel Res Lab, Amagasaki, Japan</t>
  </si>
  <si>
    <t>University of Brescia; Nippon Steel &amp; Sumitomo Metal Corporation</t>
  </si>
  <si>
    <t>Mazzu, A (corresponding author), Univ Brescia, Dept Mech &amp; Ind Engn, Brescia, Italy.</t>
  </si>
  <si>
    <t>angelo.mazzu@unibs.it</t>
  </si>
  <si>
    <t>Mazzu', Angelo/0000-0002-6074-3143</t>
  </si>
  <si>
    <t>10.1016/j.wear.2023.205064</t>
  </si>
  <si>
    <t>P5VN0</t>
  </si>
  <si>
    <t>WOS:001051352200001</t>
  </si>
  <si>
    <t>Chernin, L; Guobys, R; Vilnay, M</t>
  </si>
  <si>
    <t>Chernin, Leon; Guobys, Raimondas; Vilnay, Margi</t>
  </si>
  <si>
    <t>Factors affecting the procedure for testing cavitation erosion of GFRP composites using an ultrasonic transducer</t>
  </si>
  <si>
    <t>Ultrasonic cavitation erosion; Glass fibre reinforced polymer (GFRP); composite; Experimental setup and procedure; Specimen material properties</t>
  </si>
  <si>
    <t>MOISTURE ABSORPTION; WATER-ABSORPTION; GLASS; TEMPERATURE; GLASS/EPOXY; ENVIRONMENT; RESISTANCE; SEAWATER</t>
  </si>
  <si>
    <t>In many marine applications, glass fibre reinforced polymer (GFRP) composites are exposed to adverse environmental effects including cavitation. Prolonged exposure to cavitation can damage GFRP composite surfaces that would eventually require repairing or replacing marine device components. This study initially investigates the deterioration of GFRP composite and its constituent materials (i.e., epoxy and glass) by cavitation erosion. The cavitation cloud is produced by an ultrasonic transducer, and cavitation erosion tests adhered to ASTM G32-16 standard. It is shown that the erosion process of GFRP composite has characteristics of both epoxy and glass. The second part of this study investigates the effect of several parameters associated with the experimental setup, testing procedure and material properties on ultrasonic cavitation erosion of GFRP composite. These parameters include gas content in testing liquid, type of specimen support, specimen water absorption, acoustic impedance, and tensile strength. It is reported that specimen edge treatment influenced water absorption, specimen preconditioning was important for accurate recording of erosion damage accumulation, acoustic impedance and tensile strength were directly correlated with erosion damage, while the cavitation erosion process of GFRP composite was mostly insensitive to gas content in testing liquid but was significantly affected by the type of specimen support.</t>
  </si>
  <si>
    <t>[Chernin, Leon; Guobys, Raimondas; Vilnay, Margi] Univ Dundee, Sch Sci &amp; Engn, Dundee, Scotland</t>
  </si>
  <si>
    <t>University of Dundee</t>
  </si>
  <si>
    <t>Chernin, L (corresponding author), Univ Dundee, Sch Sci &amp; Engn, Dundee, Scotland.</t>
  </si>
  <si>
    <t>l.chernin@dundee.ac.uk</t>
  </si>
  <si>
    <t>Vilnay, Margi/0000-0003-3916-8153</t>
  </si>
  <si>
    <t>10.1016/j.wear.2023.205059</t>
  </si>
  <si>
    <t>P5RV7</t>
  </si>
  <si>
    <t>WOS:001051256800001</t>
  </si>
  <si>
    <t>Cuijpers, P; Miguel, C; Ciharova, M; Harrer, M; Moir, F; Roskvist, R; van Straten, A; Karyotaki, E; Arroll, B</t>
  </si>
  <si>
    <t>Cuijpers, Pim; Miguel, Clara; Ciharova, Marketa; Harrer, Mathias; Moir, Fiona; Roskvist, Rachel; van Straten, Annemieke; Karyotaki, Eirini; Arroll, Bruce</t>
  </si>
  <si>
    <t>Psychological treatment of adult depression in primary care compared with outpatient mental health care: A meta-analysis</t>
  </si>
  <si>
    <t>PUBLICATION BIAS; DISORDERS; PSYCHOTHERAPIES; THERAPY</t>
  </si>
  <si>
    <t>Background: It is not yet known whether psychological treatments of depression in primary care have comparable effects to treatments in specialized mental health care. We conducted a meta-analysis comparing randomized controlled trials in primary and specialized care. Methods: We selected studies from an existing database of randomized trials of psychological treatments of depression in adults, which was built through searches in PubMed, PsychINFO, Embase and the Cochrane Library. Random effects meta-analyses were conducted to examine the effects of therapies and mixed effects sub-group analyses were used to compare the effects in primary and specialized care. Results: We included 52 trials (7984 patients) in primary care and compared them with 50 trials (3685 patients) in specialized care. The main effect of therapies in primary care was g = 0.43 (95 % CI: 0.32; 0.53; PI: 0.18; 1.03). The overall effects were significantly smaller than those in specialized care (p = 0.006), but this was no longer significant after adjustment for differences between the two settings. The proportion of patients responding to treatment was comparable in primary (0.38; 95 % CI: 0.33; 0.43) and specialized care (0.34; 95 % CI: 0.28; 0.41; p = 0.41), but higher in control conditions in primary care (0.25; 95 % CI: 0.22; 0.28) compared to specialized care (0.16; 95 % CI: 0.12; 0.20; p &lt; 0.001). Discussion: Psychological treatments are effective in primary care, but somewhat less than in specialized care. Response rates in control conditions in primary care are higher than in specialized care, which may point at a transient nature of depression in primary care.</t>
  </si>
  <si>
    <t>[Cuijpers, Pim; Miguel, Clara; Ciharova, Marketa; van Straten, Annemieke; Karyotaki, Eirini] Vrije Univ, Amsterdam Publ Hlth Res Inst, Dept Clin Neuro &amp; Dev Psychol, Amsterdam, Netherlands; [Cuijpers, Pim] Babe? Bolyai Univ, Int Inst Psychotherapy, Cluj napoca, Romania; [Harrer, Mathias] Tech Univ Munich, Psychol &amp; Digital Mental Hlth Care, Munich, Germany; [Harrer, Mathias] Univ Erlangen Nurnberg, Clin Psychol &amp; Psychotherapy, Nurnberg, Germany; [Moir, Fiona; Roskvist, Rachel; Arroll, Bruce] Univ Auckland, Dept Gen Practice &amp; Primary Hlth Care, Auckland, New Zealand; [Cuijpers, Pim] Vrije Univ Amsterdam, Amsterdam Publ Hlth Res Inst, Dept Clin Neuro &amp; Dev Psychol, Clin Psychol, Boechorststr 7-9, NL-1081 BT Amsterdam, Netherlands</t>
  </si>
  <si>
    <t>Vrije Universiteit Amsterdam; Babes Bolyai University from Cluj; Technical University of Munich; University of Erlangen Nuremberg; University of Auckland; Vrije Universiteit Amsterdam</t>
  </si>
  <si>
    <t>Cuijpers, P (corresponding author), Vrije Univ Amsterdam, Amsterdam Publ Hlth Res Inst, Dept Clin Neuro &amp; Dev Psychol, Clin Psychol, Boechorststr 7-9, NL-1081 BT Amsterdam, Netherlands.</t>
  </si>
  <si>
    <t>p.cuijpers@vu.nl</t>
  </si>
  <si>
    <t>Miguel, Clara/0000-0001-5563-5896; Ciharova, Marketa/0000-0002-7131-1549; van Straten, Annemieke/0000-0001-6875-2215</t>
  </si>
  <si>
    <t>10.1016/j.jad.2023.07.011</t>
  </si>
  <si>
    <t>Q8CY6</t>
  </si>
  <si>
    <t>WOS:001059759400001</t>
  </si>
  <si>
    <t>Dai, Y; Xu, W; Hong, JQ; Zheng, YN; Fan, HZ; Zhang, J; Fei, JW; Zhu, WY; Hong, JL</t>
  </si>
  <si>
    <t>Dai, Yin; Xu, Wei; Hong, Junqiang; Zheng, Yani; Fan, Huizhu; Zhang, Jun; Fei, Jianwen; Zhu, Wanying; Hong, Junli</t>
  </si>
  <si>
    <t>A molecularly imprinted ratiometric fluorescence sensor based on blue/red carbon quantum dots for the visual determination of thiamethoxam</t>
  </si>
  <si>
    <t>Thiamethoxam; Carbon dots; Ratiometric fluorescence sensor; Molecular imprinting polymers; Visual detection; Smartphone</t>
  </si>
  <si>
    <t>CHROMATOGRAPHY; POLYMER</t>
  </si>
  <si>
    <t>Neonicotinoids such as thiamethoxam (TMX) were widely used in agricultural production and tended to accu-mulate in the environment, potentially harming human and ecosystem health. To enable widespread monitoring of TMX residues, it was essential to design a reliable and sensitive detection method. Here, we developed a novel smartphone-enablled molecularly imprinted ratiometric fluorescence sensing system for selective on-site detection of TMX. It was based on blue-emission carbon dots (CDs) wrapped with a molecularly imprinted layer (B-CDs@MIPs), which provided the response signal, while red-emission CDs (R-CDs) served as an internal reference. The fluorescence signal ratio of the sensor increased with the TMX concentration, resulting in an obvious fluorescence color change from red to blue. The sensor exhibited a satisfactory limit of detection (LOD) of 13.5 nM in fluorescence analysis while LOD of 70.1 nM in visual determination. In addition, the sensing system was validated using food and environment samples, exhibiting recoveries from 91.40% to 105.7%, indicating excellent reliability for TMX detection in actual samples. Thus, the sensing system developed in this study offered promising prospects for visual detection of pesticide residues in complex environmental samples.</t>
  </si>
  <si>
    <t>[Dai, Yin; Xu, Wei; Zheng, Yani; Fan, Huizhu; Zhang, Jun; Fei, Jianwen; Zhu, Wanying; Hong, Junli] Nanjing Med Univ, Sch Pharm, Nanjing 211166, Jiangsu, Peoples R China; [Hong, Junqiang] Fujian Med Univ, Dept Radiotherapy, Affiliated Xiamen Humanity Hosp, Xiamen 361000, Fujian, Peoples R China</t>
  </si>
  <si>
    <t>Nanjing Medical University; Fujian Medical University</t>
  </si>
  <si>
    <t>Hong, JL (corresponding author), Nanjing Med Univ, Sch Pharm, Nanjing 211166, Jiangsu, Peoples R China.</t>
  </si>
  <si>
    <t>junlihong@njmu.edu.cn</t>
  </si>
  <si>
    <t>Medical Research Foundation of JiangsuCommission of Health [Z2020009]; China Postdoctoral Science Foundation [2017M621789]; National Natural Science Foun-dation of China [81202853]</t>
  </si>
  <si>
    <t>Medical Research Foundation of JiangsuCommission of Health; China Postdoctoral Science Foundation(China Postdoctoral Science Foundation); National Natural Science Foun-dation of China(National Natural Science Foundation of China (NSFC))</t>
  </si>
  <si>
    <t>Acknowledgment This work was supported by Medical Research Foundation of JiangsuCommission of Health (No. Z2020009) , China Postdoctoral Science Foundation (No. 2017M621789) and National Natural Science Foun-dation of China (No. 81202853) .</t>
  </si>
  <si>
    <t>10.1016/j.bios.2023.115559</t>
  </si>
  <si>
    <t>P6VO7</t>
  </si>
  <si>
    <t>WOS:001052034700001</t>
  </si>
  <si>
    <t>Dhar, K; Abinandan, S; Sana, T; Venkateswarlu, K; Megharaj, M</t>
  </si>
  <si>
    <t>Dhar, Kartik; Abinandan, Sudharsanam; Sana, Tanmoy; Venkateswarlu, Kadiyala; Megharaj, Mallavarapu</t>
  </si>
  <si>
    <t>Anaerobic biodegradation of phenanthrene and pyrene by sulfate-reducing cultures enriched from contaminated freshwater lake sediments</t>
  </si>
  <si>
    <t>Polycyclic aromatic hydrocarbon; Anaerobic biodegradation; Sulfate-reducing bacteria; Desulfovibrio sp; Phenanthrene-2-carboxylic acid</t>
  </si>
  <si>
    <t>POLYCYCLIC AROMATIC-HYDROCARBONS; HYDROGEN-SULFIDE; GEN. NOV.; DEGRADATION; METABOLISM; NAPHTHALENE; BACTERIUM; BENZENE; BIOREMEDIATION; REDUCTION</t>
  </si>
  <si>
    <t>Our current understanding of the susceptibility of hazardous polycyclic aromatic hydrocarbons (PAHs) to anaerobic microbial degradation is very limited. In the present study, we obtained phenanthrene- and pyrenedegrading strictly anaerobic sulfate-reducing enrichments using contaminated freshwater lake sediments as the source material. The highly enriched phenanthrene-degrading culture, MMKS23, was dominated (98%) by a sulfate-reducing bacterium belonging to the genus Desulfovibrio. While Desulfovibrio sp. was also predominant (79%) in the pyrene-degrading enrichment culture, MMKS44, an anoxygenic purple non-sulfur bacterium, Rhodopseudomonas sp., constituted a significant fraction (18%) of the total microbial community. Phenanthrene or pyrene biodegradation by the enrichment cultures was coupled with sulfate reduction, as evident from near stoichiometric consumption of sulfate and accumulation of sulfide. Also, there was almost complete inhibition of substrate degradation in the presence of an inhibitor of sulfate reduction, i.e., 20 mM MoO4 2 , in the culture medium. After 180 days of incubation, about 79.40 IrM phenanthrene was degraded in the MMKS23 culture, resulting in the consumption of 806.80 IrM sulfate and accumulation of 625.80 IrM sulfide. Anaerobic pyrene biodegradation by the MMKS44 culture was relatively slow. About 22.30 IrM of the substrate was degraded after 180 days resulting in the depletion of 239 IrM sulfate and accumulation of 196.90 IrM sulfide. Biodegradation of phenanthrene by the enrichment yielded a metabolite, phenanthrene-2-carboxylic acid, suggesting that carboxylation could be a widespread initial step of phenanthrene activation under sulfate-reducing conditions. Overall, this novel study demonstrates the ability of sulfate-reducing bacteria (SRB), dwelling in contaminated freshwater sediments to anaerobically biodegrade three-ringed phenanthrene and highly recalcitrant four-ringed pyrene. Our findings suggest that SRB could play a crucial role in the natural attenuation of PAHs in anoxic freshwater sediments.</t>
  </si>
  <si>
    <t>[Dhar, Kartik; Abinandan, Sudharsanam; Sana, Tanmoy; Megharaj, Mallavarapu] Univ Newcastle, Coll Engn Sci &amp; Environm, Global Ctr Environm Remediat GCER, ATC Bldg,Univ Dr, Callaghan, NSW 2308, Australia; [Abinandan, Sudharsanam; Megharaj, Mallavarapu] Univ Newcastle, Cooperat Res Ctr Contaminat Assessment &amp; Remediat, Callaghan, NSW 2308, Australia; [Venkateswarlu, Kadiyala] Sri Krishnadevaraya Univ, Dept Microbiol, Anantapur 515003, Andhra Pradesh, India</t>
  </si>
  <si>
    <t>University of Newcastle; University of Newcastle; Sri Krishnadevaraya University</t>
  </si>
  <si>
    <t>Dhar, K; Megharaj, M (corresponding author), Univ Newcastle, Coll Engn Sci &amp; Environm, Global Ctr Environm Remediat GCER, ATC Bldg,Univ Dr, Callaghan, NSW 2308, Australia.</t>
  </si>
  <si>
    <t>Kartik.Dhar@uon.edu.au; megh.mallavarapu@newcastle.edu.au</t>
  </si>
  <si>
    <t>Mallavarapu, Megharaj/D-3408-2011</t>
  </si>
  <si>
    <t>Mallavarapu, Megharaj/0000-0002-6230-518X; Dhar, KartiK/0000-0002-6012-8386</t>
  </si>
  <si>
    <t>10.1016/j.envres.2023.116616</t>
  </si>
  <si>
    <t>O3GZ1</t>
  </si>
  <si>
    <t>WOS:001042748500001</t>
  </si>
  <si>
    <t>Ding, SL; Zou, B; Zhuang, YX; Wang, XF; Feng, ZW; Liu, QY</t>
  </si>
  <si>
    <t>Ding, Shouling; Zou, Bin; Zhuang, Yuexi; Wang, Xinfeng; Feng, Zhiwei; Liu, Qingyang</t>
  </si>
  <si>
    <t>Effect of printing design and forming thermal environment on pseudo-ductile behavior of continuous carbon/glass fibers reinforced nylon composites</t>
  </si>
  <si>
    <t>COMPOSITE STRUCTURES</t>
  </si>
  <si>
    <t>3D printing; Hybrid fiber composite; Pseudo-ductility; Carbon; glass fibers</t>
  </si>
  <si>
    <t>POLYMER COMPOSITES; MECHANICAL-PROPERTIES; HYBRID COMPOSITES; HYBRIDIZATION; FABRICATION; GLASS</t>
  </si>
  <si>
    <t>Hybrid carbon/glass fibers composites can possess pseudo-ductility of progressive failure through material design to achieve the function of load early warning. The printing design and forming thermal environment of parts have important influence on the pseudo-ductile behavior of hybrid fiber composites. In this paper, the hybrid continuous carbon/glass fibers reinforced nylon composites with progressive failure pseudo-ductility were prepared by additive manufacturing, and the effects of printing layer thickness, carbon/glass fibers layer ratio and forming thermal environment on the tensile properties and pseudo-ductility of hybrid fiber composites were investigated and characterized. The results indicate that the printing layer thickness has no significant impact on the tensile strength of hybrid fiber composites, the pseudo-ductility is obvious when the layer thickness of [G5C2G5] is 0.075 mm and 0.125 mm. With the same material ratio, reducing the layers or setting the printing platform temperature (100 degrees C) can decrease defects generation to achieve the better pseudo-ductility. However, the pseudo-ductility immensely weakens using the annealing treatment of 120 degrees C for 3 h. The pseudo-ductility of the [G5C2G5]0.075, [G5C2G5], [G3C1G3] and [G4C1G4] samples have been discovered successfully.</t>
  </si>
  <si>
    <t>Shandong Univ, Ctr Adv Jet Engn Technol CaJET, Sch Mech Engn, Jinan 250061, Peoples R China; Shandong Univ, Key Lab High Efficiency &amp; Clean Mech Manufacture, Minist Educ, Jinan, Peoples R China; Shandong Univ, Natl Demonstrat Ctr Expt Mech Engn Educ, Jinan, Peoples R China; Shandong Univ, Addit Mfg Res Ctr, Natl Engn Res Ctr Rapid Mfg, Jinan 250061, Peoples R China; [Zou, Bin] Shandong Univ, 17923 Jing Shi Rd, Jinan 250061, Peoples R China</t>
  </si>
  <si>
    <t>Shandong University; Shandong University; Shandong University; Shandong University; Shandong University</t>
  </si>
  <si>
    <t>Zou, B (corresponding author), Shandong Univ, 17923 Jing Shi Rd, Jinan 250061, Peoples R China.</t>
  </si>
  <si>
    <t>zb78@sdu.edu.cn</t>
  </si>
  <si>
    <t>National Natural Science Foundation of China [52175336]; Major basic research program of Natural Science Foundation of Shandong Province [ZR2020ZD05]</t>
  </si>
  <si>
    <t>National Natural Science Foundation of China(National Natural Science Foundation of China (NSFC)); Major basic research program of Natural Science Foundation of Shandong Province</t>
  </si>
  <si>
    <t>The authors acknowledge the financial support by National Natural Science Foundation of China (No. 52175336) and Major basic research program of Natural Science Foundation of Shandong Province (ZR2020ZD05) .</t>
  </si>
  <si>
    <t>0263-8223</t>
  </si>
  <si>
    <t>1879-1085</t>
  </si>
  <si>
    <t>COMPOS STRUCT</t>
  </si>
  <si>
    <t>Compos. Struct.</t>
  </si>
  <si>
    <t>10.1016/j.compstruct.2023.117362</t>
  </si>
  <si>
    <t>Mechanics; Materials Science, Composites</t>
  </si>
  <si>
    <t>Mechanics; Materials Science</t>
  </si>
  <si>
    <t>O5JT2</t>
  </si>
  <si>
    <t>WOS:001044178100001</t>
  </si>
  <si>
    <t>Dong, YH; Wang, F; Ye, ZR; He, FY; Qin, LS; Lv, GJ</t>
  </si>
  <si>
    <t>Dong, Yuhang; Wang, Fei; Ye, Zhirong; He, Fengyu; Qin, Lishan; Lv, Guojun</t>
  </si>
  <si>
    <t>Acid gas emission and ash fusion characteristics of multi-component leather solid waste incineration in bubbling fluidized bed*</t>
  </si>
  <si>
    <t>ENVIRONMENTAL POLLUTION</t>
  </si>
  <si>
    <t>Tannery sludge; Co -combustion treatment; TG-FTIR; Combustion characteristics; Acid gaseous pollutant; Ash fusion temperature</t>
  </si>
  <si>
    <t>HEAVY-METALS CONTENT; SEWAGE-SLUDGE; CHROMIUM RECOVERY; TANNERY SLUDGE; COCOMBUSTION; PYROLYSIS; TEMPERATURE; COMBUSTION; COAL; MICROALGAE</t>
  </si>
  <si>
    <t>The tanning sludge (TS) and other tanning solid wastes are produced in significant quantities by the leather industry. To evaluate the combustion properties, acid gaseous pollutant conversion, and ash management, cofiring of TS with various wastes was investigated in a bubbling fluidized bed. TG-FTIR test indicated that tanning solid wastes had superior combustion properties and include more gaseous pollutants than TS. The leather mixed solid waste (LMSW) formed by mixing had better fuel characteristics than TS. The conversion rates of SO2 and HCl of LMSW incineration were 67% and 40%, respectively. The co-combustion of TS and solid wastes reduces the conversion rate of acid gas. Increasing the proportion of high-inorganic chlorine raw material could further reduce the conversion rate and increase the ash fusion temperature appropriately. Because ash and slag were primarily composed of Ca and Fe elements, the addition of calcium carbonate (CaCO3) can increase ash melting point while reducing acid gas emissions. When CaCO3 was added at a calcium to sulfur (Ca/S) ratio of 2, the acid gas emission was reduced by more than 80% and the softening temperature was raised by 90 degrees C. When Ca/S is greater than 2, the economics of adding CaCO3 decreased.</t>
  </si>
  <si>
    <t>[Dong, Yuhang; Wang, Fei; Ye, Zhirong; He, Fengyu; Qin, Lishan; Lv, Guojun] Zhejiang Univ, State Key Lab Clean Energy Utilizat, Inst Thermal Power Engn, Hangzhou 310027, Zhejiang, Peoples R China</t>
  </si>
  <si>
    <t>Wang, F (corresponding author), Zhejiang Univ, State Key Lab Clean Energy Utilizat, Inst Thermal Power Engn, Hangzhou 310027, Zhejiang, Peoples R China.</t>
  </si>
  <si>
    <t>wangfei@zju.edu.cn</t>
  </si>
  <si>
    <t>National Key Ramp;D Program of China [2019YFC1907000]; National Nature Science Foundation of China [51976188]; Science and Technology Plan Project of Zhejiang Province [2022C03092]</t>
  </si>
  <si>
    <t>National Key Ramp;D Program of China; National Nature Science Foundation of China(National Natural Science Foundation of China (NSFC)); Science and Technology Plan Project of Zhejiang Province</t>
  </si>
  <si>
    <t>Acknowledgement The National Key R &amp; D Program of China (No.2019YFC1907000) , the National Nature Science Foundation of China (No. 51976188) , the Science and Technology Plan Project of Zhejiang Province (No. 2022C03092) all financially contributed to this scientific research.</t>
  </si>
  <si>
    <t>0269-7491</t>
  </si>
  <si>
    <t>1873-6424</t>
  </si>
  <si>
    <t>ENVIRON POLLUT</t>
  </si>
  <si>
    <t>Environ. Pollut.</t>
  </si>
  <si>
    <t>10.1016/j.envpol.2023.122249</t>
  </si>
  <si>
    <t>P3ED1</t>
  </si>
  <si>
    <t>WOS:001049497200001</t>
  </si>
  <si>
    <t>Emeterio, LS; Baquero, E; Anton, R; Jordana, R; Mugica, L; Saez, JL; Virto, I; Canals, RM</t>
  </si>
  <si>
    <t>Emeterio, Leticia San; Baquero, Enrique; Anton, Rodrigo; Jordana, Rafael; Mugica, Leire; Saez, Jose L.; Virto, Inigo; Canals, Rosa M.</t>
  </si>
  <si>
    <t>Pyric herbivory increases soil microbial diversity but has a site-dependent effect on soil mesofauna in the mid-term</t>
  </si>
  <si>
    <t>AGRICULTURE ECOSYSTEMS &amp; ENVIRONMENT</t>
  </si>
  <si>
    <t>Prescribed burnings; Horse targeted grazing; DNA metabarcoding; Temperate mountain grasslands; Soil compaction</t>
  </si>
  <si>
    <t>WOODY PLANT ENCROACHMENT; SPATIAL HETEROGENEITY; PRESCRIBED FIRES; HIGH-RESOLUTION; AMINO-ACIDS; BIODIVERSITY; COMMUNITIES; RESPONSES; NITROGEN; PSEUDOREPLICATION</t>
  </si>
  <si>
    <t>Woody plant encroachment threatens grassland biomes at a global scale. Pyric herbivory combines prescribed burnings and targeted grazing to restore open habitats and has proved to be successful in promoting landscape and plant community diversity. However, less is known on the effects of pyric herbivory practices on below ground biodiversity. We evaluated the midterm effect on mesofauna, bacteria and fungi of prescribed burns and targeted horse grazing regimes implemented to restore a grassland encroached by gorse (Ulex gallii Planch.). We hypothesized that 1) low-intensity shrub-to shrub burnings had no effect or had a transient effect of low magnitude on soil microbial diversity, and that 2) targeted horse grazing after burning increased soil mesofauna and microbial diversity in the midterm. We established an experiment in two shrub-encroached grasslands in western Pyrenees with three treatments (no burning and no grazing as control, burning but no grazing, and burning and grazing). We measured soil properties and soil diversity of fungi and bacteria (DNA-metabarcoding) just after fire, and vegetation structure, soil properties and soil diversity of fungi, bacteria and mesofauna after two periods of targeted grazing (a year and a half after the burning). The response to pyric herbivory differed among soil organisms. Fungi were more sensitive to burning than bacteria, but both recovered a year and a half after burning -fungi only recovered in the presence of grazing-. Grazing increased soil fungi and bacteria diversity indexes (-20 % and-5 % increase, respectively) at the two sites. A year and a half after burning, burned and ungrazed areas had a 30 % more mesofauna diversity than control areas whereas grazing of the burned areas decreased mesofauna diversity by 30 % at one of the sites compared to the control. Since the responses to pyric herbivory vary among soil organisms, a wide range of management intensities across space and time are recommended for maximizing soil biodiversity.</t>
  </si>
  <si>
    <t>[Emeterio, Leticia San; Mugica, Leire; Canals, Rosa M.] Publ Univ Navarre UPNA, Inst Innovat &amp; Sustainable Dev Food Chain IS FOOD, Dept Agr Engn Biotechnol &amp; Food, Pamplona 31006, Spain; [Baquero, Enrique] Univ Navarra, Biodivers &amp; Environm Inst BIOMA, Irunlarrea 1, Pamplona 31080, Spain; [Anton, Rodrigo; Virto, Inigo] Publ Univ Navarre UPNA, Inst Innovat &amp; Sustainable Dev Food Chain IS FOOD, Dept Sci, Campus Arrosadia, Pamplona 31006, Spain; [Baquero, Enrique; Jordana, Rafael] Univ Navarra, Fac Sci, Dept Environm Biol, Univ Campus, Pamplona 31008, Spain; [Saez, Jose L.] Inst Navarro Tecnol Infraestructuras Agroalimentar, Edificio Peritos, Villava 31610, Spain; [Anton, Rodrigo] INRAE, Info &amp;Sols, Ave Pomme Pin, F-45075 Orleans, France; [Emeterio, Leticia San] Publ Univ Navarre UPNA, Inst Innovat &amp; Sustainable Dev Food Chain IS FOOD, Dept Sci, Campus Arrosadia, Pamplona 31006, Spain</t>
  </si>
  <si>
    <t>Universidad Publica de Navarra; University of Navarra; Universidad Publica de Navarra; University of Navarra; INRAE; Universidad Publica de Navarra</t>
  </si>
  <si>
    <t>Emeterio, LS (corresponding author), Publ Univ Navarre UPNA, Inst Innovat &amp; Sustainable Dev Food Chain IS FOOD, Dept Sci, Campus Arrosadia, Pamplona 31006, Spain.</t>
  </si>
  <si>
    <t>leticia.sanemeterio@unavarra.es</t>
  </si>
  <si>
    <t>Universidad Pblica de Navarra; European Regional Development Fund [SOE2/P5/E0804]; Spanish Ministry of Science [PID2020-116786RB-C31]</t>
  </si>
  <si>
    <t>Universidad Pblica de Navarra; European Regional Development Fund(European Union (EU)); Spanish Ministry of Science(Spanish Government)</t>
  </si>
  <si>
    <t>This work was supported by the European Regional Development Fund through the Interreg Sudoe Programme [grant number SOE2/P5/E0804] and the Spanish Ministry of Science [grant number PID2020-116786RB-C31]. Founding sources were not involved in the conduct of the research or the preparation of the article.</t>
  </si>
  <si>
    <t>0167-8809</t>
  </si>
  <si>
    <t>1873-2305</t>
  </si>
  <si>
    <t>AGR ECOSYST ENVIRON</t>
  </si>
  <si>
    <t>Agric. Ecosyst. Environ.</t>
  </si>
  <si>
    <t>10.1016/j.agee.2023.108632</t>
  </si>
  <si>
    <t>Agriculture, Multidisciplinary; Ecology; Environmental Sciences</t>
  </si>
  <si>
    <t>Agriculture; Environmental Sciences &amp; Ecology</t>
  </si>
  <si>
    <t>P8QG6</t>
  </si>
  <si>
    <t>WOS:001053255700001</t>
  </si>
  <si>
    <t>Essalhi, M; Khayet, M; Yavuz, AB; de la Rosa, LR; Garcia-Payo, MC; Tavajohi, N</t>
  </si>
  <si>
    <t>Essalhi, M.; Khayet, M.; Yavuz, A. B.; de la Rosa, L. R.; Garcia-Payo, M. C.; Tavajohi, N.</t>
  </si>
  <si>
    <t>Development of a Lycopodium powder-based superhydrophobic nanofiber membrane suitable for desalination</t>
  </si>
  <si>
    <t>Electrospinning; Nanofibrous electrospun membrane; Lycopodium powder; Membrane distillation; Polyvinylidene fluoride; Green additive; Superhydrophobicity</t>
  </si>
  <si>
    <t>DIRECT-CONTACT MEMBRANE; POLY(VINYLIDENE FLUORIDE); PVDF MEMBRANES; DISTILLATION; NANOCOMPOSITE; SURFACES; POLARIZATION; PERFORMANCE; FABRICATION; OSMOSIS</t>
  </si>
  <si>
    <t>A biobased, green, inexpensive additive, Lycopodium particles, which are spores of the Lycopodium clavatum plant, were incorporated in the poly(vinylidene fluoride) PVDF electrospun nanofiber membranes (ENMs) for desalination by direct contact membrane distillation (DCMD). Superhydrophobic ENMs were prepared using this additive (PVDF-ENMs-Lyc). Thanks to their morphological structure and their prominent surface super-hydrophobicity (anti-wetting) character, the resulting PVDF-ENMs-Lyc exhibited an improved liquid entry pressure (LEP), a high void volume fraction (greater than 87.2%), a good salt rejection factor (greater than 99.93%) and a reasonably high permeate flux (greater than 51.76 kg center dot m(-2)center dot h(-1)) at 80 degrees C, which are of great practical importance for water desalination by DCMD. The optimum membrane prepared with 3 wt% Lycopodium in the dope solution demonstrated a stable permeate flux of 52.4 +/- 0.6 kg center dot m(-2)center dot h(-1) with an electrical conductivity around 4.76 +/- 0.46 mu S/cm (NaCl rejection factor of 99.998 +/- 0.036%) during 25 h DCMD desalination experiment using 35 g/L NaCl aqueous solution (similar to seawater concentration). The presented results pave the way for superhydrophobic nanofibrous membrane engineering suitable for membrane contactors by electrospinning in a single step without surfactants, organic additives, or chemical post-treatments, just by the incorporation of a green additive like Lycopodium powder.</t>
  </si>
  <si>
    <t>[Essalhi, M.; Tavajohi, N.] Umea Univ, Dept Chem, S-90187 Umea, Sweden; [Khayet, M.; de la Rosa, L. R.; Garcia-Payo, M. C.; Tavajohi, N.] Univ Complutense Madrid, Fac Phys, Dept Struct Matter Thermal Phys &amp; Elect, Avda Complutense s-n, Madrid 28040, Spain; [Khayet, M.] Madrid Inst Adv Studies Water, IMDEA Water Inst, Calle Punto Net 4, Alcala De Henares 28805, Madrid, Spain; [Yavuz, A. B.] Agri Ibrahim Cecen Univ, Dept Chem, Agri, Turkiye</t>
  </si>
  <si>
    <t>Umea University; Complutense University of Madrid; IMDEA Water Institute; Universidad de Alcala; Agri Ibrahim Cecen University</t>
  </si>
  <si>
    <t>Khayet, M; Tavajohi, N (corresponding author), Univ Complutense Madrid, Fac Phys, Dept Struct Matter Thermal Phys &amp; Elect, Avda Complutense s-n, Madrid 28040, Spain.</t>
  </si>
  <si>
    <t>khayetm@fis.ucm.es; naser.tavajohi@umu.se</t>
  </si>
  <si>
    <t>yavuz, ahmet bora/JFA-1181-2023; Garcia-Payo, Carmen/L-3200-2014; Khayet, Mohamed/L-3814-2014</t>
  </si>
  <si>
    <t>yavuz, ahmet bora/0000-0001-9892-7178; Garcia-Payo, Carmen/0000-0002-6809-3907; Khayet, Mohamed/0000-0002-5117-2975</t>
  </si>
  <si>
    <t>Ministry of Science, Innovation and Universities of Spain [RTI2018- 096042-B-C22]</t>
  </si>
  <si>
    <t>Ministry of Science, Innovation and Universities of Spain(Spanish Government)</t>
  </si>
  <si>
    <t>The authors gratefully acknowledge the financial support of the-Ministry of Science, Innovation and Universities of Spain (RTI2018- 096042-B-C22) .</t>
  </si>
  <si>
    <t>10.1016/j.seppur.2023.124405</t>
  </si>
  <si>
    <t>N7PE2</t>
  </si>
  <si>
    <t>WOS:001038879200001</t>
  </si>
  <si>
    <t>Ferhatoglu, E; Gross, J; Krack, M</t>
  </si>
  <si>
    <t>Ferhatoglu, Erhan; Gross, Johann; Krack, Malte</t>
  </si>
  <si>
    <t>Frequency response variability in friction-damped structures due to non-unique residual tractions: Obtaining conservative bounds using a nonlinear-mode-based approach</t>
  </si>
  <si>
    <t>MECHANICAL SYSTEMS AND SIGNAL PROCESSING</t>
  </si>
  <si>
    <t>Non-unique friction forces; Nonlinear vibrations; Uncertainty quantification; Variability range; Contact; Friction damping</t>
  </si>
  <si>
    <t>TURBINE-BLADES; UNDERPLATFORM DAMPERS; CONTACT PROBLEMS; DYNAMICS; VIBRATION; SHAKEDOWN; SYSTEMS; BALANCE</t>
  </si>
  <si>
    <t>Under static dry friction, the tangential friction force (residual traction) is non-unique within the Coulomb's limits. The actual value of the residual traction depends on the load history and is generally unknown. This phenomenon can lead to a large variability of the vibration response if at least one but not all contacts are permanently sticking and there is coupling between tangential displacements and normal forces. In the present work, a method is developed that allows obtaining conservative upper and lower bounds of the frequency response. Focusing on primary resonances with well-separated modes, a Nonlinear-Mode-based approach is pursued. First, bounds of the nonlinear modal properties, specifically the amplitude-dependent modal frequency, damping ratio and deflection shape are computed. Then, interval arithmetic is applied to the closed-form expression governing the amplitude-frequency curves for a given harmonic excitation force. The method is numerically demonstrated for a planar structure coupled with two Jenkins type contact elements. It is shown that for this system, the bounds of the modal properties can be simply obtained from the frictional limit cases (barely sticking contact), so that a potentially costly numerical optimization is not needed. It is concluded that the obtained frequency response bounds are indeed conservative but not overly conservative, and the method is computationally highly efficient as it relies on analytical developments. The developed method of Nonlinear Mode-based forward propagation seems attractive also for other sources of uncertainty and experimentally identified bounds.</t>
  </si>
  <si>
    <t>[Ferhatoglu, Erhan; Gross, Johann; Krack, Malte] Univ Stuttgart, Inst Aircraft Prop Syst, Pfaffenwaldring 6, D-70569 Stuttgart, Germany</t>
  </si>
  <si>
    <t>University of Stuttgart</t>
  </si>
  <si>
    <t>Ferhatoglu, E (corresponding author), Univ Stuttgart, Inst Aircraft Prop Syst, Pfaffenwaldring 6, D-70569 Stuttgart, Germany.</t>
  </si>
  <si>
    <t>erhan.ferhatoglu@ila.uni-stuttgart.de</t>
  </si>
  <si>
    <t>Krack, Malte/0000-0001-7154-1160</t>
  </si>
  <si>
    <t>0888-3270</t>
  </si>
  <si>
    <t>1096-1216</t>
  </si>
  <si>
    <t>MECH SYST SIGNAL PR</t>
  </si>
  <si>
    <t>Mech. Syst. Signal Proc.</t>
  </si>
  <si>
    <t>10.1016/j.ymssp.2023.110651</t>
  </si>
  <si>
    <t>R3YX0</t>
  </si>
  <si>
    <t>WOS:001063749600001</t>
  </si>
  <si>
    <t>Fischer, S; Moderow, U; Queck, R; Bernhofer, C</t>
  </si>
  <si>
    <t>Fischer, Stefanie; Moderow, Uta; Queck, Ronald; Bernhofer, Christian</t>
  </si>
  <si>
    <t>Evaporation of intercepted rainfall-Comparing canopy water budget and energy balance related long term measurements at a Norway spruce site</t>
  </si>
  <si>
    <t>Rainfall interception; Wet canopy evaporation; Canopy water budget; Canopy energy budget; Eddy covariance; Energy balance closure</t>
  </si>
  <si>
    <t>WET CANOPY; FOREST; CLOSURE; FLUXES; CARBON</t>
  </si>
  <si>
    <t>Rain interception of a Norway spruce stand was analyzed based on canopy water balance measurements Emass and for two eddy covariance (EC) related methods covering a long period (2008-2018). Emass was calculated as residual between gross rainfall above and net rainfall below the canopy. EC related observations are based on the water equivalent either (i) directly measured by eddy covariance (ETEC) or (ii) as residual in the Energy Balance equation (ETEB). To relate the different methods to wet canopy conditions, the Rutter model was used to dynamically calculate water storage in the canopy. Finally, the different time series were integrated over the duration of modeled interception events. The canopy water balance shows a mean annual gross precipitation of 936 &amp; PLUSMN; 173 mm/year of which 376 &amp; PLUSMN; 56 mm/year evaporated due to interception. The majority of rainfall events (81%) is characterized by a depth &lt;5 mm, which leads to a high fraction of annual precipitation being captured by the canopy surface (0.41). The application of the Rutter model yielded good agreement between observed and modeled throughfall and served as a reasonable standard to define interception events. Wet canopy evaporation as the residual of the energy balance ETEB and from gas analyzer measurements ETEC are both systematically underestimating Emass. The mean annual underestimation of Emass is 145 mm/year for ETEB and 288 mm/year for ETEC. Most of the discrepancy can be mainly explained by an underestimation of turbulent fluxes, at which data is most affected during raining conditions. An analysis of the linear relation between the annual sum of turbulent fluxes and available energy shows the lowest slope (0.57 &amp; PLUSMN; 0.15) for measurements during rainfall, while the highest slope (0.76 &amp; PLUSMN; 0.03) occurs under completely dry conditions. Both fluxes should be gap-filled and corrected separately for dry (transpiration) and wet (interception) conditions in order to determine proper amounts of evapotranspiration with the eddy covariance method.</t>
  </si>
  <si>
    <t>[Fischer, Stefanie; Moderow, Uta; Queck, Ronald; Bernhofer, Christian] Tech Univ Dresden, Inst Hydrol &amp; Meteorol, Fac Environm Sci, Chair Meteorol,Dept Hydro Sci, D-01069 Dresden, Germany</t>
  </si>
  <si>
    <t>Technische Universitat Dresden</t>
  </si>
  <si>
    <t>Fischer, S (corresponding author), Tech Univ Dresden, Inst Hydrol &amp; Meteorol, Fac Environm Sci, Chair Meteorol,Dept Hydro Sci, D-01069 Dresden, Germany.</t>
  </si>
  <si>
    <t>Bernhofer, Christian/0000-0003-1061-3073; Fischer, Stefanie/0000-0002-8304-1179</t>
  </si>
  <si>
    <t>German Science Foundation DFG [BE 1721/23-1]</t>
  </si>
  <si>
    <t>German Science Foundation DFG(German Research Foundation (DFG))</t>
  </si>
  <si>
    <t>This work was supported by the German Science Foundation DFG BE 1721/23-1. We would like to thank Thomas Grunwald as site manager of the ICOS-D ecosystem cluster including the Anchor Station Tharandt for his valuable feedback on the data basis. We also acknowledge the support of Daniel Gliksman, the technical assistance of Heiko Prasse and Markus Hehn, as well as the scientific discussions with all colleagues of the Chair of Meteorology, TU Dresden. Finally yet importantly, we greatly appreciated the valuable comments and suggestions of two anonymous reviewers.</t>
  </si>
  <si>
    <t>10.1016/j.agrformet.2023.109637</t>
  </si>
  <si>
    <t>P7BR7</t>
  </si>
  <si>
    <t>WOS:001052194700001</t>
  </si>
  <si>
    <t>Ganguli, N; Kumari, P; Dash, S; Samanta, D</t>
  </si>
  <si>
    <t>Ganguli, Namrata; Kumari, Puja; Dash, Sagarika; Samanta, Dibyendu</t>
  </si>
  <si>
    <t>Molecular and structural basis of TIGIT: Nectin-4 interaction, a recently discovered pathway crucial for cancer immunotherapy</t>
  </si>
  <si>
    <t>BIOCHEMICAL AND BIOPHYSICAL RESEARCH COMMUNICATIONS</t>
  </si>
  <si>
    <t>T cell costimulation; Immune receptors; TIGIT; Nectin-4; Protein-protein interaction; Surface plasmon resonance</t>
  </si>
  <si>
    <t>CELL-CELL ADHESION; HETEROPHILIC INTERACTIONS; IMMUNOGLOBULIN; RECOGNITION; REVEALS</t>
  </si>
  <si>
    <t>TIGIT (T cell immunoglobulin and ITIM domain) is an inhibitory receptor expressed on T and NK cells that interact with cell surface glycoprotein belonging to the nectin and nectin-like family of cell adhesion molecules, particularly nectin-2 and nectin-like 5 (PVR). Nectin-4 has been recently identified as a novel ligand for TIGIT and the interaction among them inhibits NK cell cytotoxicity. In this study, biophysical experiments were conducted to decipher the mechanism of this novel interaction, followed by structure-guided mutagenesis studies to map the nectin-4 binding interface on TIGIT. Using surface plasmon resonance, we deduced that TIGIT recognizes the membrane distal ectodomain of nectin-4 and the interaction is weaker than the well-characterized TIGIT: nectin-2 interaction. Deciphering the molecular basis of this newly identified interaction between TIGIT and nectin-4 will provide us important insight into the manipulation of this inhibitory signaling pathway, especially targeting cancer cells overexpressing nectin-4 that evade the immune surveillance of the body.</t>
  </si>
  <si>
    <t>[Ganguli, Namrata; Kumari, Puja; Dash, Sagarika; Samanta, Dibyendu] Indian Inst Technol Kharagpur, Sch Biosci, Kharagpur 721302, West Bengal, India</t>
  </si>
  <si>
    <t>Indian Institute of Technology System (IIT System); Indian Institute of Technology (IIT) - Kharagpur</t>
  </si>
  <si>
    <t>Samanta, D (corresponding author), Indian Inst Technol Kharagpur, Sch Biosci, Kharagpur 721302, West Bengal, India.</t>
  </si>
  <si>
    <t>dibyendu.samanta@iitkgp.ac.in</t>
  </si>
  <si>
    <t>Science and Engineering Research Board (SERB) , DST [ECR/2016/000923, CRG/2020/004991]; IIT Kharagpur, India</t>
  </si>
  <si>
    <t>Science and Engineering Research Board (SERB) , DST; IIT Kharagpur, India</t>
  </si>
  <si>
    <t>Acknowledgements This study was supported by Science and Engineering Research Board (SERB) , DST, Govt. of India (ECR/2016/000923 and CRG/2020/004991 to DS) . NG, PK and SD are supported by fellowship provided by IIT Kharagpur, India. The authors also acknowledge Central Research Facility of IIT Kharagpur for SPR.</t>
  </si>
  <si>
    <t>0006-291X</t>
  </si>
  <si>
    <t>1090-2104</t>
  </si>
  <si>
    <t>BIOCHEM BIOPH RES CO</t>
  </si>
  <si>
    <t>Biochem. Biophys. Res. Commun.</t>
  </si>
  <si>
    <t>10.1016/j.bbrc.2023.07.058</t>
  </si>
  <si>
    <t>P6ER0</t>
  </si>
  <si>
    <t>WOS:001051591900001</t>
  </si>
  <si>
    <t>Garcia-Sayan, E; Lee, M; Stone, JR; Stone, DM; Smulevitz, B; McPherson, DD; Fisher-Hoch, SP; McCormick, JB; Laing, ST</t>
  </si>
  <si>
    <t>Garcia-Sayan, Enrique; Lee, Miryoung; Stone, James R.; Stone, Danielle M.; Smulevitz, Beverly; McPherson, David D.; Fisher-Hoch, Susan P.; McCormick, Joseph B.; Laing, Susan T.</t>
  </si>
  <si>
    <t>Endothelial Dysfunction and Cardiometabolic Risk Factors in Mexican American Adults: The Cameron</t>
  </si>
  <si>
    <t>AMERICAN JOURNAL OF CARDIOLOGY</t>
  </si>
  <si>
    <t>cardiometabolic risk; endothelial dysfunction; flow-mediated dilation; Hispanic</t>
  </si>
  <si>
    <t>FLOW-MEDIATED DILATION; INCIDENT CARDIOVASCULAR EVENTS; BRACHIAL-ARTERY; SUBCLINICAL ATHEROSCLEROSIS; CAROTID ULTRASOUND; ADIPOSE-TISSUE; DISEASE RISK; VASODILATION; ASSOCIATION; PREVALENCE</t>
  </si>
  <si>
    <t>Endothelial dysfunction assessed by impaired brachial flow-mediated dilation (FMD) predicts incident cardiovascular disease (CVD). We have previously shown that clustering of diabetes mellitus, obesity, and metabolic syndrome in young Hispanic patients was associated with subclinical atherosclerosis. This study aimed to assess determinants of impaired FMD response (%FMD), an earlier marker of atherosclerosis, in a population-based sample of asymptomatic Mexican Americans. Cardiometabolic biomarkers and FMD were obtained from 960 Cameron County Hispanic Cohort participants. Gender-specific median values of %FMD were used to categorize participants into those with %FMD below or above the median. The sample was further stratified into those younger and older than 55 years. Survey-weighted logistic regression analyses were conducted to evaluate the effects of cardiometabolic biomarkers on the %FMD groups. The low %FMD group was significantly older, had higher visceral adipose tissue, systolic blood pressure, or plasma glucose, and had metabolic syndrome compared with those in the high %FMD group. Multivariable-adjusted age-stratified logistic regression analyses showed that in older participants, male gender (odds ratio [OR] = 2.4 [1.4 to 4.2]) and having hypertension (OR = 2.3 [1.3 to 4.3]) or prediabetes mellitus (OR = 3.4 [1.5 to 7.5]) remained significantly associated with odds of low %FMD. In younger participants, high low-density lipoprotein (OR = 2.8 [1.6 to 4.9]) or having the metabolic syndrome (OR = 1.9 [1.1 to 3.6]) were significantly associated with odds of low %FMD. In conclusion, we found age-dependent associations between cardiometabolic biomarkers and an FMD response below the genderspecific median in a sample composed of Mexican Americans without previous CVD. Targeting specific risk factors by age may mitigate progression to incident CVD in this high-risk racial disparity group. &amp; COPY; 2023 The Authors. Published by Elsevier Inc. This is an open access article under the CC BY-NC license (http://creativecommons.org/licenses/</t>
  </si>
  <si>
    <t>[Garcia-Sayan, Enrique] Baylor Coll Med, Dept Med, Sect Cardiol, Houston, TX USA; [Lee, Miryoung; Fisher-Hoch, Susan P.; McCormick, Joseph B.] Univ Texas Hlth Sci Ctr Houston, Sch Publ Hlth, Dept Epidemiol Human Genet &amp; Environm Sci, Brownsville Campus, Brownsville, TX USA; [Stone, James R.; Stone, Danielle M.; Smulevitz, Beverly; McPherson, David D.; Laing, Susan T.] Univ Texas Hlth Sci Ctr Houston, Dept Internal Med, Div Cardiol, Houston, TX 77030 USA</t>
  </si>
  <si>
    <t>Baylor College of Medicine; University of Texas System; University of Texas Health Science Center Houston; University of Texas System; University of Texas Health Science Center Houston</t>
  </si>
  <si>
    <t>Laing, ST (corresponding author), Univ Texas Hlth Sci Ctr Houston, Dept Internal Med, Div Cardiol, Houston, TX 77030 USA.</t>
  </si>
  <si>
    <t>susan.t.laing@uth.tmc.edu</t>
  </si>
  <si>
    <t>National Institutes of Health, National Center for Minority Health Disparity [MD000170 P20]; McCormick, PI [UL1 TR000371]; National Heart, Lung, and Blood Institute [1R01 HL142302, 2R01 HL142302]; National Center for Advancing Translational Sciences, (NCATS); Clinical and Translational Science Awards (CTSA) [UL1 9/30/06-6/30/11, UL1TR000371 6/27/12-/31/17 UL1TR003167 7/1/19-6/30/24]</t>
  </si>
  <si>
    <t>National Institutes of Health, National Center for Minority Health Disparity; McCormick, PI; National Heart, Lung, and Blood Institute(United States Department of Health &amp; Human ServicesNational Institutes of Health (NIH) - USANIH National Heart Lung &amp; Blood Institute (NHLBI)); National Center for Advancing Translational Sciences, (NCATS)(United States Department of Health &amp; Human ServicesNational Institutes of Health (NIH) - USANIH National Center for Advancing Translational Sciences (NCATS)); Clinical and Translational Science Awards (CTSA)(United States Department of Health &amp; Human ServicesNational Institutes of Health (NIH) - USANIH National Center for Advancing Translational Sciences (NCATS))</t>
  </si>
  <si>
    <t>This study was funded by the National Institutes of Health, National Center for Minority Health Disparity, MD000170 P20, McCormick, PI; UL1 TR000371, National Heart, Lung, and Blood Institute, 1R01 HL142302, 2R01 HL142302, National Center for Advancing Translational Sciences, (NCATS), Clinical and Translational Science Awards (CTSA), UL1 9/30/06-6/30/11, UL1TR000371 6/27/12-/31/17, UL1TR003167 7/1/19-6/30/24.</t>
  </si>
  <si>
    <t>EXCERPTA MEDICA INC-ELSEVIER SCIENCE INC</t>
  </si>
  <si>
    <t>BRIDGEWATER</t>
  </si>
  <si>
    <t>685 ROUTE 202-206 STE 3, BRIDGEWATER, NJ 08807 USA</t>
  </si>
  <si>
    <t>0002-9149</t>
  </si>
  <si>
    <t>1879-1913</t>
  </si>
  <si>
    <t>AM J CARDIOL</t>
  </si>
  <si>
    <t>Am. J. Cardiol.</t>
  </si>
  <si>
    <t>10.1016/j.amjcard.2023.07.165</t>
  </si>
  <si>
    <t>R1XM0</t>
  </si>
  <si>
    <t>WOS:001062339300001</t>
  </si>
  <si>
    <t>Gray, AN; Pelz, K; Hayward, GD; Schuler, T; Salverson, W; Palmer, M; Schumacher, C; Woodall, CW</t>
  </si>
  <si>
    <t>Gray, Andrew N.; Pelz, Kristen; Hayward, Gregory D.; Schuler, Tom; Salverson, Wade; Palmer, Marin; Schumacher, Christian; Woodall, Christopher W.</t>
  </si>
  <si>
    <t>Perspectives: The wicked problem of defining and inventorying mature and old-growth forests</t>
  </si>
  <si>
    <t>FOREST ECOLOGY AND MANAGEMENT</t>
  </si>
  <si>
    <t>Old growth forest; Mature forest; Inventory; Definitions; Forest structure</t>
  </si>
  <si>
    <t>TREE MORTALITY; NORTH-AMERICA; US; DISTURBANCES; BIODIVERSITY; MANAGEMENT; ECOSYSTEM; DYNAMICS; PATTERNS; INCREASE</t>
  </si>
  <si>
    <t>Mature and old-growth forests are valued for biodiversity, carbon sequestration, habitat, hydrologic function, aesthetics, and spirituality, as well as Tribal and Indigenous histories, cultures, and practices. Over the last 500 years, land use change and industrialization have resulted in global declines in the area of older forests (however defined). The goal of this study was to identify concepts and indicators to define mature and old-growth forests across the vegetation types of the United States in order to quantify their abundance and distribution. Defining old growth has been described as a wicked problem that involves values, science, and management; requires multiple disciplines; and can be expressed from many contradictory approaches.The most common approach to defining mature and old-growth forests is to place them in a successional continuum of increases in tree size, biodiversity, habitat niches, and structural diversity with forest age. Time since severe disturbance, including human impact, is often a consideration, although humans have influenced the development of many forests for millennia. The successional framework is less useful in low-productivity or frequently-disturbed forests, or where current structural diversity under fire suppression may not reflect historic or desired future conditions. In order to classify forests into old and not old, existing structure-based ap-proaches apply minima of one or more structural or compositional criteria. Site productivity and/or plant as-sociation is an element of many definitions.Once defined, estimating the area of mature and old-growth forest presents challenges. The only compre-hensive, consistent field data of US forests is the Forest Inventory and Analysis (FIA) network of &gt;140,000 forested plots. While the 0.067 ha sample area of FIA plots limits the number of structural metrics that might be useful and the plot density cannot capture fine-scale spatial heterogeneity, measurements enable a granular application of multiple structural and compositional criteria by vegetation type at broad spatial extents, and the ability to track change consistently over time. Spatial models integrate field and remotely-sensed data to predict the distribution of structural classes at finer spatial grain, but with substantial error in high-resolution estimates. There does not seem to be a readily-available method to map mature and old-growth stands across a landscape with a high degree of accuracy. Identifying mature and old growth forests in a stand management context will likely require additional measurements, adjustments to criteria at local scales, and incorporation of social and traditional knowledge within a consistent definition framework.</t>
  </si>
  <si>
    <t>[Gray, Andrew N.] USDA Forest Serv, Pacific Northwest Res Stn, 3200 SW Jefferson Way, Corvallis, OR 97331 USA; [Pelz, Kristen] USDA Forest Serv, Rocky Mt Res Stn, Albuquerque, NM USA; [Hayward, Gregory D.] USDA Forest Serv, Ecosyst Management Coordinat, Headquarters, Anchorage, AK USA; [Schuler, Tom] USDA Forest Serv, Forest Ecosyst Management Res, Washington, DC USA; [Salverson, Wade] USDI Bur Land Management, Washington, DC USA; [Palmer, Marin] USDA Forest Serv, Portland, OR 97204 USA; [Schumacher, Christian] USDI Bur Land Management, Washington, DC USA; [Woodall, Christopher W.] USDA Forest Serv, Northern Res Stn, Durham, NH USA</t>
  </si>
  <si>
    <t>United States Department of Agriculture (USDA); United States Forest Service; United States Department of Agriculture (USDA); United States Forest Service; United States Department of Agriculture (USDA); United States Forest Service; United States Department of Agriculture (USDA); United States Forest Service; United States Department of Agriculture (USDA); United States Forest Service; United States Department of Agriculture (USDA); United States Forest Service</t>
  </si>
  <si>
    <t>Gray, AN (corresponding author), USDA Forest Serv, Pacific Northwest Res Stn, 3200 SW Jefferson Way, Corvallis, OR 97331 USA.</t>
  </si>
  <si>
    <t>andrew.gray@usda.gov</t>
  </si>
  <si>
    <t>0378-1127</t>
  </si>
  <si>
    <t>1872-7042</t>
  </si>
  <si>
    <t>FOREST ECOL MANAG</t>
  </si>
  <si>
    <t>For. Ecol. Manage.</t>
  </si>
  <si>
    <t>10.1016/j.foreco.2023.121350</t>
  </si>
  <si>
    <t>Forestry</t>
  </si>
  <si>
    <t>R8VH1</t>
  </si>
  <si>
    <t>WOS:001067072300001</t>
  </si>
  <si>
    <t>Han, ZC; Liu, ZM; Jiang, YJ; Wu, P; Li, S; Sun, GQ; Zhang, L</t>
  </si>
  <si>
    <t>Han, Zhanchuang; Liu, Ziming; Jiang, Yingjun; Wu, Ping; Li, Song; Sun, Guoqiang; Zhang, Le</t>
  </si>
  <si>
    <t>Engineering properties and air void characteristics of cold recycled mixtures with different compaction methods</t>
  </si>
  <si>
    <t>Cold recycled mixture; Engineering properties; Air void characteristics; CT scanning technology; VVTM; Compaction method</t>
  </si>
  <si>
    <t>Cold recycled mixtures (CRM) offer advantages in terms of resource conservation and reduced CO2 emissions. This paper utilizes the vertical vibration testing method (VVTM), Marshall compaction (MC), Superpave Gyratory Compactor (SGC), and field core samples to analyze the effects of different compaction methods on the engineering properties of CRM. The study begins by discussing the volumetric and mechanical parameters of CRM with different compaction methods, followed by an analysis of fatigue performance. Additionally, CT scanning technology is used to study the effect of different compaction methods on the void characteristics of CRM. The results demonstrate that VVTM specimens offer better mechanical properties compared to MC and SGC specimens. Furthermore, the RT (splitting tensile strength), MS (dry-wet tensile strength ratio), and TSR (freeze-thaw splitting strength ratio) of VVTM specimens exhibit the highest correlation with field core samples, reaching 97%, 97%, and 95%, respectively. The VVTM specimens also exhibit the biggest fatigue, which is similar to that of the field core sample. The Weibull distribution model is utilized to predict the fatigue life of CRM with different compaction methods, with the fatigue equation indicating that VVTM specimens have better fatigue performance. In addition, the number of voids, diameter of voids, and fractal dimension of VVTM specimens along the longitudinal direction are closer to those of field cores. The fractal dimension of CRM specimens with different compaction methods is between 1.2 and 1.4, indicating that the complex shape of voids may alter stress concentration and impact the performance of CRM.</t>
  </si>
  <si>
    <t>[Han, Zhanchuang] China Commun First Highway Engn Grp Co Ltd, Beijing 100024, Peoples R China; [Liu, Ziming] Changan Univ, Sch Highway, Xian 710064, Peoples R China; [Liu, Ziming; Jiang, Yingjun] Changan Univ, Key Lab Special Area Highway Engn, Minist Educ, Xian 710064, Peoples R China; [Wu, Ping] Inner Mongolia Rd &amp; Bridge Grp Co LTD, Hohhot 010000, Peoples R China; [Li, Song] Harbin Inst Technol, Sch Transportat Sci &amp; Engn, Harbin 150090, Peoples R China; [Sun, Guoqiang] Beijing Univ Technol, Beijing Key Lab Traff Engn, Beijing 100124, Peoples R China; [Zhang, Le] Inner Mongolia Univ Technol, Sch Civil Engn, Hohhot 010051, Peoples R China</t>
  </si>
  <si>
    <t>Chang'an University; Chang'an University; Harbin Institute of Technology; Beijing University of Technology; Inner Mongolia University of Technology</t>
  </si>
  <si>
    <t>Liu, ZM (corresponding author), Changan Univ, Sch Highway, Xian 710064, Peoples R China.</t>
  </si>
  <si>
    <t>1911543@tongji.edu.cn; ZimingLiu@tongji.edu.cn; jiangyj@chd.edu.cn; 1652348887@qq.com; lis@whut.edu.cn; gqsun@bjut.edu.cn; zhangle218@foxmail.com</t>
  </si>
  <si>
    <t>Liu, Ziming/ADZ-7749-2022</t>
  </si>
  <si>
    <t>Liu, Ziming/0000-0002-8867-2682</t>
  </si>
  <si>
    <t>10.1016/j.jobe.2023.107430</t>
  </si>
  <si>
    <t>P4FL4</t>
  </si>
  <si>
    <t>WOS:001050218900001</t>
  </si>
  <si>
    <t>He, GH; Liu, CG; Zhang, W; Luan, ZX; Zhang, ZG</t>
  </si>
  <si>
    <t>He, Guanghua; Liu, Chaogang; Zhang, Wei; Luan, Zhengxiao; Zhang, Zhigang</t>
  </si>
  <si>
    <t>Numerical study of the effect of central platform motion on the wave energy converter array</t>
  </si>
  <si>
    <t>OCEAN ENGINEERING</t>
  </si>
  <si>
    <t>Floating platform; Wave energy converter; Power take-off damping; Wave-surface elevation; Phase difference</t>
  </si>
  <si>
    <t>CONVERSION; CYLINDER</t>
  </si>
  <si>
    <t>Placing multiple wave energy converters (WECs) on a central floating platform has become a popular approach of ocean energy conversion in recent years. The strong interaction between the WECs and the platform brings a number of technical challenges for the design of such devices. The present study investigates the effect of the platform motion on the WEC array of a typical ocean energy harvesting device, consisting of a central support platform and eight point-absorber WECs arranged in a circular array. The numerical studies are performed in four stages based on the potential flow solver ANSYS-AQWA. The power absorption of each WEC in isolation and of eight WECs operating simultaneously is evaluated and compared in the first and second stages respectively, revealing the interaction among the WECs. The effect of a fixed and a floating platform on the power absorption of the WEC array is investigated in the next two stages. The systematic studies demonstrates that the heave motion of the platform improves the power absorption of the WEC array for most wave frequencies tested, due to the increase in the wave-surface elevations around the WECs and the phase differences of the heave motion between the WECs and the platform. The opposite is true for the pitch motion of the platform. Furthermore, the WEC dimension, the platform dimension, and the distance between the WECs and the platform should be optimized based on the actual operating sea conditions to increase the wave-surface elevations and the phase differences. Otherwise, the motion of the platform should be restricted as much as possible.</t>
  </si>
  <si>
    <t>[He, Guanghua; Liu, Chaogang; Luan, Zhengxiao] Harbin Inst Technol, Sch Mechatron Engn, Harbin 150001, Peoples R China; [He, Guanghua] Shandong Inst Shipbldg Technol, Weihai 264209, Peoples R China; [He, Guanghua; Zhang, Wei] Harbin Inst Technol, Sch Ocean Engn, Weihai 264209, Peoples R China; [Zhang, Zhigang] Shandong Univ, Sch Mech Engn, Jinan 250061, Peoples R China</t>
  </si>
  <si>
    <t>Harbin Institute of Technology; Harbin Institute of Technology; Shandong University</t>
  </si>
  <si>
    <t>Zhang, W (corresponding author), Harbin Inst Technol, Sch Ocean Engn, Weihai 264209, Peoples R China.</t>
  </si>
  <si>
    <t>zhang.wei@hit.edu.cn</t>
  </si>
  <si>
    <t>; He, Guanghua/P-9377-2016</t>
  </si>
  <si>
    <t>LIU, Chaogang/0000-0003-3412-2519; He, Guanghua/0000-0001-9494-4712</t>
  </si>
  <si>
    <t>Taishan Scholar Project of Shandong Province [tsqn201909172]; State Key Laboratory of Ocean Engineering (Shanghai Jiao Tong University) [GKZD010081]; Innovative Research Foundation of Ship General Performance [14022103]; University young innovational team program, Shandong Province [2019KJN003]</t>
  </si>
  <si>
    <t>Taishan Scholar Project of Shandong Province; State Key Laboratory of Ocean Engineering (Shanghai Jiao Tong University); Innovative Research Foundation of Ship General Performance; University young innovational team program, Shandong Province</t>
  </si>
  <si>
    <t>This work was supported by the Taishan Scholar Project of Shandong Province (tsqn201909172) , State Key Laboratory of Ocean Engineering (Shanghai Jiao Tong University) (Grant No. GKZD010081) , the Innovative Research Foundation of Ship General Performance (Grant No.14022103) , and the University young innovational team program, Shandong Province (2019KJN003) .</t>
  </si>
  <si>
    <t>0029-8018</t>
  </si>
  <si>
    <t>1873-5258</t>
  </si>
  <si>
    <t>OCEAN ENG</t>
  </si>
  <si>
    <t>Ocean Eng.</t>
  </si>
  <si>
    <t>10.1016/j.oceaneng.2023.115483</t>
  </si>
  <si>
    <t>Engineering, Marine; Engineering, Civil; Engineering, Ocean; Oceanography</t>
  </si>
  <si>
    <t>Engineering; Oceanography</t>
  </si>
  <si>
    <t>P8JA4</t>
  </si>
  <si>
    <t>WOS:001053066600001</t>
  </si>
  <si>
    <t>He, YT; Wang, H; Fang, XH; Zhang, WB; Zhang, JY; Qian, JH</t>
  </si>
  <si>
    <t>He, Yuting; Wang, Hao; Fang, Xinhang; Zhang, Weibing; Zhang, Jingyuan; Qian, Junhong</t>
  </si>
  <si>
    <t>Semicarbazide-based fluorescent probe for detection of Cu2+and formaldehyde in different channels</t>
  </si>
  <si>
    <t>Formaldehyde; Semicarbazide; Coumarin; Fluorescent discrimination; Cu2+</t>
  </si>
  <si>
    <t>ENDOGENOUS FORMALDEHYDE; OXIDATIVE STRESS; COPPER-ION; II IONS; ALZHEIMERS; ACID; CELLS; METAL; PRION</t>
  </si>
  <si>
    <t>Two fluorescent sensors with the receptor semicarbazide respectively at 7- (CAA) and 3-position (CAB) of coumarin were designed and synthesized. CAA exhibits fluorescence turn-on response to Cu2+ by triggering the intramolecular charge transfer (ICT) process via Cu2+-catalyzed hydrolysis, and can detect formaldehyde (FA) at different channel by inhibiting the photo-induced electron transfer (PET). However, CAB displays quite different responses: the photophysical properties hardly changed in the presence of FA; while a three-stage fluorescence response of fast quenching, steady increasing and slowly decreasing was found upon addition of Cu2+. The high selectivity enabled CAA a good candidate for quantification of Cu2+ and formaldehyde as well as bioimaging Cu2+ in living cells. Good linear relationships between the fluorescence intensity and analyte concentration were observed in the range of 0.1-30 &amp; mu;M for Cu2+ and 1.0-50 &amp; mu;M for FA, and their detection limits (LOD) were calculated to be 0.43 &amp; mu;M and 1.92 &amp; mu;M (3 &amp; delta;/k), respectively.</t>
  </si>
  <si>
    <t>[He, Yuting; Wang, Hao; Fang, Xinhang; Zhang, Weibing; Qian, Junhong] East China Univ Sci &amp; Technol, Sch Chem &amp; Mol Engn, Shanghai Key Lab Funct Mat Chem, Shanghai 200237, Peoples R China; [Zhang, Jingyuan] Univ Alberta, Fac Sci, Dept Chem, Edmonton, AB t6g2r3, Canada</t>
  </si>
  <si>
    <t>East China University of Science &amp; Technology; University of Alberta</t>
  </si>
  <si>
    <t>Qian, JH (corresponding author), East China Univ Sci &amp; Technol, Sch Chem &amp; Mol Engn, Shanghai Key Lab Funct Mat Chem, Shanghai 200237, Peoples R China.</t>
  </si>
  <si>
    <t>junhongqian@ecust.edu.cn</t>
  </si>
  <si>
    <t>National Key Research and Development Program; [2022YFD1700801]</t>
  </si>
  <si>
    <t>National Key Research and Development Program;</t>
  </si>
  <si>
    <t>This work was financially supported by National Key Research and Development Program (2022YFD1700801) .</t>
  </si>
  <si>
    <t>10.1016/j.saa.2023.122818</t>
  </si>
  <si>
    <t>P8KE0</t>
  </si>
  <si>
    <t>WOS:001053096200001</t>
  </si>
  <si>
    <t>He, YX; Qian, J; Li, YY; Wang, PF; Lu, BH; Liu, Y; Zhang, YH; Liu, F</t>
  </si>
  <si>
    <t>He, Yuxuan; Qian, Jin; Li, Yuanyuan; Wang, Peifang; Lu, Bianhe; Liu, Yin; Zhang, Yuhang; Liu, Feng</t>
  </si>
  <si>
    <t>Responses of Phragmites communis and its rhizosphere bacteria to different exposure sequences of molybdenum disulfide and levofloxacin</t>
  </si>
  <si>
    <t>levofloxacin; MoS2; Phragmites communis; Exposure sequence</t>
  </si>
  <si>
    <t>OXIDATIVE STRESS; ANTIBIOTICS; TETRACYCLINE; GRAPHENE; PLANTS; PHYTOTOXICITY; NANOPARTICLES; NANOMATERIALS; ECOSYSTEMS; NANOTUBES</t>
  </si>
  <si>
    <t>The effect of the molybdenum disulfide (MoS2)/levofloxacin (LVF) co-exposure was explored on Phragmites communis and rhizosphere soil bacterial communities. The sequence of MoS2/LVF exposure and the different MoS2 dosages (10 mg/kg and 100 mg/kg) contributed to different degrees of effect on the plant after 42 days of exposure. The treatment with priority addition of low dosage MoS2 significantly ameliorated P. communis growth, with root length growing up to 532.22 &amp; PLUSMN; 46.29 cm compared to the sole LVF stress (200.04 &amp; PLUSMN; 29.13 cm). Besides, MoS2 served as an alleviator and reduced the accumulation of reactive oxygen species (ROS) and malondialdehyde (MDA) in P. communis under LVF stress, and activated bacteria in rhizosphere soil. These rhizosphere soil microbes assisted in mitigating toxic pollution in the soil and inducing plant resistance to external stress, such as bacteria genera Bacillus, Microbacterium, Flavihumibacter and altererythrobacter. Potential functional profiling of bacterial community indicated the addition of MoS2 contributed to relieve the reduction in functional genes associated with amino acid metabolism and the debilitation of gram_negative and aerobic phenotypic traits caused by LVF stress. This finding reveals the effect of different exposure sequences of MoS2 nanoparticles and antibiotic for plant-soil systems.</t>
  </si>
  <si>
    <t>[He, Yuxuan; Qian, Jin; Wang, Peifang; Lu, Bianhe; Liu, Yin; Zhang, Yuhang; Liu, Feng] Hohai Univ, Key Lab Integrated Regulat &amp; Resource Dev Shallow, Minist Educ, Nanjing 210098, Peoples R China; [He, Yuxuan; Qian, Jin; Wang, Peifang; Lu, Bianhe; Liu, Yin; Zhang, Yuhang; Liu, Feng] Hohai Univ, Coll Environm, Nanjing 210098, Peoples R China; [Li, Yuanyuan] China Machinery Int Engn Desi &amp; Res Inst Co Ltd, East China Reg Ctr, 2 Zidong Rd, Nanjing 210046, Peoples R China</t>
  </si>
  <si>
    <t>Qian, J (corresponding author), Hohai Univ, Key Lab Integrated Regulat &amp; Resource Dev Shallow, Minist Educ, Nanjing 210098, Peoples R China.</t>
  </si>
  <si>
    <t>hhuqj@hhu.edu.cn</t>
  </si>
  <si>
    <t>National Key Plan for Research and Development of China [2016YFC0401703]; Na- tional Natural Science Foundation of China [51779078]; Fundamental Research Funds for the Central Universities [B230205034]; Six Talent Peaks Project in Jiangsu Province [JNHB-012]; Priority Academic Program Development of Jiangsu Higher Education Institutions (PAPD)</t>
  </si>
  <si>
    <t>National Key Plan for Research and Development of China; Na- tional Natural Science Foundation of China(National Natural Science Foundation of China (NSFC)); Fundamental Research Funds for the Central Universities(Fundamental Research Funds for the Central Universities); Six Talent Peaks Project in Jiangsu Province; Priority Academic Program Development of Jiangsu Higher Education Institutions (PAPD)</t>
  </si>
  <si>
    <t>This study was financially supported by the National Key Plan for Research and Development of China (No. 2016YFC0401703) , the Na- tional Natural Science Foundation of China (No. 51779078) , the Fundamental Research Funds for the Central Universities (B230205034) , the Six Talent Peaks Project in Jiangsu Province (No. JNHB-012) , and Priority Academic Program Development of Jiangsu Higher Education Institutions (PAPD) .</t>
  </si>
  <si>
    <t>10.1016/j.envpol.2023.122273</t>
  </si>
  <si>
    <t>P6GT5</t>
  </si>
  <si>
    <t>WOS:001051646600001</t>
  </si>
  <si>
    <t>Hofer, G; Kotik, J; Proll, T</t>
  </si>
  <si>
    <t>Hofer, Gerhard; Kotik, Jan; Proell, Tobias</t>
  </si>
  <si>
    <t>Heat loss reduction and tap temperature equalization of a centralized domestic hot water system in a modernized pre-WWI residential building</t>
  </si>
  <si>
    <t>Domestic hot water (DHW) optimization; DHW circulation heat loss; Energy efficiency measure; Optimized DHW control; Residential buildings; Energy cost savings potential</t>
  </si>
  <si>
    <t>PERFORMANCE; LEGIONELLA; TANKS</t>
  </si>
  <si>
    <t>Savings potentials in Domestic Hot Water (DHW) systems are very often overlooked, as these systems are designed to require as little maintenance as possible. The present work therefore focuses on the optimization of a DHW circulation system in a modernized pre-WWI multistory residential building in Vienna, Austria. To minimize the heat losses of the system and reduce the natural gas consumption for DHW production, a simple approach was chosen and implemented by installing and adjusting (i) a plug-in type timer switch and (ii) a plug-in type temperature switch to control the operation of the DHW circulation pump. In terms of piping and insulation, the DHW system was not modified whatsoever. Measurements were carried out to test the suitability and effectiveness of the selected concepts. The data obtained were evaluated in terms of reproducibility, DHW system heat losses and primary energy savings, as well as user comfort (tap temperature progression) and health and safety aspects. The results show that the implementation of a widely available and inexpensive temperature switch for controlling the DHW circulation pump led to remarkable DHW system heat loss reductions in the range of 20-30%, which corresponds to primary energy savings of 15-20%, with no negative impact on user comfort and DHW safety compliance. The share of electrical energy savings due to the reduction of the operating time of the circulation pump is negligible, as are the costs of the installed equipment of the presented energy efficiency measure.</t>
  </si>
  <si>
    <t>[Hofer, Gerhard] Kreitnergasse 48-11, A-1160 Vienna, Austria; [Kotik, Jan; Proell, Tobias] Univ Nat Resources &amp; Life Sci, Inst Chem &amp; Energy Engn, Peter Jordan Str 82, A-1190 Vienna, Austria</t>
  </si>
  <si>
    <t>University of Natural Resources &amp; Life Sciences, Vienna</t>
  </si>
  <si>
    <t>Kotik, J (corresponding author), Univ Nat Resources &amp; Life Sci, Inst Chem &amp; Energy Engn, Peter Jordan Str 82, A-1190 Vienna, Austria.</t>
  </si>
  <si>
    <t>jan.kotik@boku.ac.at</t>
  </si>
  <si>
    <t>Proll, Tobias/0000-0001-6240-1916</t>
  </si>
  <si>
    <t>10.1016/j.jobe.2023.107506</t>
  </si>
  <si>
    <t>R7ON2</t>
  </si>
  <si>
    <t>WOS:001066212000001</t>
  </si>
  <si>
    <t>Hu, YL; Hu, Y; Li, JP; Wang, ZK; Ma, JJ; Cheng, TH; Wen, JM</t>
  </si>
  <si>
    <t>Hu, Yili; Hu, Ying; Li, Jianping; Wang, Zekang; Ma, Jijie; Cheng, Tinghai; Wen, Jianming</t>
  </si>
  <si>
    <t>Self-powered siphon rain gauge based on triboelectric nanogenerators</t>
  </si>
  <si>
    <t>Rain gauge; Siphon; Triboelectric nanogenerator; Synergistic multi-tube; Sensing; Energy harvesting</t>
  </si>
  <si>
    <t>ENERGY; TUBE</t>
  </si>
  <si>
    <t>Rainfall measurement is of great significance to agriculture, weather forecasting and water resource management, while rain energy harvesting is a desirable solution to energy demand of wireless sensor networks of rainfall information. In this work, a novel self-powered siphon rain gauge (SR) integrating with a siphon unit, a sensing unit and an energy harvesting unit is proposed, which can simultaneously measure rainfall information and capture rain energy. In the siphon unit, a siphon structure is used to periodically automatically trigger and stop siphon events. In the sensing unit, a liquid-solid multi-tube triboelectric nanogenerator (TENG) is proposed for the first time to detect rainfall information by a multi-tube synergistic sensing strategy. In the energy harvesting unit, a rotary TENG excited by the siphon emptying event is utilized to generate electricity by a rainwater potential energy collection-based generation strategy. After optimization design, the water level resolution of the multi-tube TENG is around 2.5 times higher than that of traditional single-tube TENG, resulting in a rainfall resolution of 20.45 &amp; mu;m of SR. Besides, the rotary TENG successfully converts random, disordered, high-entropy raindrops energy into regular, ordered, low-entropy fluid mechanical energy. It can finally help the SR achieve a power density of 97.2 &amp; mu;W/m2, which is nearly 2.5 times higher than that of liquid-solid contact TENG using the traditional instantaneous impact-based generation strategy. The proposed selfpowered SR not only obtains an excellent real-time rainfall sensing capability, but also has remarkable rain energy harvesting ability. Therefore, this SR has great potential for extensive applications in the hydrology and meteorology fields.</t>
  </si>
  <si>
    <t>[Hu, Yili; Li, Jianping; Wang, Zekang; Ma, Jijie; Wen, Jianming] Zhejiang Normal Univ, Inst Precis Machinery &amp; Smart Struct, Coll Engn, Key Lab Intelligent Operat &amp; Maintenance Technol &amp;, Yinbin St 688, Jinhua 321004, Peoples R China; [Cheng, Tinghai; Wen, Jianming] Chinese Acad Sci, Beijing Inst Nanoenergy &amp; Nanosyst, Beijing 101400, Peoples R China; [Hu, Ying] Univ Hong Kong, Dept Mech Engn, Lab Aerodynam &amp; Acoust, Pokfulam, Hong Kong, Peoples R China</t>
  </si>
  <si>
    <t>Zhejiang Normal University; Chinese Academy of Sciences; Beijing Institute of Nanoenergy &amp; Nanosystems, CAS; University of Hong Kong</t>
  </si>
  <si>
    <t>Cheng, TH; Wen, JM (corresponding author), Chinese Acad Sci, Beijing Inst Nanoenergy &amp; Nanosyst, Beijing 101400, Peoples R China.</t>
  </si>
  <si>
    <t>chengtinghai@binn.cas.cn; wjming@zjnu.cn</t>
  </si>
  <si>
    <t>Key Science and Technology Plan Project of Jinhua City, China (Research on rainwater triboelectric nanogenerator and rainfall seif-powered technology for intelligent agriculture; Zhejiang Provincial Natural Science Foundation of China [LQ21E050013, LY19E050010]; National Natural Science Foundation of China [52205075]; Zhejiang Provincial Key Research and Development Project of China [2021C01181]</t>
  </si>
  <si>
    <t>Key Science and Technology Plan Project of Jinhua City, China (Research on rainwater triboelectric nanogenerator and rainfall seif-powered technology for intelligent agriculture; Zhejiang Provincial Natural Science Foundation of China(Natural Science Foundation of Zhejiang Province); National Natural Science Foundation of China(National Natural Science Foundation of China (NSFC)); Zhejiang Provincial Key Research and Development Project of China</t>
  </si>
  <si>
    <t>The research is financially supported by the Key Science and Technology Plan Project of Jinhua City, China (Research on rainwater triboelectric nanogenerator and rainfall seif-powered technology for intelligent agriculture Grant numbers: TBD), Zhejiang Provincial Natural Science Foundation of China (LQ21E050013 and LY19E050010), the National Natural Science Foundation of China (52205075), Zhejiang Provincial Key Research and Development Project of China (2021C01181).</t>
  </si>
  <si>
    <t>10.1016/j.ymssp.2023.110649</t>
  </si>
  <si>
    <t>R2YM2</t>
  </si>
  <si>
    <t>WOS:001063056500001</t>
  </si>
  <si>
    <t>Jin, H; Lee, S; Nengroo, SH; Ahn, G; Chang, YJ; Har, D</t>
  </si>
  <si>
    <t>Jin, Hojun; Lee, Sangkeum; Nengroo, Sarvar Hussain; Ahn, Gijang; Chang, Yong-June; Har, Dongsoo</t>
  </si>
  <si>
    <t>P2P power trading of nanogrids for power management in consideration of battery lifetime of ESS</t>
  </si>
  <si>
    <t>ENERGY AND BUILDINGS</t>
  </si>
  <si>
    <t>Nanogrid power management; Peer-to-peer power trading of nanogrid; Photovoltaic system; Battery aging; Cooperative game theory</t>
  </si>
  <si>
    <t>PEER-TO-PEER; ENERGY-STORAGE SYSTEMS; ELECTRIC VEHICLES; COST MINIMIZATION; CAPACITY; ALGORITHM; INFORMATION; GENERATION; NETWORKS; STRATEGY</t>
  </si>
  <si>
    <t>This study presents a peer-to-peer (P2P) trading strategy for power management of nanogrids with renewable energy sources (RESs), taking battery lifetime of energy storage system (ESS) into consideration. Nanogrid requires more analytical power management as individual control of each electric appliance should be carried out, considering its rated power. With the increasing penetration of distributed energy resources, P2P trading can be applied to nanogrids equipped with RESs and ESSs. For the power management of a nanogrid, multi-objective optimization is used to minimize grid power consumption, electricity cost, and delay of using electric appliances in appliance scheduling. In this paper, a battery aging model or degradation cost model is considered in the multi-objective optimization to prolong the ESS lifetime. The electricity from RESs and ESSs used for P2P trading is determined to increase the profitability of nanogrids. Depending on the amount of electricity allocated to P2P trading, a nanogrid can be a seller or buyer in P2P trading. P2P trading is carried out based on the cooperative game theory to maximize the welfare of both sellers and buyers. As compared to power management involving P2P trading without considering ESS lifetime, the proposed one in consideration of ESS lifetime decreases the electricity cost of nanogrid by 2.86% on average, and the degradation cost of ESS by 32.75% on average.</t>
  </si>
  <si>
    <t>[Jin, Hojun; Nengroo, Sarvar Hussain; Har, Dongsoo] Korea Adv Inst Sci &amp; Technol KAIST, CCS Grad Sch Mobility, 291,Daehak ro, Daejeon 34141, South Korea; [Lee, Sangkeum] Elect &amp; Telecommun Res Inst ETRI, Environm ICT Res Sect, 218 Gajeong ro, Daejeon 34129, South Korea; [Ahn, Gijang; Chang, Yong-June] Samsung SDI, AEB Syst Verificat Grp, 150 20,Gongse ro, Yongin 17084, Gyeonggi Do, South Korea</t>
  </si>
  <si>
    <t>Korea Advanced Institute of Science &amp; Technology (KAIST); Electronics &amp; Telecommunications Research Institute - Korea (ETRI); Samsung</t>
  </si>
  <si>
    <t>Har, D (corresponding author), Korea Adv Inst Sci &amp; Technol KAIST, CCS Grad Sch Mobility, 291,Daehak ro, Daejeon 34141, South Korea.</t>
  </si>
  <si>
    <t>hjjin1995@kaist.ac.kr; sangkeum@etri.re.kr; sarvar@kaist.ac.kr; gijang.ahn@samsung.com; yj35.chang@samsung.com; dshar@kaist.ac.kr</t>
  </si>
  <si>
    <t>Nengroo, Sarvar Hussain/F-7419-2019</t>
  </si>
  <si>
    <t>Nengroo, Sarvar Hussain/0000-0002-9651-9282</t>
  </si>
  <si>
    <t>Samsung SDI</t>
  </si>
  <si>
    <t>Samsung SDI(Samsung)</t>
  </si>
  <si>
    <t>This work is financially supported by Samsung SDI.</t>
  </si>
  <si>
    <t>0378-7788</t>
  </si>
  <si>
    <t>1872-6178</t>
  </si>
  <si>
    <t>ENERG BUILDINGS</t>
  </si>
  <si>
    <t>Energy Build.</t>
  </si>
  <si>
    <t>10.1016/j.enbuild.2023.113290</t>
  </si>
  <si>
    <t>Construction &amp; Building Technology; Energy &amp; Fuels; Engineering, Civil</t>
  </si>
  <si>
    <t>Construction &amp; Building Technology; Energy &amp; Fuels; Engineering</t>
  </si>
  <si>
    <t>Q7IP2</t>
  </si>
  <si>
    <t>WOS:001059226000001</t>
  </si>
  <si>
    <t>Jin, P; Al-Rikabi, A; Deng, X</t>
  </si>
  <si>
    <t>Jin, Peng; Al-Rikabi, Ahmed; Deng, Xi</t>
  </si>
  <si>
    <t>A new family of downwind-limited, scale-invariant WENO schemes with optimal accuracy</t>
  </si>
  <si>
    <t>COMPUTERS &amp; FLUIDS</t>
  </si>
  <si>
    <t>WENO; Scale-invariant; Optimal accuracy; Critical points; ENO constraint</t>
  </si>
  <si>
    <t>ESSENTIALLY NONOSCILLATORY SCHEMES; HIGH-RESOLUTION SCHEMES; HIGH-ORDER; EFFICIENT IMPLEMENTATION; MULTIPHASE FLOWS; SIMULATION</t>
  </si>
  <si>
    <t>Despite improvement over decades, there are still at least two key issues not fully solved in Weighted Essentially Non-oscillatory (WENO) schemes. Firstly, most WENO schemes hardly satisfy the scale-invariant property, which undermines their robustness and accuracy when simulating flows involving different scales such as reactive multi-component flows and plasma. Secondly, most of existing Essentially Non-oscillatory (ENO) constraints are not sufficient and necessary conditions to achieve optimal accuracy. Therefore, in this work, we design a new family of WENO schemes based on a three-cell stencil to address these two issues. The new WENO non-linear weights are designed as bounded asymptotic functions which are dependent on cell Normalised Volume Integrated Average (NVIA) values and a shape parameter ������. Thus, the new WENO weighting functions are scale-independent. The shape parameter ������ controls the errors between the nonlinear weight and the ideal weight. As the value of ������ increases, the new weighting functions become more accurate but also become more likely to produce numerical oscillations. Thus, we propose a downwind limiting method as a supplementary constraint of ENO property. The maximum value of ������ which corresponds to the optimal accuracy of a weighting function can then be determined. The accuracy analysis via the standard Taylor expansion at critical points reveals that the proposed weighting functions outperform classical WENO schemes. The accuracy, scale-invariant property and ENO property of proposed schemes are further validated through benchmark tests, which shows the superior performance of the new schemes in comparison with existing three-cell-based WENO schemes. Thus, this work proposes a new direction to construct scale-invariant WENO weighting functions with optimal accuracy, which can potentially be extended to higher-order WENO schemes.</t>
  </si>
  <si>
    <t>[Jin, Peng] CAEP Software Ctr High Performance Numer Simulat, Beijing, Peoples R China; [Jin, Peng] Inst Appl Phys &amp; Computat Math, Beijing 100088, Peoples R China; [Al-Rikabi, Ahmed] Queen Mary Univ London, Sch Engn &amp; Mat Sci, London E1 4NS, England; [Deng, Xi] Imperial Coll, Dept Aeronaut, London SW7 2AZ, England; [Deng, Xi] Univ Cambridge, Dept Engn, Cambridge CB2 1PZ, England</t>
  </si>
  <si>
    <t>Chinese Academy of Sciences; Institute of Applied Physics &amp; Computational Mathematics - China; University of London; Queen Mary University London; Imperial College London; University of Cambridge</t>
  </si>
  <si>
    <t>Deng, X (corresponding author), Univ Cambridge, Dept Engn, Cambridge CB2 1PZ, England.</t>
  </si>
  <si>
    <t>xd257@cam.ac.uk</t>
  </si>
  <si>
    <t>Deng, Xi/AAD-6397-2021</t>
  </si>
  <si>
    <t>Deng, Xi/0000-0001-5153-3016</t>
  </si>
  <si>
    <t>Engineering and Physical Sciences Research Council, United Kingdom [EP/S025 650/1]; [EP/R030340/1]</t>
  </si>
  <si>
    <t>Engineering and Physical Sciences Research Council, United Kingdom(UK Research &amp; Innovation (UKRI)Engineering &amp; Physical Sciences Research Council (EPSRC));</t>
  </si>
  <si>
    <t>Xi Deng's research career at Imperial College London and the University of Cambridge is funded by Engineering and Physical Sciences Research Council, United Kingdom (EP/R030340/1) and (EP/S025 650/1), respectively. Prof. Peter Vincent and Prof. Nedunchezhian Swaminathan are acknowledged for offering supervision.</t>
  </si>
  <si>
    <t>0045-7930</t>
  </si>
  <si>
    <t>1879-0747</t>
  </si>
  <si>
    <t>COMPUT FLUIDS</t>
  </si>
  <si>
    <t>Comput. Fluids</t>
  </si>
  <si>
    <t>10.1016/j.compfluid.2023.105962</t>
  </si>
  <si>
    <t>Computer Science, Interdisciplinary Applications; Mechanics</t>
  </si>
  <si>
    <t>Computer Science; Mechanics</t>
  </si>
  <si>
    <t>Q0XM9</t>
  </si>
  <si>
    <t>WOS:001054833400001</t>
  </si>
  <si>
    <t>Jung, S; Shin, YC; Lee, MY; Oh, KS; Shin, DW; Kim, ES; Kim, MK; Jeon, SW; Cho, SJ</t>
  </si>
  <si>
    <t>Jung, Sra; Shin, Young Chul; Lee, Mi Yeon; Oh, Kang-Seob; Shin, Dong-Won; Kim, Eun Soo; Kim, Min-Kyoung; Jeon, Sang-Won; Cho, Sung Joon</t>
  </si>
  <si>
    <t>Occupational stress and depression of Korean employees: Moderated mediation model of burnout and grit</t>
  </si>
  <si>
    <t>Workplace mental health; Occupational stress; Depression; Burnout; Grit</t>
  </si>
  <si>
    <t>EFFORT-REWARD-IMBALANCE; PSYCHOSOCIAL WORK-ENVIRONMENT; JOB-STRESS; SYMPTOMS; HEALTH; ASSOCIATION; STRAIN; SELF; OVERCOMMITMENT; VALIDATION</t>
  </si>
  <si>
    <t>Background: The present study investigated an interpersonal model of development of depressive symptoms in employees, where occupational stress affects burnout, which in turn affects risk for depression, and whether this mediation is moderated by grit. Methods: A total of 11,421 participants, aged 19 to 65 years, who were employees of 18 private companies and local government organizations in Korea were included. They completed questionnaires, including the Korean version of occupational stress scale, Oldenburg Burnout Inventory, Center for Epidemiologic Studies Depression scale and Grit scale. Mediation and moderation analyses were carried out in the Statistical Package for the Social Sciences PROCESS macro.Results: The association between occupational stress and depressive symptoms was mediated by exhaustion (b = -0.256, 95 % CI [0.244, 0.268]) and disengagement (b = -0.052, 95 % CI [0.039, 0.065]). Moreover, the effect of exhaustion on depressive symptoms was moderated by each grit, with the effect being stronger for employees with low grit (b = 0.939, p &lt; 0.001 for passion and b = 0.629, p &lt; 0.001 for perseverance) than for those with high grit (b = 0.944, p &lt; 0.001 for passion and b = 0.686, p &lt; 0.001 for perseverance). Limitations: The cross-sectional design of the study does not allow causal inferences.Conclusions: These findings contribute to the understanding of how occupational stress predicts depressive symptoms in the workplace and provide practical implications for preventing burnout and nurturing grit to protect employees' mental health in the workplace.</t>
  </si>
  <si>
    <t>[Jung, Sra; Shin, Young Chul; Oh, Kang-Seob; Shin, Dong-Won; Kim, Eun Soo; Jeon, Sang-Won; Cho, Sung Joon] Sungkyunkwan Univ, Kangbuk Samsung Hosp, Dept Psychiat, Sch Med, Seoul, South Korea; [Shin, Young Chul; Jeon, Sang-Won; Cho, Sung Joon] Kangbuk Samsung Hosp, Workplace Mental Hlth Inst, Seoul, South Korea; [Lee, Mi Yeon] Sungkyunkwan Univ, Kangbuk Samsung Hosp, Dept Biostat, Sch Med, Seoul, South Korea; [Kim, Min-Kyoung] CHA Univ, CHA Univ Ilsan CHA Hosp, Dept Psychiat, Sch Med, Goyang, Gyeonggi Do, South Korea; [Jeon, Sang-Won; Cho, Sung Joon] Sungkyunkwan Univ, Kangbuk Samsung Hosp, Dept Psychiat, Sch Med, 29 Saemunan Ro, Seoul 03181, South Korea</t>
  </si>
  <si>
    <t>Sungkyunkwan University (SKKU); Samsung Medical Center; Sungkyunkwan University (SKKU); Samsung Medical Center; Sungkyunkwan University (SKKU); Samsung Medical Center; Pochon Cha University; Sungkyunkwan University (SKKU)</t>
  </si>
  <si>
    <t>Jeon, SW; Cho, SJ (corresponding author), Sungkyunkwan Univ, Kangbuk Samsung Hosp, Dept Psychiat, Sch Med, 29 Saemunan Ro, Seoul 03181, South Korea.</t>
  </si>
  <si>
    <t>swj.jeon@samsung.com; sungjoon.cho@samsung.com</t>
  </si>
  <si>
    <t>Lim Se-Won Medical Research Funds from Kangbuk Samsung Hospital</t>
  </si>
  <si>
    <t>This work was supported by the Lim Se-Won Medical Research Funds from Kangbuk Samsung Hospital.</t>
  </si>
  <si>
    <t>10.1016/j.jad.2023.07.045</t>
  </si>
  <si>
    <t>P2GZ5</t>
  </si>
  <si>
    <t>WOS:001048888800001</t>
  </si>
  <si>
    <t>Kiani-Moghaddam, M; Soltani, MN; Kalogirou, SA; Mahian, O; Arabkoohsar, A</t>
  </si>
  <si>
    <t>Kiani-Moghaddam, Mohammad; Soltani, Mohsen N.; Kalogirou, Soteris A.; Mahian, Omid; Arabkoohsar, Ahmad</t>
  </si>
  <si>
    <t>A review of neighborhood level multi-carrier energy hubs-uncertainty and problem-solving process</t>
  </si>
  <si>
    <t>Building energy system; Energy hub; Multi -carrier integrated energy systems; Uncertainty; Problem -solving process</t>
  </si>
  <si>
    <t>DEMAND RESPONSE; MULTIOBJECTIVE OPTIMIZATION; SENSITIVITY-ANALYSIS; LOAD MANAGEMENT; MODELING FRAMEWORK; OPTIMAL OPERATION; DYNAMIC-BEHAVIOR; OPTIMAL-DESIGN; HEAT-PUMP; SYSTEMS</t>
  </si>
  <si>
    <t>The energy hub (EH) is a promising concept that can accurately evaluate the performance of multi-carrier integrated energy systems (IESs), ranging from a building to a district, city, region, country, or even an international level. Multi-carrier EH-based IESs available in the literature have reached a desirable level of maturity for broad scales. However, there is confusion in the literature that misleads readers regarding multi-carrier EH-based IESs located on limited scales (e.g., buildings or neighborhood level). Furthermore, multi-carrier EH-based IESs studies that involve complexities such as discrete, continuous, or mixed decision-making variables, multiple conflicting objective functions, non-linearity, non-convexity, and discontinuity are affected by different technoeconomic, environmental, and social parameters that are uncertain. Ignoring such uncertain input parameters (UIPs) in these studies leads to less adaptable results to realistic conditions. However, their integration is a challenging process intensifying these complexities during studies' modeling, optimization, and decision-making processes. Therefore, this review paper aims to fill these gaps by identifying, classifying, assessing, and prioritizing different UIPs, their analyzing techniques, and solution approaches, solvers, and software for addressing relevant optimization problems to achieve a deeper understanding of current challenges and potential future research, trend, and capacities in multi-carrier EH-based IESs studies.</t>
  </si>
  <si>
    <t>[Kiani-Moghaddam, Mohammad; Soltani, Mohsen N.] Aalborg Univ, AAU Energy, Niels Bohrs Vej 8, DK-6700 Esbjerg, Denmark; [Kalogirou, Soteris A.] Cyprus Univ Technol, Dept Mech Engn &amp; Mat Sci &amp; Engn, POB 50329, CY-3603 Limassol, Cyprus; [Mahian, Omid] Xi An Jiao Tong Univ, Sch Chem Engn &amp; Technol, Xian, Shaanxi, Peoples R China; [Arabkoohsar, Ahmad] Tech Univ Denmark, Dept Civil &amp; Mech Engn, Lyngby, Denmark</t>
  </si>
  <si>
    <t>Aalborg University; Cyprus University of Technology; Xi'an Jiaotong University; Technical University of Denmark</t>
  </si>
  <si>
    <t>Arabkoohsar, A (corresponding author), Tech Univ Denmark, Dept Civil &amp; Mech Engn, Lyngby, Denmark.</t>
  </si>
  <si>
    <t>ahmad.koohsar@yahoo.com</t>
  </si>
  <si>
    <t>Arabkoohsar, Ahmad/ABE-7403-2020; Kiani-Moghaddam, Mohammad/AAU-4296-2021; Kalogirou, Soteris/D-3883-2015; Soltani, Mohsen/C-2239-2009</t>
  </si>
  <si>
    <t>Arabkoohsar, Ahmad/0000-0002-8753-5432; Kiani-Moghaddam, Mohammad/0000-0003-2250-8350; Kalogirou, Soteris/0000-0002-3654-1437; Soltani, Mohsen/0000-0003-0741-070X</t>
  </si>
  <si>
    <t>10.1016/j.energy.2023.128263</t>
  </si>
  <si>
    <t>O4WE4</t>
  </si>
  <si>
    <t>WOS:001043824900001</t>
  </si>
  <si>
    <t>Koenig, BC; Zhao, P; Deng, SL</t>
  </si>
  <si>
    <t>Koenig, Benjamin C.; Zhao, Peng; Deng, Sili</t>
  </si>
  <si>
    <t>Accommodating physical reaction schemes in DSC cathode thermal stability analysis using chemical reaction neural networks</t>
  </si>
  <si>
    <t>Lithium-ion battery; Thermal runaway; Cathode decomposition; Chemical reaction neural networks (CRNN); Differential scanning calorimetry</t>
  </si>
  <si>
    <t>TEMPERATURE; MODEL</t>
  </si>
  <si>
    <t>With the increasing demand for applications in vehicles and energy storage systems, lithium-ion batteries have attracted extensive research interest. Thermal runaway in these batteries, which can lead to rapid temperature rise, flammable gas release, and even fires, directly imposes safety concerns. Previous studies have utilized differential scanning calorimetry (DSC) to infer thermal kinetic mechanisms for individual battery components. However, the commonly used Kissinger analysis involves oversimplified assumptions which lead to erroneous quantification of the kinetic parameters and inaccurate physical interpretation of the results. Here, we propose an extension of the recently developed Chemical Reaction Neural Network (CRNN) framework that is not limited by the simplifications from traditional optimization methods and can learn complex, multi-step thermal kinetics from DSC data. After a proof of concept, we leverage this novel approach to improve recent thermal decomposition models for nickel-cobalt-manganese oxide (NCM) cathodes. Its generality and enhanced learning capability enable improved models with better agreement to the data that account for the actual physical coupling between multi-step reaction pathways. The successful development of the CRNN approach to learn such thermal kinetic models from simple DSC data demonstrates its potential to advance thermal runaway modelling for lithium-ion batteries and other complex kinetic systems.</t>
  </si>
  <si>
    <t>[Koenig, Benjamin C.; Deng, Sili] MIT, Dept Mech Engn, Cambridge, MA 02139 USA; [Zhao, Peng] Univ Tennessee, Dept Mech Aerosp &amp; Biomed Engn, Knoxville, TN 37996 USA</t>
  </si>
  <si>
    <t>Massachusetts Institute of Technology (MIT); University of Tennessee System; University of Tennessee Knoxville</t>
  </si>
  <si>
    <t>Deng, SL (corresponding author), MIT, Dept Mech Engn, Cambridge, MA 02139 USA.</t>
  </si>
  <si>
    <t>silideng@mit.edu</t>
  </si>
  <si>
    <t>Zhao, Peng/H-9028-2019</t>
  </si>
  <si>
    <t>Zhao, Peng/0000-0002-6743-6269; Koenig, Benjamin/0000-0002-5733-0807</t>
  </si>
  <si>
    <t>National Science Foundation [CBET-2143625]; National Science Foundation Graduate Research Fellowship [1745302]</t>
  </si>
  <si>
    <t>National Science Foundation(National Science Foundation (NSF)); National Science Foundation Graduate Research Fellowship(National Science Foundation (NSF))</t>
  </si>
  <si>
    <t>Acknowledgements SD acknowledges the support from the National Science Foundation under Grant No. CBET-2143625. BCK is partially supported by the National Science Foundation Graduate Research Fellowship under Grant No. 1745302. The authors would like to thank Dr. Qiaofeng Li for his expertise regarding the implementation of the chemical reaction neural network, and Dr. Jianan Zhang for his knowledge and insight regarding nickel-rich cathode materials.</t>
  </si>
  <si>
    <t>10.1016/j.jpowsour.2023.233443</t>
  </si>
  <si>
    <t>P8CR5</t>
  </si>
  <si>
    <t>WOS:001052901000001</t>
  </si>
  <si>
    <t>Lee, KYB; Yun, SHY; Park, J; Lee, SK; Carcaboso, AM; Yi, SJ; Kim, K</t>
  </si>
  <si>
    <t>Lee, Kyubin; Yun, Sohyeong; Park, Jisu; Lee, Seokchan; Carcaboso, Angel M.; Yi, Sun-Ju; Kim, Kyunghwan</t>
  </si>
  <si>
    <t>Dimethyl alpha-ketoglutarate inhibits proliferation in diffuse intrinsic pontine glioma by reprogramming epigenetic and transcriptional networks</t>
  </si>
  <si>
    <t>DIPG; DMKG; p300; c-MYC; ATF1</t>
  </si>
  <si>
    <t>GROWTH-FACTOR; P300; PHOSPHORYLATION; 2-OXOGLUTARATE; CELLS</t>
  </si>
  <si>
    <t>Diffuse intrinsic pontine glioma (DIPG) is a highly aggressive pediatric brain tumor with limited therapeutic options. Here, we investigated the potential of dimethyl alpha-ketoglutarate (DMKG) as an anti-proliferative agent against DIPG and unraveled its underlying molecular mechanisms. DMKG exhibited robust inhibition of DIPG cell proliferation, colony formation, and neurosphere growth. Transcriptomic analysis revealed substantial alterations in gene expression, with upregulated genes enriched in hypoxia-related pathways and downregulated genes associated with cell division and the mitotic cell cycle. Notably, DMKG induced G1/S phase cell cycle arrest and downregulated histone H3 lysine 27 acetylation (H3K27ac) without affecting H3 methylation levels. The inhibition of AKT and ERK signaling pathways by DMKG coincided with decreased expression of the CBP/ p300 coactivator. Importantly, we identified the c-MYC-p300/ATF1-p300 axis as a key mediator of DMKG's effects, demonstrating reduced binding to target gene promoters and decreased H3K27ac levels. Depletion of cMYC or ATF1 effectively inhibited DIPG cell growth. These findings highlight the potent anti-proliferative properties of DMKG, its impact on epigenetic modifications, and the involvement of the c-MYC-p300/ATF1p300 axis in DIPG, shedding light on potential therapeutic strategies for this devastating disease.</t>
  </si>
  <si>
    <t>[Lee, Kyubin; Yun, Sohyeong; Park, Jisu; Lee, Seokchan; Yi, Sun-Ju; Kim, Kyunghwan] Chungbuk Natl Univ, Dept Biol Sci &amp; Biotechnol, Cheongju 28644, Chungbuk, South Korea; [Carcaboso, Angel M.] Hosp St Joan de Deu, Inst Recerca St Joan de Deu, SJD Pediat Canc Ctr Barcelona, Barcelona 08950, Spain</t>
  </si>
  <si>
    <t>Chungbuk National University; University of Barcelona</t>
  </si>
  <si>
    <t>Kim, K (corresponding author), Chungbuk Natl Univ, Dept Biol Sci &amp; Biotechnol, Cheongju 28644, Chungbuk, South Korea.</t>
  </si>
  <si>
    <t>kyungkim@chungbuk.ac.kr</t>
  </si>
  <si>
    <t>National Research Foundation of Korea [2020R1A6A1A06046235, 2021RIS-001, 2023R1A2C1006401, 2022R1I1A1A01069534]; Chungbuk National University; National Research Foundation of Korea [2021RIS-001, 2022R1I1A1A01069534, 2023R1A2C1006401] Funding Source: Korea Institute of Science &amp; Technology Information (KISTI), National Science &amp; Technology Information Service (NTIS)</t>
  </si>
  <si>
    <t>National Research Foundation of Korea(National Research Foundation of Korea); Chungbuk National University; National Research Foundation of Korea(National Research Foundation of Korea)</t>
  </si>
  <si>
    <t>&amp; nbsp;This work was carried out with the support of the National Research Foundation of Korea (2020R1A6A1A06046235, 2021RIS-001 and 2023R1A2C1006401 to K.K.; 2022R1I1A1A01069534 to S.J.Y.) and Chungbuk National University BK21 Program (2021) .</t>
  </si>
  <si>
    <t>10.1016/j.bbrc.2023.07.050</t>
  </si>
  <si>
    <t>O9XS6</t>
  </si>
  <si>
    <t>WOS:001047280300001</t>
  </si>
  <si>
    <t>Li, DX; Wang, XH; Dai, JG; Liu, H; Xu, YT; Yuan, CH; Chen, GR; Dai, LZ</t>
  </si>
  <si>
    <t>Li, Dongxu; Wang, Xiaohong; Dai, Juguo; Liu, Hao; Xu, Yiting; Yuan, Conghui; Chen, Guorong; Dai, Lizong</t>
  </si>
  <si>
    <t>Triarylamine-based polyamide containing adamantane group as Fe3+probe and electrochromic smart devices</t>
  </si>
  <si>
    <t>Polyamide; Electrochromic; Electrofluorochromic; Sensor; Smart devices</t>
  </si>
  <si>
    <t>CARBON DOTS; FE3+; POLYMER; FLUORESCENCE; NANOPARTICLES; PROBE; ION</t>
  </si>
  <si>
    <t>A new triarylamine-based polyamide was synthesized from 1,4-cyclohexanedicarboxylic acid and diamine monomer containing adamantane group (PA-CA), which exhibits high fluorescence quantum up to 46.1% and excellent electrochromic behaviors. The photoluminescence of PA-CA was quenched by coordination and internal filtration effect to realize Fe3+ response. Neutral colorless PA-CA film was converted to the oxidized blue in the electrochemical oxidation process and the maximum transmittance reached 80%, and the transmittance still exceeded 55% after 10,000 s. A Sandwich structure electrochromic device with PA-CA as the active layer was constructed with a simple strategy and different contents were displayed through patterned customization. Electrofluorochromic performance was regulated and decoding information was customized by applying voltage changes of the light and dark for PA-CA film. The applications of multifunctional integrated PA-CA responding to stimulus have broad prospects in the field of Fe3+ fluorescence sensors, photodetectors and multicolor electro-chromic display devices.</t>
  </si>
  <si>
    <t>[Li, Dongxu; Wang, Xiaohong; Dai, Juguo; Liu, Hao; Xu, Yiting; Yuan, Conghui; Chen, Guorong; Dai, Lizong] Xiamen Univ, Coll Mat, Fujian Prov Key Lab Fire Retardant Mat, Xiamen Key Lab Fire Retardant Mat, Xiamen 361005, Peoples R China</t>
  </si>
  <si>
    <t>Xu, YT; Dai, LZ (corresponding author), Xiamen Univ, Coll Mat, Fujian Prov Key Lab Fire Retardant Mat, Xiamen Key Lab Fire Retardant Mat, Xiamen 361005, Peoples R China.</t>
  </si>
  <si>
    <t>xyting@xmu.edu.cn; lzdai@xmu.edu.cn</t>
  </si>
  <si>
    <t>National Natural Science Foundation of China [52273275, YDZX20193502000004]; Collaborative Innovation Center of Petrochemical Downstream Raw Materials and New Materials Industry,; Xiamen Public Technology Service Platform Oriented Project; [U22A20149]</t>
  </si>
  <si>
    <t>National Natural Science Foundation of China(National Natural Science Foundation of China (NSFC)); Collaborative Innovation Center of Petrochemical Downstream Raw Materials and New Materials Industry,; Xiamen Public Technology Service Platform Oriented Project;</t>
  </si>
  <si>
    <t>This work was financially supported by the National Natural Science Foundation of China (U22A20149, 52273275) , Collaborative Innovation Center of Petrochemical Downstream Raw Materials and New Materials Industry, and Xiamen Public Technology Service Platform Oriented Project (YDZX20193502000004) .</t>
  </si>
  <si>
    <t>10.1016/j.snb.2023.134161</t>
  </si>
  <si>
    <t>Q6EQ6</t>
  </si>
  <si>
    <t>WOS:001058438500001</t>
  </si>
  <si>
    <t>Li, R; Han, B; Zhao, K; Wang, ZD; Shi, Y; Bi, KD; Sun, GF</t>
  </si>
  <si>
    <t>Li, Rui; Han, Bin; Zhao, Kai; Wang, Zhandong; Shi, Yan; Bi, Kedong; Sun, Guifang</t>
  </si>
  <si>
    <t>Effects of TiC addition on the hot corrosion behavior of IN718 fabricated by laser direct metal deposition</t>
  </si>
  <si>
    <t>MATERIALS CHEMISTRY AND PHYSICS</t>
  </si>
  <si>
    <t>Laser direct metal deposition; Superalloys; Microstructure; Hot corrosion</t>
  </si>
  <si>
    <t>RESISTANCE</t>
  </si>
  <si>
    <t>The hot corrosion behavior and mechanism of the IN718 nickel-chromium alloy (Sample D1) and 1 wt % TiC-reinforced IN718 (Sample D2) fabricated by laser direct metal deposition (DMD) in a 75 wt % Na2SO4 + 25 wt % NaCl saturated mixed molten salt at 700 degrees C were studied. After a 100-h test, the weight loss ratio of Sample D1 was 2.4 times that of Sample D2, and the corrosion rate of Sample D1 was 1.5 times that of Sample D2. Chlorination, sulphidation, and oxidation, as well as a change in the acidity at the molten salt interface of the alloy, led to serious spalling of Sample D1. However, the addition of TiC refined the grains, resulting in rapid diffusion of Cr to the alloy surface and formation of a Cr2O3 protective layer at high temperatures. In addition, the diffusion of Ni, Fe, etc., was hindered by TiC particles inside the superalloy, which reduced the thickness of the hot corrosion product layer by about 26% and improved the hot corrosion resistance of Sample D2.</t>
  </si>
  <si>
    <t>[Li, Rui; Han, Bin; Zhao, Kai; Bi, Kedong; Sun, Guifang] Southeast Univ, Sch Mech Engn, Nanjing 211189, Jiangsu, Peoples R China; [Li, Rui; Han, Bin; Zhao, Kai; Bi, Kedong; Sun, Guifang] Southeast Univ, Jiangsu Key Lab Design &amp; Manufacture Micronano Bio, Nanjing 211189, Jiangsu, Peoples R China; [Wang, Zhandong] Nanjing Forestry Univ, Coll Mech &amp; Elect Engn, Nanjing 210037, Jiangsu, Peoples R China; [Shi, Yan] Beihang Univ, Sch Automat Sci &amp; Elect Engn, 37 Xueyuan Rd, Beijing 100191, Peoples R China</t>
  </si>
  <si>
    <t>Southeast University - China; Southeast University - China; Nanjing Forestry University; Beihang University</t>
  </si>
  <si>
    <t>Bi, KD; Sun, GF (corresponding author), Southeast Univ, Sch Mech Engn, Nanjing 211189, Jiangsu, Peoples R China.;Bi, KD; Sun, GF (corresponding author), Southeast Univ, Jiangsu Key Lab Design &amp; Manufacture Micronano Bio, Nanjing 211189, Jiangsu, Peoples R China.</t>
  </si>
  <si>
    <t>kedongbi@seu.edu.cn; gfsun@seu.edu.cn</t>
  </si>
  <si>
    <t>Sun, Guifang/0000-0002-3809-1652</t>
  </si>
  <si>
    <t>Technical Field of the Basic Strengthening Plan of the Science and Technology of a Certain Commission of China [2021-JCJQ-JJ-0088]; [2022-JCJQ-JJ-0117]</t>
  </si>
  <si>
    <t>Technical Field of the Basic Strengthening Plan of the Science and Technology of a Certain Commission of China;</t>
  </si>
  <si>
    <t>This work was supported by the fund for the Technical Field of the Basic Strengthening Plan of the Science and Technology of a Certain Commission of China (grant number 2022-JCJQ-JJ-0117, 2021-JCJQ-JJ-0088) .</t>
  </si>
  <si>
    <t>0254-0584</t>
  </si>
  <si>
    <t>1879-3312</t>
  </si>
  <si>
    <t>MATER CHEM PHYS</t>
  </si>
  <si>
    <t>Mater. Chem. Phys.</t>
  </si>
  <si>
    <t>10.1016/j.matchemphys.2023.128167</t>
  </si>
  <si>
    <t>Q8IZ6</t>
  </si>
  <si>
    <t>WOS:001059916800001</t>
  </si>
  <si>
    <t>Li, YL; Wang, HL; Zhu, ZH; Liang, FP; Zou, HH</t>
  </si>
  <si>
    <t>Li, Yun-Lan; Wang, Hai-Ling; Zhu, Zhong-Hong; Liang, Fu-Pei; Zou, Hua-Hong</t>
  </si>
  <si>
    <t>Recent advances in the structural design and regulation of lanthanide clusters: Formation and self-assembly mechanisms</t>
  </si>
  <si>
    <t>Lanthanide clusters; Self-assembly mechanism; Multidentate chelate coordination; Structural</t>
  </si>
  <si>
    <t>SINGLE-MOLECULE MAGNETS; STEP-BY-STEP; COORDINATION CHEMISTRY; CARBON-DIOXIDE; COMPLEXES; CAGE; WATER; TB; LN; CONSTRUCTION</t>
  </si>
  <si>
    <t>The design and synthesis of lanthanide clusters with novel topological connections and desirable properties are attracting extensive attention. Researchers have obtained numerous types of lanthanide clusters (e.g., tubular, cage, hamburger, and wheel) and examined their magnetocaloric effect, proton conductivity, sensing ability, applicability to lighting, and molecular magnetism. Despite substantial progress, lanthanide clusters are still primarily designed and synthesized via two common strategies: the ligand-controlled hydrolysis method and the anion-template method supported by carboxylic acid ligands. A detailed analysis of the formation and assembly mechanism would enable precisely controlled synthesis and the rapid development of crystal engineering. However, tracking the assembly process is difficult because both common strategies involve complex reactions with unstable intermediate and final products. Therefore, new guiding strategies for the design and construction of lanthanide clusters are urgently demanded. Bulky multidentate chelating ligands can quickly capture Ln(III) ions in solution, forming relatively stable single-template primitives. In the presence of an anion or specific hydrolyzate, single-template primitives assemble into multicomponent template primitives and then into com-plex lanthanide clusters (LCs). The intermediate template primitives are stable because the outer chelating li-gands tightly wrap the inner metal center; consequently, the obtained LCs are highly stable in solution. These stable template primitives enable the identification of intermediates in the self-assembly process and facilitate the rational design and directed construction of LCs. In addition, the rapid capture of Ln(III) ions by multidentate chelating ligands greatly simplifies the self-assembly process, avoiding the formation of many low-stability, difficult-to-discriminate, chaotic, extremely complex, and diverse Ln(III)-ion hydrolysis intermediates and thereby promoting in-depth analysis of the self-assembly mechanisms (SAMs) of LCs. In recent years, multi-dentate chelate coordination (MCC) has emerged as a promising method for constructing serial LCs with deci-pherable SAMs. This review highlights the research progress on SAMs of LCs, focusing on the different SAMs of the hydrolysis method, anion-template method, and MCC method. The review highlights that MCC can advance SAM studies of LCs.</t>
  </si>
  <si>
    <t>[Li, Yun-Lan; Wang, Hai-Ling; Zhu, Zhong-Hong; Liang, Fu-Pei; Zou, Hua-Hong] Guangxi Normal Univ, Sch Chem &amp; Pharmaceut Sci, State Key Lab Chem &amp; Mol Engn Med Resources, Guilin 541004, Peoples R China; [Liang, Fu-Pei] Guilin Univ Technol, Coll Chem &amp; Bioengn, Guilin 541004, Peoples R China</t>
  </si>
  <si>
    <t>Guangxi Normal University; Guilin University of Technology</t>
  </si>
  <si>
    <t>Zhu, ZH; Liang, FP; Zou, HH (corresponding author), Guangxi Normal Univ, Sch Chem &amp; Pharmaceut Sci, State Key Lab Chem &amp; Mol Engn Med Resources, Guilin 541004, Peoples R China.;Liang, FP (corresponding author), Guilin Univ Technol, Coll Chem &amp; Bioengn, Guilin 541004, Peoples R China.</t>
  </si>
  <si>
    <t>18317725515@163.com; liangfupei@glut.edu.cn; gxnuchem@foxmail.com</t>
  </si>
  <si>
    <t>Zou, Hua-Hong/0000-0003-1759-3714; Zhu, Zhong-Hong/0000-0003-1968-4855</t>
  </si>
  <si>
    <t>National Natural Science Foundation of China [22061005, 22075058]; [22271068]</t>
  </si>
  <si>
    <t>This work was supported by the National Natural Science Foundation of China (22271068, 22061005 and 22075058) .</t>
  </si>
  <si>
    <t>10.1016/j.ccr.2023.215322</t>
  </si>
  <si>
    <t>P8VT9</t>
  </si>
  <si>
    <t>WOS:001053402700001</t>
  </si>
  <si>
    <t>Lin, L; Li, S; Huo, LY; Liu, X</t>
  </si>
  <si>
    <t>Lin, Lan; Li, Sa; Huo, Linying; Liu, Xin</t>
  </si>
  <si>
    <t>Study on the relationship between fractal dimension and particle fragmentation for marine coral sand under impact load</t>
  </si>
  <si>
    <t>Coral sand; Impact load; Particle fragmentation; Fractal dimension; Relative breakage index</t>
  </si>
  <si>
    <t>SHEAR-STRENGTH; ROCKFILL DAMS; BREAKAGE; SIZE; SOIL</t>
  </si>
  <si>
    <t>As a subsoil for many offshore structures, marine coral sand can encounter various impact loads, resulting in particle fragmentation. The fractal theory is an excellent method to quantify particle fragmentation. However, the relationship between the fractal dimension and relative breakage as well as its influencing factors are somewhat limited for coral sand under impact loads. Therefore, this paper systematically investigates the fractal behavior of a classic type of coral sand in the South China Sea through a series of impact load experiments. The experiment results show that the gradation curve of the coral sand under impact loading exhibits evident fractal characteristics after fragmentation, with the fractal dimension increasing with increasing fragmentation. And the ultimate fractal dimension is independent of the particle size and uniformity coefficient. Therefore, taking the ultimate fractal dimension as an ultimate state of particle fragmentation, a relative breakage index based on the relationship between the original, current, and ultimate fractal dimensions is proposed. These results can support more efficient and accurate predictions of particle fragmentation, thus promoting the safer design and con-struction of offshore engineering in coral sand.</t>
  </si>
  <si>
    <t>[Lin, Lan; Li, Sa; Huo, Linying; Liu, Xin] Tianjin Univ, Dept Civil Engn, Tianjin 300350, Peoples R China; [Li, Sa; Liu, Xin] Tianjin Univ, State Key Lab Hydraul Engn Simulat &amp; Safety, Tianjin 300350, Peoples R China; [Lin, Lan] Tsinghua Univ, Dept Civil Engn, Beijing 100084, Peoples R China; [Li, Sa] Tianjin Univ, Inst Geotech Engn, Dept Civil Engn, 135 YaGuan Rd, Tianjin, Peoples R China</t>
  </si>
  <si>
    <t>Tianjin University; Tianjin University; Tsinghua University; Tianjin University</t>
  </si>
  <si>
    <t>Li, S (corresponding author), Tianjin Univ, Inst Geotech Engn, Dept Civil Engn, 135 YaGuan Rd, Tianjin, Peoples R China.</t>
  </si>
  <si>
    <t>lisa@tju.edu.cn</t>
  </si>
  <si>
    <t>National Natural Science Foundation of China [42072294]</t>
  </si>
  <si>
    <t>This paper is supported by the National Natural Science Foundation of China (Grant No. 42072294) .</t>
  </si>
  <si>
    <t>10.1016/j.oceaneng.2023.115442</t>
  </si>
  <si>
    <t>R8GE0</t>
  </si>
  <si>
    <t>WOS:001066677600001</t>
  </si>
  <si>
    <t>Liu, L; Xu, GL; Zhang, C; Qi, ZX; Song, JH; Ma, L</t>
  </si>
  <si>
    <t>Liu, Lei; Xu, Guoli; Zhang, Chen; Qi, Zexuan; Song, Jinhong; Ma, Lei</t>
  </si>
  <si>
    <t>Physical vapor deposition of Sb2Se3 films as high-performance anode materials in quasi-solid-state Li-ion batteries</t>
  </si>
  <si>
    <t>ACTA MATERIALIA</t>
  </si>
  <si>
    <t>Sb 2 Se 3 films; Anode; Quasi -solid-state battery; Electrochemistry</t>
  </si>
  <si>
    <t>ELECTROCHEMICAL PROPERTIES; ENERGY-STORAGE; LITHIUM; CAPACITY; ELECTRODES; NANOSHEETS</t>
  </si>
  <si>
    <t>Antimony selenide (Sb2Se3) thin films with cluster morphology were prepared using physical vapor deposition method combined with the post-annealing process. The composition and morphology of the prepared films were characterized by X-ray diffraction, scanning electron microscopy, and X-ray photoelectron spectroscopy. Electrochemical analysis of the samples revealed that the Li/Sb2Se3 half-cell exhibited an initial discharge specific capacity of 825.7 mAh &amp; BULL;g- 1 at a current density of 0.5 C, and a discharge specific capacity of 1192.7 mAh &amp; BULL;g- 1 after 100 charge-discharge cycles. The Sb2Se3 film also displayed excellent rate characteristics and a high cycling performance with a high discharge specific capacity of 812.2 mAh &amp; BULL;g- 1 at current density of 2 C after 600 chargedischarge cycles. Results obtained from the galvanostatic intermittent titration tests and from electrochemical impedance spectroscopy proved that the cluster structure of the thin film was beneficial to the ion transport characteristics, as well as for the rate performance of the Sb2Se3 thin film materials. A quasi-solid-state battery based on Sb2Se3/Li1.3Al0.3Ti1.7(PO4)3/LiFePO4 was also assembled, which provided a discharge specific capacity of 445.5 mAh &amp; BULL;g- 1 at 0.5 C with a capacity retention rate of 49.7% after 200 charge-discharge cycles. The results of this study clearly suggest that the use of Sb2Se3 films as anode materials can provide promising results in the performance enhancement of quasi-solid-state Li-ion batteries.</t>
  </si>
  <si>
    <t>[Liu, Lei; Xu, Guoli; Zhang, Chen; Qi, Zexuan; Song, Jinhong; Ma, Lei] Hebei Univ, Coll Elect Informat Engn, Key Lab Brain Like Neuromorph Devices &amp; Syst Hebei, Baoding 071002, Peoples R China</t>
  </si>
  <si>
    <t>Hebei University</t>
  </si>
  <si>
    <t>Liu, L; Ma, L (corresponding author), Hebei Univ, Coll Elect Informat Engn, Key Lab Brain Like Neuromorph Devices &amp; Syst Hebei, Baoding 071002, Peoples R China.</t>
  </si>
  <si>
    <t>leiliu@hbu.edu.cn; malei@hbu.edu.cn</t>
  </si>
  <si>
    <t>Key Research and Development Program of Tianjin [19YFHBQY00030]; National Natural Science Foundation of China [51677128]; Natural Science Foundation of Hebei Province [F2021201007, B2021201051]; Advanced Talents Incubation Program of the Hebei University [521000981007]</t>
  </si>
  <si>
    <t>Key Research and Development Program of Tianjin; National Natural Science Foundation of China(National Natural Science Foundation of China (NSFC)); Natural Science Foundation of Hebei Province(Natural Science Foundation of Hebei Province); Advanced Talents Incubation Program of the Hebei University</t>
  </si>
  <si>
    <t>This study was supported by the Key Research and Development Program of Tianjin (19YFHBQY00030) , National Natural Science Foundation of China (No. 51677128) , Natural Science Foundation of Hebei Province (No. F2021201007, B2021201051) , and Advanced Talents Incubation Program of the Hebei University (Grant No.521000981007) . The authors thank the Physical and Chemical Analysis Center of Hebei University.</t>
  </si>
  <si>
    <t>1359-6454</t>
  </si>
  <si>
    <t>1873-2453</t>
  </si>
  <si>
    <t>ACTA MATER</t>
  </si>
  <si>
    <t>Acta Mater.</t>
  </si>
  <si>
    <t>10.1016/j.actamat.2023.119252</t>
  </si>
  <si>
    <t>Q9UL8</t>
  </si>
  <si>
    <t>WOS:001060894300001</t>
  </si>
  <si>
    <t>Manimaran, K; Yanto, DHY; Anita, SH; Nurhayat, OD; Selvaraj, K; Basavarajappa, S; Hashem, MI; Palanisamy, G; Lin, MC; Kumarasamy, K</t>
  </si>
  <si>
    <t>Manimaran, Kumar; Yanto, Dede Heri Yuli; Anita, Sita Heris; Nurhayat, Oktan Dwi; Selvaraj, Kumar; Basavarajappa, Santhosh; Hashem, Mohamed Ibrahim; Palanisamy, Govindasamy; Lin, Mei-Ching; Kumarasamy, Keerthika</t>
  </si>
  <si>
    <t>Synthesis and characterization of Hypsizygus ulmarius extract mediated silver nanoparticles (AgNPs) and test their potentiality on antimicrobial and anticancer effects</t>
  </si>
  <si>
    <t>Hypsizygus ulmarius; Mycosynthesis; Hu-AgNPs; Antimicrobial; Cytotoxicity (A549) cell lines</t>
  </si>
  <si>
    <t>GREEN SYNTHESIS; GOLD NANOPARTICLES; ANTIBACTERIAL ACTIVITY; MUSHROOM; BIOSYNTHESIS; GROWTH; MYCOSYNTHESIS; ANTIOXIDANT; EXPRESSION; TOXICITY</t>
  </si>
  <si>
    <t>The prime aim of this research is to discover new, eco-friendly approaches to reducing agents for manufacturing silver nanoparticles (AgNPs) from fresh fruiting bodies of the edible mushroom Hypsizygus ulmarius (Hu). The confirmation of Hu-mediated AgNPs has been characterized by UV visible spectroscopy, XRD, FTIR, SEM with EDX, HRTEM, AFM, PSA, Zeta poetical and GCMS analysis. The absorption peak of Hu-AgNPs at 430 nm has been confirmed by UV-visible spectroscopy analysis. The findings of the particle size study show that AgNPs have a size distribution with an average of 20 nm. The Zeta potential of NPs reveals a significant build-up of negative charges on their surface. The additional hydrate layers that occurred at the surface of AgNPs are shown in the HR-TEM morphology images. The antibacterial activity results showed that Hu-AgNPs were highly effective against both bacterial pathogens, with gram-positive (+) and gram-negative (-) pathogens having a moderate inhibition effect on K. pneumoniae (5.3 &amp; PLUSMN; 0.3 mm), E. coli (5.3 &amp; PLUSMN; 0.1), and S. aureus (5.2 &amp; PLUSMN; 0.3 mm). Hu-AgNPs (IC50 of 50.78 &amp; mu;g/mL) were found to have dose-dependent cytotoxic action against human lung cancer cell lines (A549). Inhibited cell viability by up to 64.31% after 24 h of treatment. To the best of our knowledge, this is the hand information on the myco-synthesis of AgNPs from the H. ulmarius mushroom extract and the results suggest that it can an excellent source for developing a multipurpose and eco-friendly nano product in future.</t>
  </si>
  <si>
    <t>[Manimaran, Kumar; Yanto, Dede Heri Yuli; Anita, Sita Heris; Nurhayat, Oktan Dwi] Natl Res &amp; Innovat Agcy BRIN, Res Ctr Appl Microbiol, JI Raya Bogor Km 46, Cibinong 16911, Indonesia; [Manimaran, Kumar] Saveetha Sch Engn, Inst Biotechnol, Saveetha Inst Med &amp; Tech Sci SIMATS, Dept Prod Dev, Chennai 602105, Tamil Nadu, India; [Selvaraj, Kumar] Inst Desarrollo Tecnol Ind Quim INTEC, Ruta Nacl 168, Km 0, RA-3000 Santa Fe, Argentina; [Selvaraj, Kumar] Univ Nacl Litoral UNL, Fac Ingn Quim, Santiago Estero 2829, RA-3000 Santa Fe, Argentina; [Basavarajappa, Santhosh; Hashem, Mohamed Ibrahim] King Saud Univ, Coll Appl Med Sci, Dent Hlth Dept, POB 10219, Riyadh 11433, Saudi Arabia; [Palanisamy, Govindasamy] Yeungnam Univ, Sch Chem Engn, 280 Daehak Ro, Gyongsan 38541, South Korea; [Lin, Mei-Ching; Kumarasamy, Keerthika] Chaoyang Univ Technol, Dept Appl Chem, Taichung 413310, Taiwan</t>
  </si>
  <si>
    <t>National Research &amp; Innovation Agency of Indonesia (BRIN); Saveetha Institute of Medical &amp; Technical Science; Saveetha School of Engineering; National University of the Littoral; King Saud University; Yeungnam University; Chaoyang University of Technology</t>
  </si>
  <si>
    <t>Manimaran, K; Yanto, DHY (corresponding author), Natl Res &amp; Innovat Agcy BRIN, Res Ctr Appl Microbiol, JI Raya Bogor Km 46, Cibinong 16911, Indonesia.;Manimaran, K (corresponding author), Saveetha Sch Engn, Inst Biotechnol, Saveetha Inst Med &amp; Tech Sci SIMATS, Dept Prod Dev, Chennai 602105, Tamil Nadu, India.;Kumarasamy, K (corresponding author), Chaoyang Univ Technol, Dept Appl Chem, Taichung 413310, Taiwan.</t>
  </si>
  <si>
    <t>manimaran.kumar@brin.go.id; dede.heri.yuli.yanto@brin.go.id; keerthychem13@gmail.com</t>
  </si>
  <si>
    <t>Manimaran, Dr. Kumar/0000-0003-0831-9115; Anita, Sita Heris/0000-0003-3839-8256</t>
  </si>
  <si>
    <t>National Research and Innovation Agency, Government of Indonesia [B-2335/II.5/S1/9/2022]; Deputyship for Research and Innovation, Ministry of Education in Saudi Arabia [IFKSUOR3-431-1]</t>
  </si>
  <si>
    <t>National Research and Innovation Agency, Government of Indonesia; Deputyship for Research and Innovation, Ministry of Education in Saudi Arabia</t>
  </si>
  <si>
    <t>The first author would like to thank the National Research and Innovation Agency, Government of Indonesia for providing Post-Doctoral Researcher Fellowship (File No. B-2335/II.5/S1/9/2022) .The authors extend their appreciation to the Deputyship for Research and Innovation, Ministry of Education in Saudi Arabia for funding this research (IFKSUOR3-431-1) . The authors thank the Research Center for Applied Microbiology, National Research and Innovation Agency (BRIN) , JI Raya Bogor Km 46, Cibinong, 16911, Republic of Indonesia, for providing infrastructure and necessary facilities for the successful completion of this research.</t>
  </si>
  <si>
    <t>10.1016/j.envres.2023.116671</t>
  </si>
  <si>
    <t>P1LD0</t>
  </si>
  <si>
    <t>WOS:001048315700001</t>
  </si>
  <si>
    <t>Mo, LT; Qin, RH; Mo, MX; Liang, DL; Yang, C; Lin, WY</t>
  </si>
  <si>
    <t>Mo, Liuting; Qin, Runhong; Mo, Mingxiu; Liang, Danlian; Yang, Chan; Lin, Weiying</t>
  </si>
  <si>
    <t>AND-gated logic detection of dual miRNAs in living cells and tissues via 3D catalytic hairpin assembly</t>
  </si>
  <si>
    <t>MicroRNA; Logic gate; Spatial confinement effect; Live-cell imaging; Cancer diagnosis</t>
  </si>
  <si>
    <t>INTRACELLULAR MICRORNA; DIVERSE MICRORNAS; QUANTIFICATION; MIR-155; RNA</t>
  </si>
  <si>
    <t>The development of a DNA-based logic device capable of simultaneously detecting two microRNAs (miRNAs) has the potential to enhance the accuracy of cancer diagnosis. However, existing approaches are hindered by slow response times, limited sensitivity, and inadequate cellular delivery. In this study, we integrated logic operations with 3D catalytic hairpin assembly (3D-CHA) to devise a sensing system for the AND-gated analysis of miR-21 and miR-155 in living cells and tissues. We utilized two DNA nanospheres, designated AN1 and AN2, which, upon the presence of both miRNA inputs, release an initiator via strand displacement, consequently triggering 3D-CHA between AN1 and AN2 and generating an amplified output. Our findings demonstrate that the AN nanoprobe facilitates the logical analysis of dual miRNAs in buffers, living cells, and tissues, offering effective cellular delivery, nuclease resistance, heightened sensitivity, and rapid response time. The AN nanoprobe represents a promising diagnostic tool for the accurate detection of breast cancer and exhibits considerable potential for clinical applications.</t>
  </si>
  <si>
    <t>[Mo, Liuting; Qin, Runhong; Mo, Mingxiu; Liang, Danlian; Yang, Chan; Lin, Weiying] Guangxi Univ, Inst Opt Mat &amp; Chem Biol, Coll Chem &amp; Chem Engn, Guangxi Key Lab Guangxi Key Lab Electrochem Energy, Nanning 530004, Guangxi, Peoples R China</t>
  </si>
  <si>
    <t>Guangxi University</t>
  </si>
  <si>
    <t>Lin, WY (corresponding author), Guangxi Univ, Inst Opt Mat &amp; Chem Biol, Coll Chem &amp; Chem Engn, Guangxi Key Lab Guangxi Key Lab Electrochem Energy, Nanning 530004, Guangxi, Peoples R China.</t>
  </si>
  <si>
    <t>weiyinglin2013@163.com</t>
  </si>
  <si>
    <t>National Natural Science Foundation of China [22077048, 22277014, 2022GXNSFBA035533]; Guangxi Natural Science Foundation [AD21220061, 2021GXNSFDA075003, 2022GXNSFBA035482, A3040051003]; Guangxi University [A3040051011]; [21877048]</t>
  </si>
  <si>
    <t>National Natural Science Foundation of China(National Natural Science Foundation of China (NSFC)); Guangxi Natural Science Foundation(National Natural Science Foundation of Guangxi Province); Guangxi University;</t>
  </si>
  <si>
    <t>This work was financially supported by the National Natural Science Foundation of China (No. 21877048, 22077048, and 22277014) , Guangxi Natural Science Foundation (No. 2022GXNSFBA035533, AD21220061, 2021GXNSFDA075003, 2022GXNSFBA035482) , the startup fund of Guangxi University (A3040051003, A3040051011) .</t>
  </si>
  <si>
    <t>10.1016/j.snb.2023.134264</t>
  </si>
  <si>
    <t>Q6GN1</t>
  </si>
  <si>
    <t>WOS:001058487200001</t>
  </si>
  <si>
    <t>Ni, XM; Zhou, H; Liu, Y; Zhan, JJ; Meng, Q; Song, HY; Yi, XL</t>
  </si>
  <si>
    <t>Ni, Xiaoming; Zhou, Hao; Liu, Yang; Zhan, Jingjing; Meng, Qian; Song, Hongyu; Yi, Xianliang</t>
  </si>
  <si>
    <t>Toxic effects of tire wear particles and the leachate on the Chinese mitten crab (Eriocheir sinensis)</t>
  </si>
  <si>
    <t>Tire wear particles (TWPs); Accumulation; Oxidative stress; Energy metabolism; Transcriptomics</t>
  </si>
  <si>
    <t>FRESH-WATER CRAB; SIGNALING PATHWAY; OXIDATIVE STRESS; GENE-EXPRESSION; RAINBOW-TROUT; RESPONSES; METABOLISM; MICROPLASTICS; ACID; ACCUMULATION</t>
  </si>
  <si>
    <t>Tire wear particles (TWPs) were considered as an important component of microplastic pollution in the aquatic environment. To understand the ecotoxicity of TWPs to crustacean, this study investigated toxic effects of TWPs and the leachate on the mitten crab Eriocheir sinensis and the accumulation of TWPs in the crabs. Although TWPs could be accumulated in various tissues (i.e., liver, gills and gut) of the crabs, exposure to TWPs or the leachate had no lethal effect on the crabs in this study. Lower concentrations of TWPs and the leachate exposure could stimulate the antioxidant defense system of the crabs, while higher concentrations could disrupt the stress defense system. In addition, the energy supply and metabolism of the crabs could also be affected by TWPs or the leachate. The transcriptomic profiles showed that the toxic mechanisms of TWPs and the leachate were not exactly the same. Similar to the results of biochemical analysis, several Gene Ontology (GO) terms and the Kyoto Encyclopedia of Genes and Genomes (KEGG) pathways related to oxidative stress and energy metabolism were significantly regulated by both TWPs and the leachate. However, TWPs could affect the expression of genes enriched in immune-related pathways, while the leachate regulated the enrichment of some other signaling pathways including FoxO signaling pathway, insulin signaling pathway, RIG-I-like receptor signaling pathway, NOD-like receptor signaling pathway, PPAR signaling pathway and neuroactive ligand-receptor interaction. Overall, our study could provide basic biological information for assessing the ecological risk of the TWP pollution in the aquatic environment and was useful to understand the potential toxic mechanisms of the TWPs and the leachate to crustaceans.</t>
  </si>
  <si>
    <t>[Ni, Xiaoming; Zhou, Hao; Liu, Yang; Zhan, Jingjing; Meng, Qian; Song, Hongyu; Yi, Xianliang] Dalian Univ Technol, Sch Ocean Sci &amp; Technol, Panjin, Liaoning, Peoples R China</t>
  </si>
  <si>
    <t>Dalian University of Technology</t>
  </si>
  <si>
    <t>Yi, XL (corresponding author), Dalian Univ Technol, Sch Ocean Sci &amp; Technol, Panjin, Liaoning, Peoples R China.</t>
  </si>
  <si>
    <t>yixianliang@dlut.edu.cn</t>
  </si>
  <si>
    <t>National Science Foundation of China [201812]; State Environmental Protection Key Laboratory of Coastal Ecosystem [DUT17RC (4) 37]; Dalian University of Technology via the Fundamental Research Funds for the Central Universities; [41606131]</t>
  </si>
  <si>
    <t>National Science Foundation of China(National Natural Science Foundation of China (NSFC)); State Environmental Protection Key Laboratory of Coastal Ecosystem; Dalian University of Technology via the Fundamental Research Funds for the Central Universities;</t>
  </si>
  <si>
    <t>This work was financially supported by National Science Foundation of China with the Grants No. 41606131. The authors were also sup- ported by the State Environmental Protection Key Laboratory of Coastal Ecosystem (Grant No. 201812) , Dalian University of Technology via the Fundamental Research Funds for the Central Universities (DUT17RC (4) 37) .</t>
  </si>
  <si>
    <t>10.1016/j.envpol.2023.122354</t>
  </si>
  <si>
    <t>Q0WZ1</t>
  </si>
  <si>
    <t>WOS:001054819100001</t>
  </si>
  <si>
    <t>Oshio, T; Minfray, C; Dassenoy, F; Galipaud, J; Yagishita, K</t>
  </si>
  <si>
    <t>Oshio, Tadashi; Minfray, Clotilde; Dassenoy, Fabrice; Galipaud, Jules; Yagishita, Kazuhiro</t>
  </si>
  <si>
    <t>Dialkyl phosphonate with carboxylic acid as antiwear additives for ester-base lubricants</t>
  </si>
  <si>
    <t>Environmentally adapted lubricants; Antiwear performance; Ester -base oils; Lubricant additive; Tribochemistry</t>
  </si>
  <si>
    <t>TRICRESYL PHOSPHATE; CHEMICAL-STRUCTURE; ADSORPTION; IRON; SURFACES; XPS; SPECTROSCOPY; CHEMISTRY; FILMS; THIOPHOSPHATE</t>
  </si>
  <si>
    <t>Ester-base oils are commonly used in environmentally adapted lubricants (EALs) because of their biodegrad-ability. However, their antiwear performance is difficult to improve using the conventional lubricant additives developed for mineral-base oils. In this study, dialkyl phosphonates with various functional groups were designed as antiwear additives for ester-base oils. The antiwear performances of these phosphonates were evaluated using four-ball tests. The results suggest that dialkyl phosphonate with carboxylic acid (DAPA) has better antiwear performance in ester-base oils than that of other phosphonates and conventional phosphorus additives. Remarkably, DAPA exhibits better antiwear performance under severe test conditions in ester-base oils than in poly-alpha olefin. X-ray photoelectron spectroscopy, transmission electron microscopy, and Fourier transform infrared spectroscopy were used to study the chemical compositions of steel surfaces after friction and better understand the antiwear mechanism of DAPA, particularly in ester-base oils.</t>
  </si>
  <si>
    <t>[Oshio, Tadashi; Yagishita, Kazuhiro] ENEOS Corp, Lubricant R&amp;D Dept, Yokohama, Japan; [Oshio, Tadashi; Minfray, Clotilde; Dassenoy, Fabrice; Galipaud, Jules] Ecole Cent Lyon, Lab Tribol &amp; Dynam Syste mes, Lyon, France</t>
  </si>
  <si>
    <t>ENEOS Corporation; Ecole Centrale de Lyon</t>
  </si>
  <si>
    <t>Oshio, T (corresponding author), ENEOS Corp, Lubricant R&amp;D Dept, Yokohama, Japan.</t>
  </si>
  <si>
    <t>oshio.tadashi@eneos.com</t>
  </si>
  <si>
    <t>10.1016/j.wear.2023.205042</t>
  </si>
  <si>
    <t>O9OI9</t>
  </si>
  <si>
    <t>WOS:001047036100001</t>
  </si>
  <si>
    <t>Otto, A; Jarvers, I; Kandsperger, S; Reichl, C; Ando, A; Koenig, J; Kaess, M; Brunner, R</t>
  </si>
  <si>
    <t>Otto, Alexandra; Jarvers, Irina; Kandsperger, Stephanie; Reichl, Corinna; Ando, Ayaka; Koenig, Julian; Kaess, Michael; Brunner, Romuald</t>
  </si>
  <si>
    <t>Stress-induced alterations in resting-state functional connectivity among adolescents with non-suicidal self-injury</t>
  </si>
  <si>
    <t>NSSI; MIST; Resting-state; Adolescents; Stress; Emotion regulation</t>
  </si>
  <si>
    <t>EMOTION REGULATION; PSYCHOSOCIAL STRESS; NEGATIVE AFFECT; TRAIT ANXIETY; NEURAL BASES; HEART-RATE; SUPPRESSION; CHILDREN; REGISTRATION; RESPONSES</t>
  </si>
  <si>
    <t>Background: Non-suicidal self-injury (NSSI) is a major mental health problem among youth worldwide. Dysfunction in emotion regulation contributes to NSSI, but research on the underlying neurobiological mechanisms of NSSI is limited. Adolescents with emotion regulation difficulties are vulnerable to stress, making them susceptible to maladaptive coping mechanisms such as NSSI.Methods: This study examined the functional neurocircuitry relevant to emotion regulation and stress coping in individuals with NSSI compared with healthy controls. This case-control study included 34 adolescents with NSSI (15.91 years) and 28 (16.0 years) unaffected controls. Participants underwent a functional magnetic resonance imaging scan before and after completing a laboratory stress-induction paradigm (the Montreal Imaging Stress Test). The effects of stress induction were quantified by both physiological measures and self-reports.Results: Participants with NSSI showed distinctive alterations in functional resting-state following stress induction, which differentiated them from unaffected controls. Results show a reduction in functional connectivity between frontoparietal regions and the angular gyrus within the patient group compared to controls, as well as an increase in functional connectivity between visual regions, the insular cortex, the planum polare, and the central opercular cortex. After conditions of acute stress, adolescents with NSSI show changes in functional connectivity of regions associated with sensorimotor alertness, attention, and effortful emotion regulation. Limitations: The patient group showed both NSSI and suicidal behavior, therefore results might be partly due to suicidality.Conclusion: The findings emphasize the importance of targeting emotion regulation within therapeutic approaches to enhance stress coping capacity, which in turn may contribute to counteracting self-injurious behavior.</t>
  </si>
  <si>
    <t>[Otto, Alexandra; Jarvers, Irina; Kandsperger, Stephanie; Brunner, Romuald] Univ Regensburg, Clin Child &amp; Adolescent Psychiat, Psychosomat &amp; Psychotherapy, Regensburg, Germany; [Reichl, Corinna; Kaess, Michael] Univ Bern, Univ Hosp Child &amp; Adolescent Psychiat &amp; Psychother, Bern, Switzerland; [Ando, Ayaka; Kaess, Michael] Univ Hosp Heidelberg, Ctr Psychosocial Med, Dept Child &amp; Adolescent Psychiat, Heidelberg, Germany; [Koenig, Julian] Univ Cologne, Fac Med, Cologne, Germany; [Koenig, Julian] Univ Hosp Cologne, Dept Child &amp; Adolescent Psychiat, Psychosomat &amp; Psychotherapy, Cologne, Germany; [Brunner, Romuald] Univ Regensburg, Clin Child &amp; Adolescent Psychiat, Psychosomat &amp; Psychotherapy, Univ str 84, D-93053 Regensburg, Germany</t>
  </si>
  <si>
    <t>University of Regensburg; University of Bern; Ruprecht Karls University Heidelberg; University of Cologne; University of Cologne; University of Regensburg</t>
  </si>
  <si>
    <t>Brunner, R (corresponding author), Univ Regensburg, Clin Child &amp; Adolescent Psychiat, Psychosomat &amp; Psychotherapy, Univ str 84, D-93053 Regensburg, Germany.</t>
  </si>
  <si>
    <t>romuald.brunner@medbo.de</t>
  </si>
  <si>
    <t>10.1016/j.jad.2023.07.032</t>
  </si>
  <si>
    <t>P1WN1</t>
  </si>
  <si>
    <t>WOS:001048615800001</t>
  </si>
  <si>
    <t>Ozsarac, V; Furinghetti, M; Monteiro, R</t>
  </si>
  <si>
    <t>Ozsarac, V; Furinghetti, M.; Monteiro, R.</t>
  </si>
  <si>
    <t>Seismic risk assessment of ageing existing reinforced concrete bridges accounting for uncertainty in bearing properties</t>
  </si>
  <si>
    <t>Reinforced concrete bridges; Bearings; Seismic losses; Performance-based earthquake engineering; Latin hypercube sampling</t>
  </si>
  <si>
    <t>SPECTRAL ACCELERATION; FRAGILITY CURVES; HIGHWAY BRIDGES; MODEL; VULNERABILITY; METHODOLOGY; DESIGN; HAZARD; VALUES</t>
  </si>
  <si>
    <t>A growing challenge in the seismic risk assessment of ageing existing bridge structures is the lack of knowledge of the key features of the structural components. In fact, the mechanical properties could change over time and the recommendations in the literature could be considerably different thus adopted modelling parameters can significantly alter the seismic response and risk estimates, e.g., expected annual losses (EAL) or mean annual frequency of collapse (MAFC). It is therefore crucial to understand the role of critical properties of structural components on seismic risk metrics before allocating further resources to estimate them more accurately. With the above in mind, this study focuses on analysing the importance of the frequently unknown properties of bridge bearings featuring un-reinforced thin elastomeric pads, typically used in bridges built in the '60 s and '70 s in Italy. For this purpose, a real case study bridge is selected and Latin Hypercube Sampling is performed to generate a large set of bearing parameters, namely the shear modulus and friction coefficient between rubber and concrete surfaces. Component-level seismic loss estimation of the bridge is performed for each bearing properties realisation, considering both the presence and absence of non-sacrificial shear keys at the cap beams. The EAL and MAFC results are scrutinised to analyse the impact of the variation in the bearing properties on such risk metrics. The main observations indicate that the influence of the shear modulus of rubber on these quantities is low, whereas the friction coefficient between concrete and rubber can lead to more impactful changes.</t>
  </si>
  <si>
    <t>[Ozsarac, V; Monteiro, R.] Univ Sch Adv Studies, IUSS Pavia, Piazza Vittoria 15, I-27100 Pavia, Italy; [Furinghetti, M.] European Ctr Training &amp; Res Earthquake Engn, EUCENTRE, Via Ferrata 1, I-27100 Pavia, Italy; [Furinghetti, M.] Univ Pavia, Civil Engn &amp; Architecture Dept, Pavia, Italy</t>
  </si>
  <si>
    <t>IUSS PAVIA; University of Pavia</t>
  </si>
  <si>
    <t>Ozsarac, V (corresponding author), Univ Sch Adv Studies, IUSS Pavia, Piazza Vittoria 15, I-27100 Pavia, Italy.</t>
  </si>
  <si>
    <t>volkan.ozsarac@iusspavia.it; marco.furinghetti@unipv.it; ricardo.monteiro@iusspavia.it</t>
  </si>
  <si>
    <t>Ozsarac, Volkan/ABG-1608-2021; Monteiro, Ricardo/H-1936-2018</t>
  </si>
  <si>
    <t>Ozsarac, Volkan/0000-0002-5340-6528; Monteiro, Ricardo/0000-0002-2505-2996</t>
  </si>
  <si>
    <t>Italian Department of Civil Protection; Italian Ministry of University and Research [2020P5572N]; doctoral programme at University School for Advanced Studies IUSS Pavia</t>
  </si>
  <si>
    <t>Italian Department of Civil Protection; Italian Ministry of University and Research(Ministry of Education, Universities and Research (MIUR)); doctoral programme at University School for Advanced Studies IUSS Pavia</t>
  </si>
  <si>
    <t>The work presented in this paper was developed within the frame-work of the projects ReLUIS-CSLLPP, funded by the Italian Department of Civil Protection, and FIRMITAS (Grant No. 2020P5572N) , funded by the Italian Ministry of University and Research. The first author also acknowledges the financial support provided through the doctoral programme at University School for Advanced Studies IUSS Pavia.</t>
  </si>
  <si>
    <t>10.1016/j.engstruct.2023.116730</t>
  </si>
  <si>
    <t>Q1CQ4</t>
  </si>
  <si>
    <t>WOS:001054968700001</t>
  </si>
  <si>
    <t>Patro, A; Rajbhar, MK; Chatterjee, S; Patra, A; Rout, CS; Dhal, S</t>
  </si>
  <si>
    <t>Patro, Arpita; Rajbhar, Manoj K.; Chatterjee, Shyamal; Patra, Abhinandan; Rout, Chandra Sekhar; Dhal, Satyanarayan</t>
  </si>
  <si>
    <t>Augmented electrochemical properties of manganese oxide nanorods on low energy nitrogen ion irradiation</t>
  </si>
  <si>
    <t>Ion irradiation; Supercapacitance; TRI3DYN; Manganese Oxide nanorods; Electrode material</t>
  </si>
  <si>
    <t>MN3O4; SUPERCAPACITOR; PERFORMANCE; ELECTRODE</t>
  </si>
  <si>
    <t>For the development of versatile and high-performance storage devices, nanorods-based supercapacitors hold great promise due to their high energy density per unit volume and their resilience in the face of high mechanical stress. In this study, we demonstrated how to increase charge storage capacity by using an ion beam to join manganese oxide nanorods on a massive scale, thereby creating surface defects. Hydrothermally synthesized Mn3O4 nanorods were spin-coated on a silicon wafer and subjected to low energy (5 keV) N+ ion-beam at varying ion fluences before undergoing extensive electrochemical characterizations to verify their charge storage performance. At a mass normalized current of 10 A/g, the areal capacitance for pristine and irradiated Mn3O4 nanorods is 45 mF/cm2 and 132 mF/cm2. Hence, irradiated Mn3O4 nanorods were found to have better charge storage performance than their untreated counterparts. Insights into the improved charge-storage performance of irradiated nanorods are made clear by the detailed experimental findings. The irradiated sample further retains 90% of its initial capacitance for more than 5000 cycles of measurements. The enhanced areal capacitance performance after irradiation is due to the oxygen vacancy supported by TRI3DYN simulations. The high charge storage performance of the irradiated samples can be attributed to several factors, including the induced oxygen vacancy and improved surface area. This research adds to the growing body of evidence that ion beam irradiation can be used to fine-tune the supercapacitor electrode's surface area, conductivity, and storage capacity. (c) 2023 Elsevier B.V. All rights reserved.</t>
  </si>
  <si>
    <t>[Patro, Arpita; Dhal, Satyanarayan] Centurion Univ Technol &amp; Management, Bhubaneswar, Odisha, India; [Rajbhar, Manoj K.; Chatterjee, Shyamal] Indian Inst Technol Bhubaneswar, Sch Basic Sci, Jatni 752050, Odisha, India; [Patra, Abhinandan; Rout, Chandra Sekhar] Jain, Ctr Nano &amp; Mat Sci, Jain Global Campus,Kanakapura Rd, Bangalore 562112, Karnataka, India</t>
  </si>
  <si>
    <t>Centurion University of Technology &amp; Management; Indian Institute of Technology System (IIT System); Indian Institute of Technology (IIT) - Bhubaneswar; Jain University</t>
  </si>
  <si>
    <t>Dhal, S (corresponding author), Centurion Univ Technol &amp; Management, Bhubaneswar, Odisha, India.</t>
  </si>
  <si>
    <t>satyanarayan.dhal@cutm.ac.in</t>
  </si>
  <si>
    <t>10.1016/j.jallcom.2023.170441</t>
  </si>
  <si>
    <t>P1TJ5</t>
  </si>
  <si>
    <t>WOS:001048533900001</t>
  </si>
  <si>
    <t>Peng, CH; Wang, K; Wang, W; Kuang, FF; Gao, YH; Jiang, RG; Sun, XW; Dong, X; Chen, BH; Lin, H</t>
  </si>
  <si>
    <t>Peng, Conghui; Wang, Kang; Wang, Wei; Kuang, Fangfang; Gao, Yahui; Jiang, Ronggen; Sun, Xiuwu; Dong, Xu; Chen, Baohong; Lin, Hui</t>
  </si>
  <si>
    <t>Phytoplankton community structure and environmental factors during the outbreak of Crown-of-Thorns Starfish in Xisha Islands, South China Sea</t>
  </si>
  <si>
    <t>Phytoplankton; Nutrient; Larvae; Crown -of -Thorns Starfish; South China Sea</t>
  </si>
  <si>
    <t>GREAT-BARRIER-REEF; ACANTHASTER-PLANCI; MARINE; NUTRIENT; OCEAN; BIOMASS; GROWTH; DIVERSITY; BAY; PICOPLANKTON</t>
  </si>
  <si>
    <t>The larval starvation hypothesis proposed that the growing frequency of Crown-of-Thorns Starfish (CoTS) outbreaks could be attributed to increased availability of phytoplankton. However, comprehensive field investigation on the living environment of CoTS larvae and the availability of phytoplankton are still lacking. A cruise was conducted in June 2022 in Xisha Islands, South China Sea, to study the interaction between environmental conditions and phytoplankton communities during CoTS outbreak period. The average concentrations of dissolved inorganic phosphorus (0.05 &amp; PLUSMN; 0.01 &amp; mu;mol L-1), dissolved inorganic nitrogen (0.66 &amp; PLUSMN; 0.8 &amp; mu;mol L-1) and chlorophyll a (0.05 &amp; PLUSMN; 0.05 &amp; mu;g L-1) suggested that phytoplankton may be limited for CoTS larvae in Xisha Islands. Microscopic observation and high-throughput sequencing were used to study the composition and structure of the phytoplankton communities. Bacillariophyta predominated in phytoplankton communities with the highest abundance and species richness. 29 dominant species, including 4 species with size-range preferred by CoTS larvae, were identified in Xisha Islands. The diversity index of all stations indicated a species-rich and structurestable phytoplankton community in Xisha Islands during the period of CoTS outbreak, which may contribute to CoTS outbreak. These findings revealed the structure of phytoplankton community and environmental factors in the study area during CoTS outbreak, providing the groundwork for future research into the causes and processes of CoTS outbreak.</t>
  </si>
  <si>
    <t>[Peng, Conghui; Wang, Wei; Kuang, Fangfang; Jiang, Ronggen; Sun, Xiuwu; Dong, Xu; Chen, Baohong; Lin, Hui] Minist Nat Resources, Inst Oceanog 3, Xiamen 361005, Peoples R China; [Chen, Baohong] Xiamen Ocean Vocat Coll, Xiamen 361102, Peoples R China; [Wang, Kang; Gao, Yahui] Xiamen Univ, Sch Life Sci, Xiamen 361102, Peoples R China; [Chen, Baohong; Lin, Hui] Minist Nat Resources, Inst Oceanog 3, Rd 178, Xiamen 361005, Peoples R China</t>
  </si>
  <si>
    <t>Ministry of Natural Resources of the People's Republic of China; Xiamen University; Ministry of Natural Resources of the People's Republic of China</t>
  </si>
  <si>
    <t>Chen, BH; Lin, H (corresponding author), Minist Nat Resources, Inst Oceanog 3, Rd 178, Xiamen 361005, Peoples R China.</t>
  </si>
  <si>
    <t>chenbaohong@tio.org.cn; linhui@tio.org.cn</t>
  </si>
  <si>
    <t>Conghui, Peng/0000-0002-8137-8069</t>
  </si>
  <si>
    <t>National Key Research and Development Program, China [2022YFC3106301]; Global Change and Air-sea Interaction Project, China [GASI-04-QYQH-02]; Fujian Scientific Observation Station of Island and Coastal Zone, China [HE01-190702]; Scientific Research Foundation of the Third Institute of Oceanography, Natural Resource Ministry of China, China [2019017]; Eastern Pacific Eco-Environment Monitoring and Protection Project, China [DY135-E2-5-02]; Global Change and Air -Sea Interaction Project, China [GASI-01-NPAC-ST]</t>
  </si>
  <si>
    <t>National Key Research and Development Program, China; Global Change and Air-sea Interaction Project, China; Fujian Scientific Observation Station of Island and Coastal Zone, China; Scientific Research Foundation of the Third Institute of Oceanography, Natural Resource Ministry of China, China; Eastern Pacific Eco-Environment Monitoring and Protection Project, China; Global Change and Air -Sea Interaction Project, China</t>
  </si>
  <si>
    <t>This work was financially supported by the National Key Research and Development Program, China (2022YFC3106301) , the Global Change and Air-sea Interaction Project, China (No. GASI-04-QYQH-02) , the Fujian Scientific Observation Station of Island and Coastal Zone, China (No. HE01-190702) , the Scientific Research Foundation of the Third Institute of Oceanography, Natural Resource Ministry of China, China (No. 2019017) , the Eastern Pacific Eco-Environment Monitoring and Protection Project, China (No. DY135-E2-5-02) , and the Global Change and Air -Sea Interaction Project, China (No. GASI-01-NPAC-ST) .</t>
  </si>
  <si>
    <t>10.1016/j.envres.2023.116568</t>
  </si>
  <si>
    <t>O4VZ0</t>
  </si>
  <si>
    <t>WOS:001043819500001</t>
  </si>
  <si>
    <t>Perng, SW; Wu, HW</t>
  </si>
  <si>
    <t>Perng, Shiang-Wuu; Wu, Horng-Wen</t>
  </si>
  <si>
    <t>Enhancement of proton exchange membrane fuel cell net electric power and methanol-reforming performance by vein channel carved into the reactor plate</t>
  </si>
  <si>
    <t>Critical methanol reforming indexes; Vein channel; Hydrogen yield; PEM fuel cell net electric power</t>
  </si>
  <si>
    <t>HYDROGEN-PRODUCTION; STEAM; CATALYST; FLOW; TRANSPORT; PEMFC</t>
  </si>
  <si>
    <t>A prospective small power system that uses fuel from a small reactor to turn methanol into hydrogen is a proton exchange membrane (PEM) fuel cell (FC). This article examines the fuel conversion ability of the small methanol steam reformer (MSR) creating different vein channels with varying widths and angles on the reactor plate and PEMFC net electric power at various heated temperatures. For each channel, the catalyst quantity remains the same. The maximum hydrogen yield is 92.44%, methanol conversion 0.01187 kmole . m(-3), and cell net electric power 133.86 W. The augmentation of hydrogen yield and methanol conversion from the innovative SR reactor by the vein channel of width 1.25 mm and angle 120 degrees achieves 84.32% and 29.52% compared to the parallel-channel SR reactor under T-wall of 250 degrees C. The novel SR reactor, having a vein channel with a width of 1.5 mm and an angle of 90 degrees, acquires 29.09% compared to the parallel-channel SR reactor in PEM fuel cell net electric power under T-wall of 250 degrees C, allowing low CO exhaust. The findings show that the novel SR reactor with a venous channel enhances the net electrical energy conversion of MSR and PEM fuel cells.</t>
  </si>
  <si>
    <t>[Perng, Shiang-Wuu] Kun Shan Univ, Dept Mech Engn, 195, Kunda Rd, Tainan 710, Taiwan; [Wu, Horng-Wen] Natl Cheng Kung Univ, Dept Syst &amp; Naval Mechatron Engn, Tainan 710, Taiwan</t>
  </si>
  <si>
    <t>Kun Shan University; National Cheng Kung University</t>
  </si>
  <si>
    <t>Wu, HW (corresponding author), Natl Cheng Kung Univ, Dept Syst &amp; Naval Mechatron Engn, Tainan 710, Taiwan.</t>
  </si>
  <si>
    <t>z7708033@email.ncku.edu.tw</t>
  </si>
  <si>
    <t>Ministry of Science and Technology of the Republic of China [MOST 109-2221-E-168-007-MY2]</t>
  </si>
  <si>
    <t>Ministry of Science and Technology of the Republic of China(Ministry of Science and Technology, Taiwan)</t>
  </si>
  <si>
    <t>The financial support of this work got offered through the Ministry of Science and Technology of the Republic of China through grant number MOST 109-2221-E-168-007-MY2.</t>
  </si>
  <si>
    <t>10.1016/j.energy.2023.128308</t>
  </si>
  <si>
    <t>N5ND3</t>
  </si>
  <si>
    <t>WOS:001037468300001</t>
  </si>
  <si>
    <t>Qi, LW; Wu, HH; Guo, NZ; Cai, C; Zhou, T; Shi, KZ; Zhong, XH; Xu, JZ</t>
  </si>
  <si>
    <t>Qi, Liangwen; Wu, Honghui; Guo, Naizhi; Cai, Chang; Zhou, Teng; Shi, Kezhong; Zhong, Xiaohui; Xu, Jianzhong</t>
  </si>
  <si>
    <t>Regulating rotor aerodynamics and platform motions for a semi-submersible floating wind turbine with trailing edge flaps</t>
  </si>
  <si>
    <t>Semi-submersible floating wind turbine; Model-free adaptive control; Rotor aerodynamics; Platform motions; Trailing edge flap</t>
  </si>
  <si>
    <t>MODEL-PREDICTIVE CONTROL; POWER OUTPUT; LOADS</t>
  </si>
  <si>
    <t>The coupling effects between rotor aerodynamics and platform motions are being focused for floating offshore wind turbines (FOWTs). Ignoring these effects during the controller design can deteriorate some essential loads or lead to aero-elastic instabilities. Superimposed proportional model-free adaptive control (SP-MFAC) is pro-posed to cope with these effects by simultaneously optimizing blade root moments, rotor speed, platform-pitch and-yaw motions. Trailing edge flap (TEF) is used as the active flow control device. Actuators' saturation and energy consumption are considered by introducing penalty factors into control cost function. A typical semi-submersible FOWT is selected for simulation study. A comparison is made against proportional-integral-differential-based (PID-based) TEF control and baseline control in turbulent and extreme gust conditions. Numerical results reveal that SP-MFAC costs less in TEF deflection activity, but realizes better overall performance than PID-based TEF control. Further, the physical mechanisms of load reduction are analyzed with cross-wavelet transformation. The original in-phase aero-hydro-elastic mechanisms in the semi-submersible FOWT are crippled by the TEF deflection activity.</t>
  </si>
  <si>
    <t>[Qi, Liangwen; Wu, Honghui; Guo, Naizhi; Cai, Chang; Zhou, Teng; Shi, Kezhong; Zhong, Xiaohui; Xu, Jianzhong] Chinese Acad Sci, Inst Engn Thermophys, Beijing 100190, Peoples R China; [Qi, Liangwen; Wu, Honghui; Guo, Naizhi; Cai, Chang; Zhou, Teng; Shi, Kezhong; Zhong, Xiaohui; Xu, Jianzhong] Key Lab Wind Energy Utilizat CAS, Beijing 100190, Peoples R China; [Qi, Liangwen; Wu, Honghui; Guo, Naizhi; Cai, Chang; Zhou, Teng; Shi, Kezhong; Zhong, Xiaohui; Xu, Jianzhong] Univ Chinese Acad Sci, Beijing 100049, Peoples R China</t>
  </si>
  <si>
    <t>Chinese Academy of Sciences; Institute of Engineering Thermophysics, CAS; Chinese Academy of Sciences; University of Chinese Academy of Sciences, CAS</t>
  </si>
  <si>
    <t>Shi, KZ (corresponding author), Chinese Acad Sci, Inst Engn Thermophys, Beijing 100190, Peoples R China.</t>
  </si>
  <si>
    <t>shikezhong@iet.cn</t>
  </si>
  <si>
    <t>National Key Research and Development Program of China [2018YFB1501103]; National Natural Science Foundation of China [52176212]</t>
  </si>
  <si>
    <t>This work was supported by the National Key Research and Development Program of China (Grant No. 2018YFB1501103), and the National Natural Science Foundation of China (Grant No. 52176212).</t>
  </si>
  <si>
    <t>10.1016/j.oceaneng.2023.115629</t>
  </si>
  <si>
    <t>R6PN5</t>
  </si>
  <si>
    <t>WOS:001065557000001</t>
  </si>
  <si>
    <t>Ripa, RR; Roncal, J; Linhart, YB; Franzese, J; Raffaele, E; Premoli, AC</t>
  </si>
  <si>
    <t>Ripa, Ramiro R.; Roncal, Julissa; Linhart, Yan B.; Franzese, Jorgelina; Raffaele, Estela; Premoli, Andrea C.</t>
  </si>
  <si>
    <t>Signs of rapid evolution in an invasive forest species: Drivers of the incipient neutral, adaptive and phenotypic divergence</t>
  </si>
  <si>
    <t>Biological invasion; Fire; Patagonia; Pinus radiata; Rapid evolution; Serotiny</t>
  </si>
  <si>
    <t>PINUS-RADIATA; GENETIC-VARIATION; POPULATION DIFFERENTIATION; Q(ST)-F-ST COMPARISONS; SOUTHERN-HEMISPHERE; NATURAL-POPULATIONS; DNA DIVERSITY; FIRE; CONSERVATION; MARKERS</t>
  </si>
  <si>
    <t>Evolutionary forces such as genetic drift and natural selection operate during the process of biological invasion. More specifically, nonnative populations suffer genetic and demographic bottlenecks, and are exposed to new environmental, climatic and biotic filters. Thus, neutral and/or adaptive drivers may contribute to genetic differentiation of the introduced germplasm. We hypothesize that the gene pool of fire-adapted species that become invasive in fire-prone ecosystems may differ from that of originally planted and native one because of novel selective forces and founder effects. Genetic impoverishment due to genetic drift could also be buffered by demographic processes as the production of a large aerial seed bank by serotiny. We conducted genomic analyses of the world's most planted tree Pinus radiata using Single Nucleotide Polymorphisms, comparing introduced cohorts with and without fire exposure, and also with one population of the native range. Phenotypic traits of introduced cohorts were assessed for quantitative characters. In the introduced range we found lower expected heterozygosity and nucleotide diversity due to bottlenecks during introduction and commercial selection in orchards. We also detected decreased inbreeding, related to a serotinous seed bank that buffers bottlenecks. We found genomic regions under selection, both in the comparison between native and introduced range, and between introduced cohorts with and without exposure to fire. Within the introduced area, we observed possible fire-mediated diversifying selection for five quantitative traits. Our results show that both neutral and adaptive forces promote early divergence of the introduced species Pinus radiata. Also, fire acts as a rapid selection factor, prompting the incipient adaptive divergence of cohorts recruited after fires, facilitating invasion.</t>
  </si>
  <si>
    <t>[Ripa, Ramiro R.; Premoli, Andrea C.] Univ Nacl Comahue CONICET, Grp Genet Ecol Evolut &amp; Conservac, Inst Invest Biodivers &amp; Medioambiente, San Carlos De Bariloche, Argentina; [Roncal, Julissa] Mem Univ Newfoundland, Dept Biol, St John, NF, Canada; [Linhart, Yan B.] Univ Colorado, Dept Ecol &amp; Evolutionary Biol, Boulder, CO USA; [Franzese, Jorgelina; Raffaele, Estela] Univ Nacl Comahue CONICET, Invest Ecol Ambientes Antropizados, Lab Ecotono, Inst Invest Biodiversidad &amp; Medioambiente, San Carlos De Bariloche, Argentina</t>
  </si>
  <si>
    <t>Universidad Nacional del Comahue; Consejo Nacional de Investigaciones Cientificas y Tecnicas (CONICET); Memorial University Newfoundland; University of Colorado System; University of Colorado Boulder; Universidad Nacional del Comahue; Consejo Nacional de Investigaciones Cientificas y Tecnicas (CONICET)</t>
  </si>
  <si>
    <t>Ripa, RR (corresponding author), Univ Nacl Comahue CONICET, Grp Genet Ecol Evolut &amp; Conservac, Inst Invest Biodivers &amp; Medioambiente, San Carlos De Bariloche, Argentina.</t>
  </si>
  <si>
    <t>ramiro.ripa@comahue-conicet.gob.ar</t>
  </si>
  <si>
    <t>PREMOLI, ANDREA C./JFL-0693-2023</t>
  </si>
  <si>
    <t>Rufford Foundation [24894-1]; Agencia Nacional de Promocion Cientifica y Tecnologica (ANPCyT) [PICT2014-3466]; ANPCyT [PICT2017-0396, PICT2019-149]; CONICET [PIP 11220200102500CO]; Universidad Nacional del Comahue [04/B235]; Canadian NSERC [RGPIN-2014-03976]</t>
  </si>
  <si>
    <t>Rufford Foundation; Agencia Nacional de Promocion Cientifica y Tecnologica (ANPCyT)(ANPCyTSpanish Government); ANPCyT(ANPCyT); CONICET(Consejo Nacional de Investigaciones Cientificas y Tecnicas (CONICET)); Universidad Nacional del Comahue; Canadian NSERC(Natural Sciences and Engineering Research Council of Canada (NSERC))</t>
  </si>
  <si>
    <t>This work was funded by the Rufford Foundation [grant number 24894-1] to Ramiro R. Ripa; the Agencia Nacional de Promocion Cientifica y Tecnologica (ANPCyT) [grant number PICT2014-3466] to Estela Raffaele; the ANPCyT [grant number PICT2017-0396] to Jorgelina Franzese; the ANPCyT [grant number PICT2019-149], CONICET [grant number PIP 11220200102500CO] and Universidad Nacional del Comahue [grant number 04/B235] to Andrea C. Premoli; and the Canadian NSERC-Discovery [grant number RGPIN-2014-03976] to Julissa Roncal. This research was facilitated by computer infrastructure from ACENET (www.ace-net. ca) and Compute Canada (www.computecanada. ca). We thank Secretaria de Bosques de Chubut and Servicio de Prevencion y Lucha Contra Incendios Forestales (SPLIF) for his logistical support and help with the selection of sampling sites. For their valuable help in the field and laboratory work we thank Dayana Diaz, Ariel Mayoral and Pablo Alvear.</t>
  </si>
  <si>
    <t>10.1016/j.foreco.2023.121370</t>
  </si>
  <si>
    <t>R5SK7</t>
  </si>
  <si>
    <t>WOS:001064947900001</t>
  </si>
  <si>
    <t>Schuster, M; Bornhoft, SC; Lueg, R; Bouzzine, YD</t>
  </si>
  <si>
    <t>Schuster, Mario; Bornhoft, Sophie Constance; Lueg, Rainer; Bouzzine, Yassin Denis</t>
  </si>
  <si>
    <t>Stock price reactions to the climate activism by Fridays for Future: The roles of public attention and environmental performance</t>
  </si>
  <si>
    <t>Stakeholder activism; Climate change; Green transition; Social movement; Climate risk; Stock performance</t>
  </si>
  <si>
    <t>INSTITUTIONAL EMERGENCE; STAKEHOLDER PRESSURES; RISK PERCEPTIONS; SOCIAL-MOVEMENTS; PROCESS MODEL; EVENT; IMPACT; RESPONSIBILITY; STRATEGIES; MANAGEMENT</t>
  </si>
  <si>
    <t>This research investigates how the European and U.S. stock markets reacted to the upheaval caused by Fridays for Future. We perform an event study on stocks listed in the Stoxx Europe 600 and S &amp; P 500 to examine their price reactions to the Global Climate Strikes 1-11. We analyze the significance of abnormal stock returns utilizing three event windows covering anticipation, short-term, and lagged effects. We also divide the sample by environmental performance grades. Our findings reveal that climate activism significantly affected stock valuation for all 11 Global Climate Strikes. Superior environmental performance is comparatively beneficial for firm values when climate activism receives a high level of public attention. We identify differences in the market reactions between Europe and the U.S. Also, we enrich the literature on stock market reactions by demonstrating that investors react, not only to primary stakeholder events (i.e., enactment of regulations by governments) but also to secondary stakeholder pressure (i.e., NGO activism). Furthermore, we provide evidence that climate activism has a processual character that causes recurring effects on the stock market. Our study encourages policymakers to increase environmental pressure as a mechanism for guiding green transformation.</t>
  </si>
  <si>
    <t>[Schuster, Mario; Bornhoft, Sophie Constance; Lueg, Rainer; Bouzzine, Yassin Denis] Leuphana Univ Luneburg, Inst Management Accounting &amp; Finance, Univ allee 1, D-21335 Luneburg, Germany; [Lueg, Rainer] Univ Southern Denmark, Dept Business &amp; Econ, Univ Pk 1, DK-6000 Kolding, Denmark</t>
  </si>
  <si>
    <t>Leuphana University Luneburg; University of Southern Denmark</t>
  </si>
  <si>
    <t>Bornhoft, SC (corresponding author), Leuphana Univ Luneburg, Inst Management Accounting &amp; Finance, Univ allee 1, D-21335 Luneburg, Germany.</t>
  </si>
  <si>
    <t>mario.schuster@leuphana.de; sophie.bornhoeft@leuphana.de; lueg@leuphana.de; yassin.bouzzine@hotmail.de</t>
  </si>
  <si>
    <t>Lueg, Rainer/AAO-4085-2021</t>
  </si>
  <si>
    <t>Lueg, Rainer/0000-0002-6172-944X; Bouzzine, Yassin Denis/0000-0003-2661-541X; Schuster, Mario/0009-0005-7143-6260</t>
  </si>
  <si>
    <t>10.1016/j.jenvman.2023.118608</t>
  </si>
  <si>
    <t>P2QY8</t>
  </si>
  <si>
    <t>WOS:001049149500001</t>
  </si>
  <si>
    <t>Song, DB; Qiao, BT; Yao, YM; Zhao, LC; Wang, X; Chen, H; Zhu, LY; Sun, HW</t>
  </si>
  <si>
    <t>Song, Dongbao; Qiao, Biting; Yao, Yiming; Zhao, Leicheng; Wang, Xin; Chen, Hao; Zhu, Lingyan; Sun, Hongwen</t>
  </si>
  <si>
    <t>Target and nontarget analysis of per- and polyfluoroalkyl substances in surface water, groundwater and sediments of three typical fluorochemical industrial parks in China</t>
  </si>
  <si>
    <t>JOURNAL OF HAZARDOUS MATERIALS</t>
  </si>
  <si>
    <t>Fluoridated industrial parks; Nontarget analysis; Emerging PFAS; Distribution difference</t>
  </si>
  <si>
    <t>RESOLUTION MASS-SPECTROMETRY; PERFLUOROALKYL SUBSTANCES; DRINKING-WATER; FLUORINATED ALTERNATIVES; SPATIAL-DISTRIBUTION; TREATMENT PLANTS; ACIDS; RIVER; PFASS; IDENTIFICATION</t>
  </si>
  <si>
    <t>The objectives of this study were to identify both legacy and emerging per-and polyfluoroalkyl substances (PFAS) from three typical fluoridated industrial parks (FIPs) in China, and to assess their environmental occurrence and fate. Complementary suspect target and nontarget screening were implemented, and a total of 111 emerging PFAS were identified. Based on the multi-mass scale analysis, 25 emerging PFAS were identified for the first time, including 24 per-and polyfluoroalkyl ether carboxylic acids (PFECAs) and 1 ultra-short chlorinated perfluoroalkyl carboxylic acids (Cl-PFCAs, C2), with a maximum percentage of 48.2 % in nontarget PFAS (exclude target PFAS). The composition of PFAS identified in different media was influenced by functional groups, carbon chain length, substituents and ether bond insertion, with poly-hydrogen substituted being preferably in water and a more diverse pattern of PFECAs in sediments. The patterns of PFAS homologs revealed distinct differences among the three typical FIPs in the shift of PFAS production patterns. The C4-PFAS and short-chain carboxylic acids (&amp; LE;C6) were the main PFAS in the Fuxin and Changshu, respectively. In contrast, perfluorooctanoic acid (PFOA, C8) remained dominant in Zibo, and the highest point concentrations in water and sediment were up to 706 &amp; mu;g/L and 553 &amp; mu;g/g, respectively.</t>
  </si>
  <si>
    <t>[Song, Dongbao; Qiao, Biting; Yao, Yiming; Zhao, Leicheng; Wang, Xin; Chen, Hao; Zhu, Lingyan; Sun, Hongwen] Nankai Univ, Coll Environm Sci &amp; Engn, MOE Key Lab Pollut Proc &amp; Environm Criteria, Tianjin 300350, Peoples R China</t>
  </si>
  <si>
    <t>Nankai University</t>
  </si>
  <si>
    <t>Chen, H; Sun, HW (corresponding author), Nankai Univ, Coll Environm Sci &amp; Engn, MOE Key Lab Pollut Proc &amp; Environm Criteria, Tianjin 300350, Peoples R China.</t>
  </si>
  <si>
    <t>chenhao@nankai.edu.cn; sunhongwen@nankai.edu.cn</t>
  </si>
  <si>
    <t>Wang, Xin/F-8965-2011; Zhao, Leicheng/JCE-9872-2023</t>
  </si>
  <si>
    <t>Wang, Xin/0000-0002-3522-5627; Zhao, Leicheng/0000-0002-9846-5126</t>
  </si>
  <si>
    <t>National Natural Science Foundation of China [22036004, 42161134001, 41807356, 22006074]; Ministry of Science and Technology [2022YFC3703201]; 111 Program, Ministry of Education, China [T2017002]</t>
  </si>
  <si>
    <t>National Natural Science Foundation of China(National Natural Science Foundation of China (NSFC)); Ministry of Science and Technology(Ministry of Science, ICT &amp; Future Planning, Republic of KoreaSpanish Government); 111 Program, Ministry of Education, China</t>
  </si>
  <si>
    <t>This work was funded by the National Natural Science Foundation of China (22036004; 42161134001; 41807356; 22006074), Ministry of Science and Technology (2022YFC3703201) , and 111 Program, Ministry of Education, China (T2017002). We thank all the participants who enrolled in our sampling.</t>
  </si>
  <si>
    <t>0304-3894</t>
  </si>
  <si>
    <t>1873-3336</t>
  </si>
  <si>
    <t>J HAZARD MATER</t>
  </si>
  <si>
    <t>J. Hazard. Mater.</t>
  </si>
  <si>
    <t>10.1016/j.jhazmat.2023.132411</t>
  </si>
  <si>
    <t>Engineering, Environmental; Environmental Sciences</t>
  </si>
  <si>
    <t>Engineering; Environmental Sciences &amp; Ecology</t>
  </si>
  <si>
    <t>S5ZK1</t>
  </si>
  <si>
    <t>WOS:001071942300001</t>
  </si>
  <si>
    <t>Spriano, S; Riccucci, G; Orlygsson, G; Ng, CH; Verne, E; Sehn, FP; de Oliveira, PT; Ferraris, S</t>
  </si>
  <si>
    <t>Spriano, S.; Riccucci, G.; Orlygsson, G.; Ng, C. H.; Verne, E.; Sehn, F. P.; de Oliveira, P. T.; Ferraris, S.</t>
  </si>
  <si>
    <t>Coating of bioactive glasses with chitosan: The effects of the glass composition and coating method on the surface properties, including preliminary in vitro results</t>
  </si>
  <si>
    <t>Bioactive glass; Chitosan; Coating; Surface properties; Surface modification; In vitro tests</t>
  </si>
  <si>
    <t>BIOLOGICAL SIGNIFICANCE; NATURAL MOLECULES; FUNCTIONALIZATION; HYDROXYAPATITE; SCAFFOLD</t>
  </si>
  <si>
    <t>Two bioactive glasses were coated with chitosan: SCNB belongs to the SiO2-CaO-Na2O system, and SCNA has the addition of Al2O3 to enhance chemical stability. Different coating methods were compared: direct physical attachment, surface activation through tresyl chloride, and polydopamine as a linker. The samples were char-acterized through SEM-EDS, contact angle measurements, FTIR, zeta potential titrations, tape tests, in vitro precipitation of hydroxylapatite (bioactivity), and cell cultures (RAW 264.7 and UMR-106) on some selected samples. Direct physical attachment (in acetic acid) or use of polydopamine allowed complete surface coverage, while it dropped to one-quarter on both glasses by using tresyl chloride. The coating had a contact angle of about 80 degrees and it well showed typical functional groups (FTIR). The coatings on SCNA were chemically and mechan-ically stable (classified as 4-5B by the tape tests, partially maintained after soaking for 14 days), and showed an isoelectric point around 8. On SCNB, the coatings were unstable (classified as 0-3B, dissolved during soaking) but bioactivity was preserved. The coating affected the biological outcome of SCNA with M0/M1 polarization (1 day) and reduced viability of macrophages (3 days), while osteoblastic cells showed poor adhesion but maintained cell viability and osteogenic potential (3-7 days).</t>
  </si>
  <si>
    <t>[Spriano, S.; Riccucci, G.; Verne, E.; Ferraris, S.] Politecn Torino, Turin, Italy; [Orlygsson, G.] Ice Tec, IS-112 Reykjavik, Iceland; [Ng, C. H.] Genis Hf, Adalgata 34, IS-580 Siglufjordur, Iceland; [Sehn, F. P.; de Oliveira, P. T.] Univ Sao Paulo, Sch Dent Ribeirao Preto, BR-14040904 Ribeirao Preto, SP, Brazil</t>
  </si>
  <si>
    <t>Polytechnic University of Turin; Universidade de Sao Paulo</t>
  </si>
  <si>
    <t>Spriano, S (corresponding author), Politecn Torino, Turin, Italy.</t>
  </si>
  <si>
    <t>silvia.spriano@polito.it; giacomo.riccucci@polito.it; ngchw@genis.is; sara.ferraris@polito.it</t>
  </si>
  <si>
    <t>Orlygsson, Gissur/0000-0002-1212-7530</t>
  </si>
  <si>
    <t>European Commission, Ministero dell'Universita e della Ricerca (MUR); Icelandic Technology Development Fund [169010-0613]; National Council for Scientific and Technological Development (CNPq, Brazil) [2016/50298-4]; State of Sao Paulo Research Foundation (FAPESP, Brazil); Coordenacao de Aperfeicoamento de Pessoal de Nivel Superior (CAPES, Brazil); Politecnico di Torino; NAT4MORE project; [315266/2020-1]</t>
  </si>
  <si>
    <t>European Commission, Ministero dell'Universita e della Ricerca (MUR); Icelandic Technology Development Fund; National Council for Scientific and Technological Development (CNPq, Brazil)(Conselho Nacional de Desenvolvimento Cientifico e Tecnologico (CNPQ)); State of Sao Paulo Research Foundation (FAPESP, Brazil)(Fundacao de Amparo a Pesquisa do Estado de Sao Paulo (FAPESP)); Coordenacao de Aperfeicoamento de Pessoal de Nivel Superior (CAPES, Brazil)(Coordenacao de Aperfeicoamento de Pessoal de Nivel Superior (CAPES)); Politecnico di Torino; NAT4MORE project;</t>
  </si>
  <si>
    <t>European Commission, Ministero dell'Universita e della Ricerca (MUR) , and the Icelandic Technology Development Fund (agreement no. 169010-0613) are acknowledged for funding the NAT4MORE project (M.ERA-NET 2016) .This research was also partially funded by the National Council for Scientific and Technological Development (CNPq, Brazil-grant number 315266/2020-1-scholarship on research productivity to P.T.d.O.) , the State of Sao Paulo Research Foundation (FAPESP, Brazil-grant number 2016/50298-4-regular project to P.T.d.O.) , and the Coordenacao de Aperfeicoamento de Pessoal de Nivel Superior (CAPES, Brazil-postdoc scholarship to F.P.S.) . Politecnico di Torino is acknowledged for supporting open-access publication.</t>
  </si>
  <si>
    <t>10.1016/j.surfcoat.2023.129824</t>
  </si>
  <si>
    <t>P6RD4</t>
  </si>
  <si>
    <t>WOS:001051919400001</t>
  </si>
  <si>
    <t>Stiegler, C; June, T; Markwitz, C; Camarretta, N; Ali, AA; Knohl, A</t>
  </si>
  <si>
    <t>Stiegler, Christian; June, Tania; Markwitz, Christian; Camarretta, Nicol; Ali, Ashehad Ashween; Knohl, Alexander</t>
  </si>
  <si>
    <t>Wind regimes above and below a dense oil palm canopy: Detection of decoupling and its implications on CO2 flux estimates</t>
  </si>
  <si>
    <t>Eddy covariance; Oil palm; Net ecosystem exchange; Atmospheric stability; Decoupling; LiDAR</t>
  </si>
  <si>
    <t>NET ECOSYSTEM EXCHANGE; STABLE BOUNDARY-LAYER; LEAF-AREA INDEX; EDDY COVARIANCE; CHAMBER MEASUREMENTS; COHERENT STRUCTURES; FRICTION-VELOCITY; TROPICAL FOREST; PINE FOREST; SUBCANOPY</t>
  </si>
  <si>
    <t>In tall vegetation canopies, calm weather conditions may result in the formation of an isolated below-canopy air layer. Especially during night, below-canopy carbon dioxide (CO2) fluxes may be concealed from above-canopy eddy covariance (EC) measurements, masking the magnitude of CO2 net ecosystem exchange (NEE). Particular attention to this nighttime problem needs to be paid in oil palm (Elaeis guineensis Jacq.) plantations, which can form a dense top canopy and which are grown in tropical regions where wind speeds are often low. Here, we investigated EC-based NEE measurements, wind and micrometeorological patterns, and LiDAR-derived terrain and canopy structure in a mature commercial oil palm plantation in the tropical lowlands of Jambi province, Sumatra, Indonesia. Over 3 years, we assessed the strength of turbulent and thermal mixing and tested five different methods to determine decoupling: (i) single-level (above-canopy) and (ii) two-level (above- and belowcanopy) friction velocity (u*), (iii) above- and below-canopy standard deviation of the vertical wind (&amp; sigma;w), (iv) bulk Richardson number (Rib), and (v) vertical turbulence intensity (ITurb). Our results show that decoupling is a common phenomenon in this plantation, with the two-level filters of &amp; sigma;w and u* being most sensitive in its determination, showing -93% nocturnal decoupling. Decoupling is driven by the oil palm canopy structure, which develops a marked blocking layer at -10 m above the ground, high frequency of calm weather conditions, inverse temperature gradients and a terrain slope of 3 degrees which was enough to create a thermally-induced drainage flow. Filtering NEE data, especially the two-level filters of &amp; sigma;w and u*, challenged estimations of the plantation's CO2 balance due to high uncertainties in nocturnal respiration rates which could not be reduced by adding storage components to the measured fluxes highlighting the importance of additional below-canopy CO2 flux measurements, especially in such a weak-wind and dense-canopy tropical environment.</t>
  </si>
  <si>
    <t>[Stiegler, Christian; Markwitz, Christian; Camarretta, Nicol; Ali, Ashehad Ashween; Knohl, Alexander] Univ Gottingen, Bioclimatol, Gottingen, Germany; [June, Tania] Bogor Agr Univ, Dept Geophys &amp; Meteorol, Bogor, Indonesia; [Knohl, Alexander] Univ Gottingen, Ctr Biodivers &amp; Sustainable Land Use CBL, Gottingen, Germany</t>
  </si>
  <si>
    <t>University of Gottingen; Bogor Agricultural University; University of Gottingen</t>
  </si>
  <si>
    <t>Stiegler, C (corresponding author), Univ Gottingen, Bioclimatol, Gottingen, Germany.</t>
  </si>
  <si>
    <t>christian.stiegler@biologie.uni-goettingen.de</t>
  </si>
  <si>
    <t>Deutsche Forschungsgemeinschaft (DFG, German Research Foundation) [192626868 SFB 990]; Ministry of Research, Technology and Higher Education (Ristekdikti) [CRC990]</t>
  </si>
  <si>
    <t>Deutsche Forschungsgemeinschaft (DFG, German Research Foundation)(German Research Foundation (DFG)); Ministry of Research, Technology and Higher Education (Ristekdikti)(Ministry of Research and Technology of the Republic of Indonesia (RISTEK))</t>
  </si>
  <si>
    <t>This study was funded by the Deutsche Forschungsgemeinschaft (DFG, German Research Foundation) - project number 192626868 SFB 990 and the Ministry of Research, Technology and Higher Education (Ristekdikti) in the framework of the collaborative German - Indonesian research project CRC990, subproject A03.</t>
  </si>
  <si>
    <t>10.1016/j.agrformet.2023.109668</t>
  </si>
  <si>
    <t>R0LH6</t>
  </si>
  <si>
    <t>WOS:001061337700001</t>
  </si>
  <si>
    <t>Sturz, L; Hamacher, M; Zimmermann, G</t>
  </si>
  <si>
    <t>Sturz, Laszlo; Hamacher, Martin; Zimmermann, Gerhard</t>
  </si>
  <si>
    <t>Effect of composition on nucleation and growth of equiaxed dendrites in the transparent alloy Neopentylglycol-(d)Camphor during solidification in microgravity conditions</t>
  </si>
  <si>
    <t>A1 dendritic solidification; A1 equiaxed growth; A1 crystallographic orientation; A2 microgravity conditions</t>
  </si>
  <si>
    <t>GRAIN-REFINEMENT; ORIENTATION; SUPERALLOYS; COLUMNAR; FRAGMENTATION; MORPHOLOGIES; DIRECTIONS; TRANSITION; EVOLUTION; GRAVITY</t>
  </si>
  <si>
    <t>We investigate the effect of composition of hypoeutectic Neopentylglycol-(D)Camphor (NPG-DC) alloy on nucleation and microstructure kinetics during alloy solidification in low gravity conditions without convection and buoyancy effects. Two alloys with compositions of 0.2 and 0.3 wt-frac. DC have been solidified in a small thermal gradient to obtain equiaxed dendritic microstructures with different crystallographic growth orientation. In-situ optical and thermal characterization in the transparent material provided evolution of equiaxed dendrite density, nucleation undercooling, dendrite tip velocity and kinetic law. Significant differences in the results for the two compositions were found, which are discussed in relation to temperature and concentration dependent solid-liquid interfacial properties. For NPG-0.2 wt-frac. DC equiaxed dendrites with (100) crystallographic growth orientation exist which tend to grow faster and fill the liquid volume quicker compared to the NPG-0.3 wt-frac. DC alloy. This behavior hinders nucleation of further dendrites and decreases their final number. In contrast, for NPG-0.3 wt-frac. DC equiaxed dendrites with (111) crystallographic growth orientation nucleate at higher undercooling and the kinetic law indicates smaller dendrite tip velocities correlated to a larger number of dendrites.</t>
  </si>
  <si>
    <t>[Sturz, Laszlo; Hamacher, Martin; Zimmermann, Gerhard] Access eV, Intzestr 5, D-52072 Aachen, Germany</t>
  </si>
  <si>
    <t>Sturz, L (corresponding author), Access eV, Intzestr 5, D-52072 Aachen, Germany.</t>
  </si>
  <si>
    <t>L.Sturz@access-technology.de</t>
  </si>
  <si>
    <t>German Space Agency BMWK/BMWi/DLR [FKZ 50WM1443, 50WM1743, 50WM2043]; ESA MAP [AO-99-117]; OHB System AG</t>
  </si>
  <si>
    <t>German Space Agency BMWK/BMWi/DLR; ESA MAP; OHB System AG</t>
  </si>
  <si>
    <t>We gratefully acknowledge financial support from German Space Agency BMWK/BMWi/DLR grants no. FKZ 50WM1443, 50WM1743 and 50WM2043, and ESA MAP funding under CETSOL-contract AO-99-117, which is gratefully acknowledged. The authors appreciate the team of Airbus Defense &amp; Space for the hardware development and support during the preparatory and final experiments. SSC, DLR-Moraba and OHB System AG are acknowledged for mission support at Esrange/Sweden.</t>
  </si>
  <si>
    <t>10.1016/j.jcrysgro.2023.127350</t>
  </si>
  <si>
    <t>P3RW1</t>
  </si>
  <si>
    <t>WOS:001049859200001</t>
  </si>
  <si>
    <t>Su, JZ; Luo, HS; Ma, CH; Li, SD; Fu, XJ</t>
  </si>
  <si>
    <t>Su, Junzhao; Luo, Hongsheng; Ma, Cenhuai; Li, Shide; Fu, Xiangjun</t>
  </si>
  <si>
    <t>Triazine-based microcapsules with synergistic ultraviolet absorptions</t>
  </si>
  <si>
    <t>Encapsulation; Ultraviolet; Microstructure; Polymeric composites; Powder technology</t>
  </si>
  <si>
    <t>NANOPARTICLES</t>
  </si>
  <si>
    <t>A novel ultraviolet (UV) absorbing microcapsule was fabricated, featuring core-shell structures with triazine compounds as the inner core while water soluble polymers as the encapsulant shell. The composition and morphology of the microcapsules were optimized. Both encapsulation efficiency and load rate were analyzed. The encapsulation endowed with not only well aqueous dispersion, but also synergistic UV absorption capability. The application in sunscreen was demonstrated. Comparative studies were performed on the sun protection index of the creams, such as sun protection factors (SPF) and protection factor of UVA (PFA). Furthermore, the encapsulation enhanced the maintenance in aging measurements.</t>
  </si>
  <si>
    <t>[Su, Junzhao; Luo, Hongsheng; Ma, Cenhuai; Li, Shide] Guangdong Univ Technol, Sch Chem Engn &amp; Light Ind, Guangzhou 510006, Peoples R China; [Fu, Xiangjun] Guangdong Second Prov Gen Hosp, Dept Otorhinolaryngol Head &amp; Neck Surg, Guangzhou 510317, Peoples R China</t>
  </si>
  <si>
    <t>Guangdong University of Technology</t>
  </si>
  <si>
    <t>Luo, HS (corresponding author), Guangdong Univ Technol, Sch Chem Engn &amp; Light Ind, Guangzhou 510006, Peoples R China.;Fu, XJ (corresponding author), Guangdong Second Prov Gen Hosp, Dept Otorhinolaryngol Head &amp; Neck Surg, Guangzhou 510317, Peoples R China.</t>
  </si>
  <si>
    <t>hongsheng.luo@gdut.edu.cn; nitananade2016@163.com</t>
  </si>
  <si>
    <t>Guangdong Second Provincial General Hospital [3D-A2021017]</t>
  </si>
  <si>
    <t>Guangdong Second Provincial General Hospital</t>
  </si>
  <si>
    <t>The authors thank for the financial support from Grant 3D printing research project (No. 3D-A2021017) of Guangdong Second Provincial General Hospital.</t>
  </si>
  <si>
    <t>10.1016/j.matlet.2023.134879</t>
  </si>
  <si>
    <t>O9GW6</t>
  </si>
  <si>
    <t>WOS:001046841000001</t>
  </si>
  <si>
    <t>Talanov, MV; Shirokov, VB; Talanov, VM</t>
  </si>
  <si>
    <t>Talanov, Mikhail, V; Shirokov, Vladimir B.; Talanov, Valeriy M.</t>
  </si>
  <si>
    <t>Spin order on the pyrochlore lattice: Magnetic crystallography, Landau thermodynamics and emergent phenomena</t>
  </si>
  <si>
    <t>Pyrochlore lattices; Magnetostructural transformations; Phase diagram; Long -range ordering; Crystallography</t>
  </si>
  <si>
    <t>2ND-ORDER PHASE-TRANSITIONS; NEUTRON-DIFFRACTION; SYMMETRY ANALYSIS; REPRESENTATION ANALYSIS; CRYSTAL-STRUCTURE; GLASS FORMATION; SPACE; SUPERCONDUCTIVITY; FERROELECTRICITY; ANTIFERROMAGNET</t>
  </si>
  <si>
    <t>Pyrochlore sublattice is an integral structural component of numerous families of electronic and magnetic materials, including pyrochlores, spinels, and Laves phases C15, which exhibit plethora of magnetic behavior and multiple functionalities. The geometrical frustration inherent in the pyrochlore lattice leads to the formation of a broad diversity of unconventional magnetic states with unique physical properties. This article focuses on the symmetry-based concept of the Landau order parameter (OP) for uniform description of the most common types of long-range ordered magnetic structures (aristotypes) and related multi-ordered states derived from the pyrochlore lattice. Based on the combination of group-theoretical and crystallographic approaches the symmetry hierarchy of the magnetic structures and the corresponding OPs are established. The symmetry analysis reveals the role of the secondary OPs in the magnetic structure formation and emergent phenomena such as spin-driven ferroelasticity, ferroelectricity and orbital ordering. Within the framework of Landau thermodynamics, possible phase diagrams including multicritical points are determined. This study shows the significant potential of applying OP concept in a wide range of tasks, from the construction of microscopic theories to the search for new advanced magnetic and electronic materials.</t>
  </si>
  <si>
    <t>[Talanov, Mikhail, V] Natl Res Univ, Moscow Inst Phys &amp; Technol, Lab Terahertz Spect, Dolgoprudnyi 141701, Russia; [Shirokov, Vladimir B.] Russian Acad Sci, Southern Sci Ctr, Rostov Na Donu 344006, Russia; [Talanov, Valeriy M.] Platov South Russian State Polytech Univ NPI, Novocherkassk 346428, Russia</t>
  </si>
  <si>
    <t>Moscow Institute of Physics &amp; Technology; Russian Academy of Sciences; Southern Scientific Center, Russian Academy of Sciences; Platov South Russian State Polytechnic University</t>
  </si>
  <si>
    <t>Talanov, MV (corresponding author), Natl Res Univ, Moscow Inst Phys &amp; Technol, Lab Terahertz Spect, Dolgoprudnyi 141701, Russia.</t>
  </si>
  <si>
    <t>mvtalanov@gmail.com</t>
  </si>
  <si>
    <t>Talanov, Mikhail/0000-0002-5416-9579</t>
  </si>
  <si>
    <t>Russian Science Foundation (RSF) [22-22-00183]</t>
  </si>
  <si>
    <t>The authors are obliged greatly to the editor Prof. Ce-Wen Nan and the anonymous reviewers for the careful scientific analysis of the article, constructive remarks, and very helpful suggestions. The reported study was funded by Russian Science Foundation (RSF)-research projects no. 22-22-00183, https://rscf.ru/project/22-22-00183/.</t>
  </si>
  <si>
    <t>10.1016/j.actamat.2023.119187</t>
  </si>
  <si>
    <t>R2KE6</t>
  </si>
  <si>
    <t>WOS:001062678300001</t>
  </si>
  <si>
    <t>Tesic, I; Pigoni, A; Moltrasio, C; Brambilla, P; Delvecchio, G</t>
  </si>
  <si>
    <t>Tesic, Isidora; Pigoni, Alessandro; Moltrasio, Chiara; Brambilla, Paolo; Delvecchio, Giuseppe</t>
  </si>
  <si>
    <t>How does feeling pain look like in depression: A review of functional neuroimaging studies</t>
  </si>
  <si>
    <t>Major depression disorder; Functional magnetic resonance imaging; Pain anticipation; Pain perception; Prefrontal cortex; Anterior cingulate cortex; Insula</t>
  </si>
  <si>
    <t>LOW-BACK-PAIN; DORSOLATERAL PREFRONTAL CORTEX; ANTERIOR CINGULATE CORTEX; NEURAL RESPONSES; BRAIN RESPONSE; PERCEPTION; FMRI; ANTICIPATION; METAANALYSIS; DISORDER</t>
  </si>
  <si>
    <t>Introduction: Major Depression Disorder (MDD) and pain appear to be reciprocal risk factors and sharing common neuroanatomical pathways and biological substrates. However, the role of MDD on pain processing remains still unclear. Therefore, this review aims to focus on the effect of depression on pain anticipation, and perception, before and after treatment, through functional magnetic resonance imaging (fMRI). Methods: A bibliographic search was conducted on PubMed, Scopus and Web of Science, looking for fMRI studies exploring pain processing in MDD patients. Results: Amongst the 602 studies retrieved, 12 met the inclusion criteria. In terms of pain perception, studies evidenced that MDD patients generally presented increased activation in brain regions within the prefrontal cortex, insula and in the limbic system (such as amygdala, hippocampus) and occipital cortex. The studies investigating the effect of antidepressant treatment evidenced a reduced activation in areas such as insula, anterior cingulate, and prefrontal cortices. In terms of pain anticipation, contrasting results were evidenced in MDD patients, which presented both increased and decreased activity in the prefrontal cortex, the insula and the temporal lobe, alongside with increased activity in the anterior cingulate cortex, the frontal gyrus and occipital lobes. Limitations: The small number of included studies, the heterogeneous approaches of the studies might limit the conclusions of this review. Conclusions: Acute pain processing in MDD patients seems to involve numerous and different brain areas. However, more specific fMRI studies with a more homogeneous population and rigorous approach should be conducted to better highlight the effect of depression on pain processing.</t>
  </si>
  <si>
    <t>[Tesic, Isidora; Brambilla, Paolo] Univ Milan, Dept Pathophysiol &amp; Transplantat, Via F Sforza 35, I-20122 Milan, Italy; [Pigoni, Alessandro] IMT Sch Adv Studies Lucca, Social &amp; Affect Neurosci Grp, MoMiLab, Lucca, Italy; [Pigoni, Alessandro; Moltrasio, Chiara; Brambilla, Paolo; Delvecchio, Giuseppe] Fdn IRCCS Ca Granda Osped Maggiore Policlin, Dept Neurosci &amp; Mental Hlth, Milan, Italy</t>
  </si>
  <si>
    <t>University of Milan; IMT School for Advanced Studies Lucca; IRCCS Ca Granda Ospedale Maggiore Policlinico</t>
  </si>
  <si>
    <t>Brambilla, P (corresponding author), Univ Milan, Dept Pathophysiol &amp; Transplantat, Via F Sforza 35, I-20122 Milan, Italy.</t>
  </si>
  <si>
    <t>paolo.brambilla1@unimi.it</t>
  </si>
  <si>
    <t>Italian Min- istry of Health [GR-2019-12369479, 2023]</t>
  </si>
  <si>
    <t>Italian Min- istry of Health(Ministry of Health, Italy)</t>
  </si>
  <si>
    <t>This study was partially supported by grants from the Italian Min- istry of Health (GR-2019-12369479 to A.P and Ricerca Corrente 2023 to P.B) .</t>
  </si>
  <si>
    <t>10.1016/j.jad.2023.07.083</t>
  </si>
  <si>
    <t>O8GY8</t>
  </si>
  <si>
    <t>WOS:001046150000001</t>
  </si>
  <si>
    <t>Tóth, S; Fagová, Z; Holodová, M; Zeidan, D; Hartel, P; Curgali, K; Mechírová, E; Maretta, M; Nemcová, R; Gancarciková, S; Danková, M</t>
  </si>
  <si>
    <t>Toth, Stefan; Fagova, Zuzana; Holodova, Monika; Zeidan, Dema; Hartel, Patrick; Curgali, Kristina; Mechirova, Eva; Maretta, Milan; Nemcova, Radomira; Gancarcikova, Sona; Dankova, Marianna</t>
  </si>
  <si>
    <t>Influence of Escherichia coli infection on intestinal mucosal barrier integrity of germ-free piglets</t>
  </si>
  <si>
    <t>LIFE SCIENCES</t>
  </si>
  <si>
    <t>Germ-free piglets; Escherichia coli; Intestine; Immunohistochemistry</t>
  </si>
  <si>
    <t>MAST-CELLS; ENTEROENDOCRINE CELLS; EPITHELIAL BARRIER; COMMENSAL BACTERIA; IMMUNE-RESPONSES; TIGHT JUNCTIONS; EDEMA DISEASE; MUC1; SEROTONIN; MODEL</t>
  </si>
  <si>
    <t>Aims: We focused on investigating the influence of Escherichia coli (E. coli) on the intestinal barrier.Material and methods: We studied changes in the distribution and secretory activities of goblet cells and enteroendocrine cells (EECs), as well as changes in the population of mast cells (MCs) in the jejunal and colonic mucosa of germ-free (GF) piglets as a healthy control group and GF piglets whose intestines were colonised with E. coli bacteria on day 5.Key findings: The results suggest that the colon of GF piglets is more resistant and less prone to coliform bacterial infection compared to the jejunum. This can be confirmed by a lower degree of histopathological injury index as well as an improvement of the morphometric parameters of the colonic mucosa, together with a significantly increased (p &lt; 0.05) expression of MUC1/EMA, and ZO-3. We also observed a significant decrease in the population of activated MCs (p &lt; 0.001) and EECs (p &lt; 0.001). These findings may indicate a rapid response and better preparation of the intestinal barrier for possible pathological attacks and the subsequent development of mucosal lesions during the development and progression of the intestinal diseases.Significance: To date, gut-targeted therapeutic approaches that can modulate bacterial translocation and chronic inflammation are still in their infancy but represent one of the most promising areas of research for the development of new effective treatments or clinical strategies in the future. Therefore, a better understanding of these processes can significantly contribute to the development of these targeted strategies for disease prevention and treatment.</t>
  </si>
  <si>
    <t>[Toth, Stefan; Fagova, Zuzana; Holodova, Monika; Zeidan, Dema; Hartel, Patrick; Curgali, Kristina; Mechirova, Eva] Pavol Jozef Safarik Univ, Fac Med, Dept Histol &amp; Embryol, Srobarova 2, Kosice 04001, Slovakia; [Maretta, Milan] Pavol Jozef Safarik Univ, Fac Med, Dept Neurol, Trieda SNP 1, Kosice 04001, Slovakia; [Maretta, Milan] L Pasteur Univ Hosp, Trieda SNP 1, Kosice 04001, Slovakia; [Nemcova, Radomira; Gancarcikova, Sona] Univ Vet Med &amp; Pharm Kosice, Dept Microbiol &amp; Immunol, Komenskeho 73, Kosice 04170, Slovakia; [Dankova, Marianna] Comenius Univ, Inst Histol &amp; Embryol, Fac Med, Sasinkova 4, Bratislava 81104, Slovakia</t>
  </si>
  <si>
    <t>University of Pavol Jozef Safarik Kosice; University of Pavol Jozef Safarik Kosice; University of Veterinary Medicine Kosice; Comenius University Bratislava</t>
  </si>
  <si>
    <t>Danková, M (corresponding author), Comenius Univ, Inst Histol &amp; Embryol, Fac Med, Sasinkova 4, Bratislava 81104, Slovakia.</t>
  </si>
  <si>
    <t>Gancarcikova, Sona/0000-0003-3813-8657</t>
  </si>
  <si>
    <t>EU [FOOD-CT-2003-506487]; Operational Programme Integrated Infrastructure - ERDF [ITMS2014+:313011V455]</t>
  </si>
  <si>
    <t>EU(European Union (EU)); Operational Programme Integrated Infrastructure - ERDF(European Union (EU))</t>
  </si>
  <si>
    <t>The authors would like to thank Mrs. Anna Hantke, Anna Hornakova, Luboslava Haberova and Mr. Marek Hnat for their excellent technical assistance. This work was supported by EU project Replace at UVMP (FOOD-CT-2003-506487), and the Operational Programme Integrated Infrastructure, funded by the ERDF under No. ITMS2014+:313011V455.</t>
  </si>
  <si>
    <t>0024-3205</t>
  </si>
  <si>
    <t>1879-0631</t>
  </si>
  <si>
    <t>LIFE SCI</t>
  </si>
  <si>
    <t>Life Sci.</t>
  </si>
  <si>
    <t>10.1016/j.lfs.2023.122036</t>
  </si>
  <si>
    <t>Medicine, Research &amp; Experimental; Pharmacology &amp; Pharmacy</t>
  </si>
  <si>
    <t>Research &amp; Experimental Medicine; Pharmacology &amp; Pharmacy</t>
  </si>
  <si>
    <t>S8GQ2</t>
  </si>
  <si>
    <t>WOS:001073500200001</t>
  </si>
  <si>
    <t>Wagner, J; Wilkin, JD; Szymkowiak, A; Grigor, J</t>
  </si>
  <si>
    <t>Wagner, Jennifer; Wilkin, Jonathan D.; Szymkowiak, Andrea; Grigor, John</t>
  </si>
  <si>
    <t>Sensory and affective response to chocolate differing in cocoa content: A TDS and facial electromyography approach</t>
  </si>
  <si>
    <t>PHYSIOLOGY &amp; BEHAVIOR</t>
  </si>
  <si>
    <t>Plain chocolate; Facial electromyography; Temporal dominance of sensation (TDS); Oral processing; Valence</t>
  </si>
  <si>
    <t>TEMPORAL DOMINANCE; SPEECH SOUNDS; FOOD; EXPRESSIONS; SENSATIONS; TASTE; ASSOCIATE; EMOTIONS; SHAPES</t>
  </si>
  <si>
    <t>Existing research has offered insight into facial activities and their associations with hedonic liking during the consumption of basic food samples and suggests facial changes during consumption are linked to the hedonic evaluation of tastes and, thus related to the taster's perception rather than the tastes themselves. This study tests whether, during the consumption of commercially available dark chocolate, a complex food product, which can be high in bitterness but expectedly so, how facial activities are linked to the bitterness levels and the hedonic liking of the samples. To do this we carried out two studies with untrained consumers, the first of which captured temporally dynamic sensory perception during the consumption of dark chocolate samples of 36% and 85% cocoa content, using the Temporal Dominance of Sensations (TDS) approach. The second study captured facial EMG over the corrugator and zygomaticus muscles during the consumption of dark chocolate samples (36%, 70%, and 85% cocoa). Specifically, the aim of this research was to investigate whether corrugator activity had a greater association with bitterness perception, linked to cocoa, or hedonic evaluation. Capturing the dynamic sensory profile of chocolate samples allowed an investigation into the time points most evident of sensory variation related to the bitterness and sweetness of the taste, allowing insight into whether facial activities also deviated during this time. These data offer evidence to suggest that corrugator was associated with hedonic evaluation during consumption of the samples, with the most liked samples (being those with 70% and 36% cocoa) eliciting similar corrugator activities and less activity than the least liked 85% cocoa content sample; however, there was also evidence to suggest a significant variation in participants' corrugator activity during the period of oral processing when bitterness was most evident in the 85% cocoa sample and sweetness was most evident in the 36% cocoa sample (i.e., the time when bitterness and sweetness were most divergent) Further investigation showed a variation in facial activities elicited during consumption of the 36% cocoa sample based on whether individuals were part of the group who favoured the 85% cocoa sample or the group favouring the 36% cocoa sample. The findings, therefore, suggest facial EMG, specifically over the corrugator, appears to be related to the hedonic evaluation of a complex food product and not the taste itself. Furthermore, being aware of the time points where sensory variations are most apparent between samples can allow for targeted investigation into facial EMG and its ability to distinguish food samples.</t>
  </si>
  <si>
    <t>[Wagner, Jennifer; Wilkin, Jonathan D.; Szymkowiak, Andrea; Grigor, John] Abertay Univ, Dundee, Scotland</t>
  </si>
  <si>
    <t>University of Abertay Dundee</t>
  </si>
  <si>
    <t>Grigor, J (corresponding author), Abertay Univ, Dundee, Scotland.</t>
  </si>
  <si>
    <t>j.grigor@abertay.ac.uk</t>
  </si>
  <si>
    <t>Abertay University's, Research-Led Innovation Nodes for Contemporary Society (R-LINCS)</t>
  </si>
  <si>
    <t>This research was carried out as part of a PhD funded by Abertay University's, Research-Led Innovation Nodes for Contemporary Society (R-LINCS) . The authors are grateful to Dr Ahmed Abdullah for his advice on rmcorr.</t>
  </si>
  <si>
    <t>0031-9384</t>
  </si>
  <si>
    <t>1873-507X</t>
  </si>
  <si>
    <t>PHYSIOL BEHAV</t>
  </si>
  <si>
    <t>Physiol. Behav.</t>
  </si>
  <si>
    <t>10.1016/j.physbeh.2023.114308</t>
  </si>
  <si>
    <t>Psychology, Biological; Behavioral Sciences</t>
  </si>
  <si>
    <t>Psychology; Behavioral Sciences</t>
  </si>
  <si>
    <t>Q7ZK9</t>
  </si>
  <si>
    <t>WOS:001059667700001</t>
  </si>
  <si>
    <t>Wang, C; Huang, JF; Huang, Y; Li, X; Zhang, WY; Sun, JW; Xiong, P; Fu, YS; Xue, L; Zhu, JW</t>
  </si>
  <si>
    <t>Wang, Chao; Huang, Jiangfeng; Huang, Yin; Li, Xia; Zhang, Wenyao; Sun, Jingwen; Xiong, Pan; Fu, Yongsheng; Xue, Liang; Zhu, Junwu</t>
  </si>
  <si>
    <t>Ligand field regulation of delta-MnO2 by polyanion modification enables extended potential window in supercapacitors</t>
  </si>
  <si>
    <t>Supercapacitors; Ligand field regulation; Extended potential window; Long cycle life</t>
  </si>
  <si>
    <t>OXIDE; PERFORMANCE; MNO2; BIRNESSITE; SPECTRA</t>
  </si>
  <si>
    <t>Extending the potential range of MnO2 is imperative to improve power density and capacity density for supercapacitors. However, MnO2 usually suffers from severe Mn dissolution, irreversible phase transition, and poor cycling performance under an extended potential range. Herein, a ligand field regulation strategy is rationally designed to enhance the structural stability of delta-MnO2 to extend the potential window to 0-1.3 V (vs. Ag/AgCl). As revealed, the generated strong covalent B-O plane triangle or P-O tetrahedron configuration effectively decreases the lattice O activity of delta-MnO2. The B-O-Mn and P-O-Mn bonding interactions enhance Mn ion crystal field stabilization energy in the MnO6 octahedra. Therefore, the lattice O loss, Mn dissolution, and irreversible phase transition are well suppressed. The PO43- doped delta-MnO2 electrodes (with a high mass loading of similar to 10 mg cm(-2)) can deliver a large specific capacitance (268.3 F g(-1) at 0.5 A g(-1)) and excellent cycling performance (83.5% after 10000 cycles) in the extended potential window of 0-1.3 V (vs. Ag/AgCl). Our ligand field regulation strategy affords opportunities for developing simultaneously high-capacity and high-voltage electrodes for supercapacitors.</t>
  </si>
  <si>
    <t>[Wang, Chao; Huang, Jiangfeng; Huang, Yin; Li, Xia; Zhang, Wenyao; Sun, Jingwen; Xiong, Pan; Fu, Yongsheng; Xue, Liang; Zhu, Junwu] Nanjing Univ Sci &amp; Technol, Key Lab Soft Chem &amp; Funct Mat, Minist Educ, Nanjing 210094, Peoples R China</t>
  </si>
  <si>
    <t>Nanjing University of Science &amp; Technology</t>
  </si>
  <si>
    <t>Xue, L; Zhu, JW (corresponding author), Nanjing Univ Sci &amp; Technol, Key Lab Soft Chem &amp; Funct Mat, Minist Educ, Nanjing 210094, Peoples R China.</t>
  </si>
  <si>
    <t>xueliang@njust.edu.cn; zhujw@njust.edu.cn</t>
  </si>
  <si>
    <t>National Natural Science Foundation of China [U2004209, 52125202, 22179062]; Natural Science Foundation of Jiangsu Province [BK20220931]; Fundamental Research Funds for the Central Universities [30922010707]</t>
  </si>
  <si>
    <t>National Natural Science Foundation of China(National Natural Science Foundation of China (NSFC)); Natural Science Foundation of Jiangsu Province(Natural Science Foundation of Jiangsu Province); Fundamental Research Funds for the Central Universities(Fundamental Research Funds for the Central Universities)</t>
  </si>
  <si>
    <t>This work was supported by the National Natural Science Foundation of China (Nos. U2004209, 52125202, and 22179062), the Natural Science Foundation of Jiangsu Province (Nos. BK20220931), and the &amp; nbsp;Fundamental Research Funds for the Central Universities (Nos. 30922010707). The authors thank the Materials Characterization Facility of Nanjing University of Science and Technology for XRD, FESEM, and TEM measurements.</t>
  </si>
  <si>
    <t>10.1016/j.jpowsour.2023.233462</t>
  </si>
  <si>
    <t>P6AI1</t>
  </si>
  <si>
    <t>WOS:001051477600001</t>
  </si>
  <si>
    <t>Wang, Q; Wang, X; Zhang, DQ; Fang, WS; Li, Y; Cao, AC; Wang, QX; Yan, DD</t>
  </si>
  <si>
    <t>Wang, Qing; Wang, Xin; Zhang, Daqi; Fang, Wensheng; Li, Yuan; Cao, Aocheng; Wang, Qiuxia; Yan, Dongdong</t>
  </si>
  <si>
    <t>Transcriptome reveals the toxicity difference of dimethyl disulfide by contact and fumigation on Meloidogyne incognita through calcium channel-mediated oxidative phosphorylation</t>
  </si>
  <si>
    <t>Soil fumigant; Root-knot nematode; Calcium channel; Oxidative phosphorylation; Action mode</t>
  </si>
  <si>
    <t>CYTOCHROME-C; IDENTIFICATION; NEMATODES; RECEPTOR; NEURONS</t>
  </si>
  <si>
    <t>The prevention and control of root-knot nematode disease has been posing a severe challenge worldwide. Fumigant dimethyl disulfide (DMDS) has excellent biological activity against nematodes. However, DMDS displays significant differences in contact and fumigation toxicity on nematodes. The specific regulatory mechanisms of DMDS on nematodes were investigated by characterizing the ultrastructure of nematodes, examining the physiological and biochemical indicators, and conducting transcriptome high-throughput sequencing. As indicated by the results, DMDS fumigation exhibited the biological activity of against M. incognita 121 times higher than DMDS contact. DMDS contact destroyed nematode body wall cells. Besides, DMDS fumigation destroyed the structure of pseudocoelom. DMDS treatment expedited the oxygen consumption of nematode while inhibiting acetylcholinesterase activity. As indicated by the analysis of vital signaling pathways based on transcriptome, DMDS based on the contact mode penetrated directly into the nematode through the body wall and subsequently affected calcium channels in the body wall and muscle, disrupting their structure; it serves as an uncoupling agent to interfere with ATP synthase. Moreover, DMDS based on the fumigation mode entered the body through the respiratory pathway of olfactory perception-oxygen exchange and subsequently affected calcium channels in the nerve; eventually, DMDS acted on complex IV or complex I.</t>
  </si>
  <si>
    <t>[Wang, Qing; Wang, Xin; Zhang, Daqi; Fang, Wensheng; Li, Yuan; Cao, Aocheng; Wang, Qiuxia; Yan, Dongdong] Chinese Acad Agr Sci, Inst Plant Protect, State Key Lab Biol Plant Dis &amp; Insect Pests, Beijing 100193, Peoples R China; [Yan, Dongdong] Chinese Acad Agr Sci, Inst Plant Protect, Dept Pesticides, Beijing 100193, Peoples R China</t>
  </si>
  <si>
    <t>Chinese Academy of Agricultural Sciences; Institute of Plant Protection, CAAS; Chinese Academy of Agricultural Sciences; Institute of Plant Protection, CAAS</t>
  </si>
  <si>
    <t>Yan, DD (corresponding author), Chinese Acad Agr Sci, Inst Plant Protect, Dept Pesticides, Beijing 100193, Peoples R China.</t>
  </si>
  <si>
    <t>yandongdong@caas.cn</t>
  </si>
  <si>
    <t>National Natural Science Foundation of China [32172462]; National Key Research and Development Program of China [2022YFC3501502]</t>
  </si>
  <si>
    <t>National Natural Science Foundation of China(National Natural Science Foundation of China (NSFC)); National Key Research and Development Program of China</t>
  </si>
  <si>
    <t>This work was supported by the National Natural Science Foundation of China (32172462) and National Key Research and Development Program of China (2022YFC3501502).</t>
  </si>
  <si>
    <t>10.1016/j.jhazmat.2023.132268</t>
  </si>
  <si>
    <t>R6TN4</t>
  </si>
  <si>
    <t>WOS:001065661900001</t>
  </si>
  <si>
    <t>Wang, S; Ni, YY; Wang, JJ; Bu, YC; Yang, YX; Sun, XS; Zhu, XJ; Kong, L; Wang, S; Zhou, HP</t>
  </si>
  <si>
    <t>Wang, Shen; Ni, Yingyong; Wang, Junjun; Bu, Yingcui; Yang, Yuxin; Sun, Xianshun; Zhu, Xiaojiao; Kong, Lin; Wang, Sen; Zhou, Hongping</t>
  </si>
  <si>
    <t>Construction of ROS-generation system based on lipid droplet-targeting photosensitizer to mediate multiple subcellular organelle damage</t>
  </si>
  <si>
    <t>ROS-generation system; Lipid droplet -targeting; Contacting damage; Subcellular organelle damage; Cell imaging</t>
  </si>
  <si>
    <t>ENDOPLASMIC-RETICULUM; FLUORESCENT-PROBES; AUTOPHAGY</t>
  </si>
  <si>
    <t>Lipid droplets (LDs) have attracted much attention due to their unique structure and key connections with various organelles in cells. Here, we constructed a reactive oxygen species (ROS) -generating system by carefully designing photosensitizers (TT2CN) with proper lipophilicity, excellent light stability and cell imaging ability. In detail, TT2CN can selectively accumulate into LDs (as carriers for TT2CN) and then a subcellular photo-inducible ROS-generating system was formed. Confocal fluorescence imaging revealed the contact behavior of dynamic LDs with other organelles in the cells and the photo-produced ROS can induce multiple organelle damages. Flow cytometry, AM / PI and 3D multicellular tumor spheres (3D MCTs) experiments further verified and demonstrated its promising biological application. This work not only uncovers the communication behavior between LDs and other organelles, but also provides a new anticancer strategy of LDs-mediated photodynamic therapy.</t>
  </si>
  <si>
    <t>[Wang, Sen; Zhou, Hongping] Anhui Univ, Sch Chem &amp; Chem Engn, Hefei 230601, Peoples R China; Anhui Univ, Key Lab Funct Inorgan Mat Chem Anhui Prov, Anhui Prov Key Lab Chem Inorgan Organ Hybrid Funct, Key Lab Struct &amp; Funct Regulat Hybrid Mat,Minist E, Hefei 230601, Peoples R China</t>
  </si>
  <si>
    <t>Anhui University; Anhui University</t>
  </si>
  <si>
    <t>Wang, S; Zhou, HP (corresponding author), Anhui Univ, Sch Chem &amp; Chem Engn, Hefei 230601, Peoples R China.</t>
  </si>
  <si>
    <t>wangsen@ahu.edu.cn; zhpzhp@263.net</t>
  </si>
  <si>
    <t>National Natural Science Foundation of China [52103111, S020318008/026]; Chang Jiang Scholars and Innovative Research Team in University, Anhui University Starting Grants [S020118002/039]; [51972001]</t>
  </si>
  <si>
    <t>National Natural Science Foundation of China(National Natural Science Foundation of China (NSFC)); Chang Jiang Scholars and Innovative Research Team in University, Anhui University Starting Grants;</t>
  </si>
  <si>
    <t>We acknowledge the financial support from the National Natural Science Foundation of China (51972001, 52103111), Chang Jiang Scholars and Innovative Research Team in University, Anhui University Starting Grants (S020318008/026 and S020118002/039). The authors are grateful to the staff for providing technical support with using the facility of Institute of Health Sciences &amp; amp; Technology, and Nano X -band system from Bruker (Germany) at School of Chemistry and Chemical Engineering, Anhui University.</t>
  </si>
  <si>
    <t>10.1016/j.snb.2023.134201</t>
  </si>
  <si>
    <t>Q7OA2</t>
  </si>
  <si>
    <t>WOS:001059368700001</t>
  </si>
  <si>
    <t>Wang, Y; Cao, JH; Shao, XD; Shen, XJ</t>
  </si>
  <si>
    <t>Wang, Yang; Cao, Junhui; Shao, Xudong; Shen, Xiujiang</t>
  </si>
  <si>
    <t>Flexural behavior and crack width prediction of UHPC-steel strip composite decks under sagging moments</t>
  </si>
  <si>
    <t>Orthotropic steel deck; UHPC-steel strip composite deck; Flexural performance; Sagging moment; Crack width prediction</t>
  </si>
  <si>
    <t>HIGH-PERFORMANCE CONCRETE</t>
  </si>
  <si>
    <t>The UHPC-steel strip composite deck is a novel technique for strengthening in-service orthotropic steel decks with numerous fatigue cracks penetrating the steel deck plate. However, the anti-cracking behavior of the new composite decks under sagging moments is still unclear and formulas for prediction of the crack width at the bottom surface of the UHPC layer is unavailable. In this study, the flexural behavior of the UHPC-steel strip composite deck under sagging moments was investigated through a series of experimental tests. In the tests, the width of the steel strips and the thickness of the UHPC layer were considered as the two primary parameters. The responses of the UHPC-steel strip composite specimens, including the load-deflection curve, failure mode of the specimens, interfacial slippage, and nominal cracking stress of UHPC, were systematically analyzed and discussed. The test results indicate that the specimens with steel strips possessed a better anti-cracking performance compared to that of the specimens without steel strips. This phenomenon implies that the steel strips should impede the initiation and propagation of cracks in UHPC. Moreover, an increase to the width of the steel strips could reduce the average crack spacing and maximum crack width of UHPC. Further, theoretical formulas were proposed to calculate the maximum crack width at the bottom surface of the UHPC layer. The theoretical results obtained via the proposed formulas agreed well with the test results, confirming that the proposed analysis method should be suitable for the UHPC-steel strip composite deck. So the proposed method could be utilized to calculate the crack width at the bottom surface of the UHPC layer under sagging moments.</t>
  </si>
  <si>
    <t>[Wang, Yang; Cao, Junhui; Shao, Xudong; Shen, Xiujiang] Hunan Univ, Coll Civil Engn, Key Lab Wind &amp; Bridge Engn Hunan Prov, Changsha 410082, Peoples R China; [Wang, Yang] Hunan Univ Sci &amp; Technol, Hunan Prov Key Lab Struct Wind Resistance &amp; Vibrat, Xiangtan 411201, Peoples R China; [Wang, Yang] Hunan Univ Sci &amp; Technol, Sch Civil Engn, Xiangtan 411201, Peoples R China</t>
  </si>
  <si>
    <t>Hunan University; Hunan University of Science &amp; Technology; Hunan University of Science &amp; Technology</t>
  </si>
  <si>
    <t>Cao, JH (corresponding author), Hunan Univ, Coll Civil Engn, Key Lab Wind &amp; Bridge Engn Hunan Prov, Changsha 410082, Peoples R China.</t>
  </si>
  <si>
    <t>caojunhui@hnu.edu.cn</t>
  </si>
  <si>
    <t>national natural science foundation of China [51978259, 52038003]; science and technology innovation program of Hunan province of China [2021RC3068]</t>
  </si>
  <si>
    <t>national natural science foundation of China(National Natural Science Foundation of China (NSFC)); science and technology innovation program of Hunan province of China</t>
  </si>
  <si>
    <t>This research was supported by the national natural science foundation of China (Grant No. 51978259, 52038003) , and the science and technology innovation program of Hunan province of China (Grant No. 2021RC3068) . These programs are gratefully acknowledged.</t>
  </si>
  <si>
    <t>10.1016/j.engstruct.2023.116581</t>
  </si>
  <si>
    <t>P0DQ7</t>
  </si>
  <si>
    <t>WOS:001047435200001</t>
  </si>
  <si>
    <t>Wei, J; Yang, QS; Jiang, Q; Li, XC; Liu, SC; Li, KX; Wang, Q</t>
  </si>
  <si>
    <t>Wei, Jun; Yang, Qingshun; Jiang, Qing; Li, Xingchen; Liu, Saichao; Li, Kaixin; Wang, Qing</t>
  </si>
  <si>
    <t>Axial compression testing and constitutive model of a novel</t>
  </si>
  <si>
    <t>LEGC; EPS; BF; CT; DIC-3D; Constitutive model; Uniaxial compression tests</t>
  </si>
  <si>
    <t>CEMENTITIOUS COMPOSITES; REINFORCED-CONCRETE; STRENGTH; STRAIN; DAMAGE; BEHAVIOR; FIBERS; ENERGY; SIZE</t>
  </si>
  <si>
    <t>Ambient-cured lightweight expanded polystyrene geopolymer concrete (LEGC) currently undergoes early shrinkage cracking, and the low density of EPS causes segregation during the mixing process, resulting in a significant decrease in the strength of LEGC. To solve the above problems to obtain higher strength LEGC and promote its wide application, uniaxial compression tests and constitutive modeling studies of LEGC with different basalt fiber (BF) lengths (3 mm, 6 mm, 9 mm, 12 mm and 15 mm) reinforced with different expanded polystyrene (EPS) volume contents (10%, 20%, 30% and 40%) were conducted in this study. First, the damage pattern of the specimen was analyzed, and the crack development morphology was analyzed based on the Digital Image Correlation-3D (DIC-3D) technique. Additionally, the mechanism of BF-reinforced of LEGC was analyzed comprehensively at three levels: micromechanical theory, microscopic (scanning electron microscopy, SEM) and mesoscale (computerized tomography, CT). Empirical formulas for peak stress, peak strain, threshold stress, threshold strain and elastic modulus were established based on the stress-strain curves of the specimens. In addition, the specific form of the damage evolution equation considering the energy dissipation of the specimen was derived from the energy balance principle and basic laws of irreversible thermodynamics based on viously and in this study were compared, and the results showed that the method proposed in this study can better reflect the damage evolution of BF- reinforced LEGC.</t>
  </si>
  <si>
    <t>[Wei, Jun; Yang, Qingshun; Jiang, Qing; Li, Xingchen; Liu, Saichao; Li, Kaixin] Qinghai Univ, Coll Civil Engn, Xining 810016, Peoples R China; [Wei, Jun; Yang, Qingshun; Jiang, Qing; Li, Xingchen; Liu, Saichao; Li, Kaixin] Qinghai Prov Key Lab Energy saving Bldg Mat &amp; Engn, Xining 810016, Peoples R China; [Jiang, Qing] Hefei Univ Technol, Coll Civil Engn &amp; Water Resources, Hefei 230009, Peoples R China; [Wang, Qing] Beijing Zhongqing Hengye Technol Dev Co, Beijing 100044, Peoples R China</t>
  </si>
  <si>
    <t>Qinghai University; Hefei University of Technology</t>
  </si>
  <si>
    <t>Yang, QS (corresponding author), Qinghai Univ, Coll Civil Engn, Xining 810016, Peoples R China.</t>
  </si>
  <si>
    <t>yqss112@163.com</t>
  </si>
  <si>
    <t>National Natural Science Foundation of China [51878233]; Ministry of Education 's Springboard Fund of China [QDCH2018005]</t>
  </si>
  <si>
    <t>National Natural Science Foundation of China(National Natural Science Foundation of China (NSFC)); Ministry of Education 's Springboard Fund of China</t>
  </si>
  <si>
    <t>Acknowledgments The authors are grateful for the support from the National Natural Science Foundation of China (No. 51878233) and the Ministry of Education 's Springboard Fund of China (QDCH2018005) .</t>
  </si>
  <si>
    <t>10.1016/j.jobe.2023.107450</t>
  </si>
  <si>
    <t>P3WQ8</t>
  </si>
  <si>
    <t>WOS:001049984100001</t>
  </si>
  <si>
    <t>Wei, LN; Chen, J</t>
  </si>
  <si>
    <t>Wei, Lunan; Chen, Jun</t>
  </si>
  <si>
    <t>Determination of optimal combination of pumping and probing inputs in vibro-acoustic modulation for sensitive BVID detection of CFRP</t>
  </si>
  <si>
    <t>Finite element method; Vibro-acoustic modulation; Composite; Damage imaging; Defect resonance</t>
  </si>
  <si>
    <t>ELASTIC-WAVE SPECTROSCOPY; DISCERN MATERIAL DAMAGE; NONDESTRUCTIVE EVALUATION; NEWS TECHNIQUES; COMPOSITES</t>
  </si>
  <si>
    <t>In this work, the potential of using defect resonance-based vibro-acoustic modulation (VAM) spectroscopy to determine pumping and probing frequencies to maximize the nonlinear VAM response of carbon fiber reinforced polymer (CFRP) plates is investigated. An integrated 3D finite element (FE) model which implements the barely visible impact damage (BVID) due to impact force and the loading of ultrasonic signals is proposed. Based on this model, the scaling subtraction method (SSM) is used to determine the low-frequency global plate resonance that leading strongest defect excitation for pumping input (GPRpump) and high-frequency local defect resonance for probing input (LDRprobe). A scanning laser Doppler vibrometer (SLDV) is adopted to experimentally validated the proposed numerical methodology. Then, the maximum response amplitude (MRA) of nonlinear VAM response is proposed to evaluate the influence of defect resonance on the nonlinear VAM response. The numerical and experimental results are in good agreement and show that MRA of the VAM sideband can be improved when the GPRpump frequency is taken as the pumping input and the LDRprobe frequency is taken as the probing input, respectively. The best BVID detection effect is obtained when the pumping input of the VAM test is selected as the GPRpump frequency and the probing input is selected as sum or difference of the GPRpump frequency and LDRprobe frequency.</t>
  </si>
  <si>
    <t>[Wei, Lunan; Chen, Jun] Beihang Univ, Sch Transportat Sci &amp; Engn, Beijing 100191, Peoples R China; [Wei, Lunan] Anhui Jianzhu Univ, Coll Civil Engn, Hefei 230601, Peoples R China</t>
  </si>
  <si>
    <t>Beihang University; Anhui Jianzhu University</t>
  </si>
  <si>
    <t>Chen, J (corresponding author), Beihang Univ, Sch Transportat Sci &amp; Engn, Beijing 100191, Peoples R China.</t>
  </si>
  <si>
    <t>junchen@buaa.edu.cn</t>
  </si>
  <si>
    <t>National Natural Science Foundation of China; [51978027]</t>
  </si>
  <si>
    <t>This work is financially supported by National Natural Science Foundation of China (grant number 51978027) .</t>
  </si>
  <si>
    <t>10.1016/j.ymssp.2023.110665</t>
  </si>
  <si>
    <t>Q7GF8</t>
  </si>
  <si>
    <t>WOS:001059163200001</t>
  </si>
  <si>
    <t>Wei, Q; Gu, JY; Lyu, HG; Liu, WM; Xu, XS</t>
  </si>
  <si>
    <t>Wei, Qi; Gu, Jia-Yang; Lyu, Hong-Guan; Liu, Wei-Min; Xu, Xiao-Sen</t>
  </si>
  <si>
    <t>Experimental study on the influence of fluid motion on hull resistance in stepped moonpool</t>
  </si>
  <si>
    <t>Resistance in waves; Fluid response in moonpool; Damping device; Moonpool with recess; Resistance model test</t>
  </si>
  <si>
    <t>PISTON; MODES</t>
  </si>
  <si>
    <t>A series of model tests are carried out to explore the influence of fluid motion on the hull resistance in the nonresonant state of the moonpool. The variations in total hull resistance under various wavelengths, wave steepness, and speed conditions are investigated based on regular waves. Considering the three navigational conditions of low speed (Fr = 0.097), medium speed (Fr = 0.13), and high speed (Fr = 0.162). The two incident wave frequencies are consistent with the moonpool piston and the sloshing mode, respectively. In order to ascertain the effect of fluid motion on hull resistance in the non-resonant state of the moonpool, a new damping device is designed to reduce the amplitude of the fluid motion response and dissipate the energy of fluid motion in the moonpool. The variations of fluid motion response and hull resistance with and without a damping device in the moonpool are compared and analyzed. It can be discovered that vortex structure in the moonpool has a significant effect on the hull's additional resistance. During the test conditions of &amp; lambda;/LPP = 0.46, the average added resistance effect of the moonpool in the case of Fr = 0.097 is 5.76%; in the case of Fr = 0.13, it is 7.23%; and in the case of Fr = 0.162, it is 17.33%. The average decreases in fluid motion response amplitude in the moonpool are 54.52%, 62.8%, and 72.55%, respectively. Under the conditions of &amp; lambda;/LPP = 1.43, the average added resistance effect of the moonpool in the case of Fr = 0.13 is 8.7%, and in the case of Fr = 0.162, it is 12.48%. The average decreases in fluid motion response amplitude in the moonpool are 15.10% and 43.70%, respectively. With the dissipation of the vortex structure and the decrease of the fluid motion response in the moonpool, the total resistance of the hull is also reduced. This study will provide a reference for the green and energy-saving design of drilling ships.</t>
  </si>
  <si>
    <t>[Wei, Qi; Gu, Jia-Yang; Liu, Wei-Min; Xu, Xiao-Sen] Jiangsu Univ Sci &amp; Technol, Sch Naval Architecture &amp; Marine Engn, Zhenjiang 212003, Peoples R China; [Gu, Jia-Yang; Xu, Xiao-Sen] Marine Equipment &amp; Technol Inst, Zhenjiang 212003, Peoples R China; [Lyu, Hong-Guan] Sun Yat Sen Univ, Sch Ocean Engn &amp; Technol, Zhuhai 519082, Peoples R China</t>
  </si>
  <si>
    <t>Jiangsu University of Science &amp; Technology; Sun Yat Sen University</t>
  </si>
  <si>
    <t>Gu, JY (corresponding author), Jiangsu Univ Sci &amp; Technol, Sch Naval Architecture &amp; Marine Engn, Zhenjiang 212003, Peoples R China.</t>
  </si>
  <si>
    <t>just_wq@126.com</t>
  </si>
  <si>
    <t>xu, xiaosen/ABF-6083-2020</t>
  </si>
  <si>
    <t>xu, xiaosen/0000-0001-6705-4124</t>
  </si>
  <si>
    <t>National Natural Science Foundation of China [52271318]</t>
  </si>
  <si>
    <t>The authors gratefully acknowledge the financial support from the National Natural Science Foundation of China [Grant No. 52271318].</t>
  </si>
  <si>
    <t>10.1016/j.oceaneng.2023.115508</t>
  </si>
  <si>
    <t>Q8CG5</t>
  </si>
  <si>
    <t>WOS:001059741300001</t>
  </si>
  <si>
    <t>Xu, JW; Chang, LJ; Chen, TW; Ren, T; Zhang, Y; Cai, ZH</t>
  </si>
  <si>
    <t>Xu, Jiawen; Chang, Lijun; Chen, Taiwei; Ren, Tong; Zhang, Yan; Cai, Zhihua</t>
  </si>
  <si>
    <t>Study of the bending properties of variable stiffness chain mail fabrics</t>
  </si>
  <si>
    <t>Chain mail fabric; Apparent bending modulus; Stiffness-tunable; Finite model</t>
  </si>
  <si>
    <t>MECHANISM</t>
  </si>
  <si>
    <t>This study aims to explore a chain mail fabric with fast, reversible, and controllable stiffness adjustment. The structured fabric consists of three-dimensional single-cell particles. The chain mail fabric was first printed by 3D printing technology using polyamide 12 material. A three-point bending test was then carried out to investigate the mechanical tunability of the fabric under different external pressures and to establish a finite element model. Finally, the effects of pressure and particle structure on the apparent bending modulus, energy absorption, and peak load of chain mail fabrics are investigated to reveal the mechanical strengthening mechanism of chain mail fabrics. The results show that the apparent bending modulus of the chain mail fabric increases up to more than 20 times its original value as the pressure increases from 0 to 60 kPa, and the energy absorption and strength increase up to 22 and 19 times, respectively, providing a new approach to developing structural fabrics with adjustable bending modulus and new ideas for the development of lightweight, robust and adaptable structures.</t>
  </si>
  <si>
    <t>[Xu, Jiawen; Chang, Lijun; Chen, Taiwei; Ren, Tong; Zhang, Yan; Cai, Zhihua] Hunan Univ Sci &amp; Technol, Hunan Prov Key Lab Hlth Maintenance Mech Equipment, Xiangtan 411201, Peoples R China</t>
  </si>
  <si>
    <t>Hunan University of Science &amp; Technology</t>
  </si>
  <si>
    <t>Cai, ZH (corresponding author), Hunan Univ Sci &amp; Technol, Hunan Prov Key Lab Hlth Maintenance Mech Equipment, Xiangtan 411201, Peoples R China.</t>
  </si>
  <si>
    <t>caizhihua003@163.com</t>
  </si>
  <si>
    <t>Chang, Lijun/AAH-9585-2021; Xu, Jiawen/JEF-5028-2023</t>
  </si>
  <si>
    <t>Chang, Lijun/0000-0001-7102-8498;</t>
  </si>
  <si>
    <t>National Natural Science Foundation of China [11972158]; Postgraduate Scientific Research Innovation Project of Hunan Province [CX20221044]; Military Commission Science and Technology Committee Basic Strengthening Program Technology Fund [2020-JCJQ-JJ-356]</t>
  </si>
  <si>
    <t>National Natural Science Foundation of China(National Natural Science Foundation of China (NSFC)); Postgraduate Scientific Research Innovation Project of Hunan Province; Military Commission Science and Technology Committee Basic Strengthening Program Technology Fund</t>
  </si>
  <si>
    <t>This work was supported by the National Natural Science Foundation of China (No. 11972158) , the Postgraduate Scientific Research Innovation Project of Hunan Province (No.CX20221044) , and the Military Commission Science and Technology Committee Basic Strengthening Program Technology Fund (No.2020-JCJQ-JJ-356) .</t>
  </si>
  <si>
    <t>10.1016/j.compstruct.2023.117369</t>
  </si>
  <si>
    <t>O6IG8</t>
  </si>
  <si>
    <t>WOS:001044816600001</t>
  </si>
  <si>
    <t>Yang, L; Ma, X; Guo, YH; He, YM; Yang, YW; Wang, WQ; Xu, ZY; Zuo, ZJ; Xue, Y; Yang, R; Han, B; Sun, JS</t>
  </si>
  <si>
    <t>Yang, Lin; Ma, Xu; Guo, Yuhan; He, Yuman; Yang, Yunwen; Wang, Wenqiao; Xu, Ziyi; Zuo, Zhaojiang; Xue, Ying; Yang, Rui; Han, Bing; Sun, Jinsheng</t>
  </si>
  <si>
    <t>Acetylcholine (ACh) enhances Cd tolerance through transporting ACh in vesicles and modifying Cd absorption in duckweed (Lemna turionifera 5511)</t>
  </si>
  <si>
    <t>Duckweed; Acetylcholine; Cadmium; Signal; Extracellular vesicles</t>
  </si>
  <si>
    <t>EXTRACELLULAR VESICLES; STRESS TOLERANCE; SALT STRESS; CADMIUM; METAL; ACCUMULATION; PLANTS; RESPONSES; TOXICITY; OVEREXPRESSION</t>
  </si>
  <si>
    <t>Acetylcholine (ACh), an important neurotransmitter, plays a role in resistance to abiotic stress. However, the role of ACh during cadmium (Cd) resistance in duckweed (Lemna turionifera 5511) remains uncharacterized. In this study, the changes of endogenous ACh in duckweed under Cd stress has been investigated. Also, how exogenous ACh affects duckweed's ability to withstand Cd stress was studied. The ACh sensor transgenic duckweed (ACh 3.0) showed the ACh signal response under Cd stress. And ACh was wrapped and released in vesicles. Cd stress promoted ACh content in duckweed. The gene expression analysis showed an improved fatty acid metabolism and choline transport. Moreover, exogenous ACh addition enhanced Cd tolerance and decreased Cd accumulation in duckweed. ACh supplement reduced the root abscission rate, alleviated leaf etiolation, and improved chlorophyll fluorescence parameters under Cd stress. A modified calcium (Ca2+) flux and improved Cd2+ absorption were present in conjunction with it. Thus, we speculate that ACh could improve Cd resistance by promoting the uptake and accumulation of Cd, as well as the response of the Ca2+ signaling pathway. Also, plantderived extracellular vesicles (PDEVs) were extracted during Cd stress. Therefore, these results provide new insights into the response of ACh during Cd stress.</t>
  </si>
  <si>
    <t>[Yang, Lin; Ma, Xu; He, Yuman; Yang, Yunwen; Wang, Wenqiao; Xu, Ziyi; Xue, Ying; Yang, Rui; Han, Bing; Sun, Jinsheng] Tianjin Normal Univ, Coll Life Sci, Tianjin Key Lab Anim &amp; Plant Resistance, Tianjin 300387, Peoples R China; [Guo, Yuhan] East China Normal Univ, Inst Biomed Sci, Sch Life Sci, Shanghai Key Lab Regulatory Biol, Shanghai 200241, Peoples R China; [Zuo, Zhaojiang] Zhejiang A&amp;F Univ, Zhejiang Prov Key Lab Forest Aromat Plants Based H, Hangzhou, Peoples R China</t>
  </si>
  <si>
    <t>Tianjin Normal University; East China Normal University; Zhejiang A&amp;F University</t>
  </si>
  <si>
    <t>Sun, JS (corresponding author), Tianjin Normal Univ, Coll Life Sci, Tianjin Key Lab Anim &amp; Plant Resistance, Tianjin 300387, Peoples R China.</t>
  </si>
  <si>
    <t>skysjs@tjnu.edu.cn</t>
  </si>
  <si>
    <t>Foundation of China [20JCQNJC00380]; Tianjin Natural Science Founda-tion of Tianjin [2022E10008]; Opening Project of Zhejiang Provincial Key Laboratory of Forest; [32102764]</t>
  </si>
  <si>
    <t>Foundation of China; Tianjin Natural Science Founda-tion of Tianjin; Opening Project of Zhejiang Provincial Key Laboratory of Forest;</t>
  </si>
  <si>
    <t>We are grateful to Prof. Yulong Li and Dr. Zhaofa Wu (School of Life Sciences, Peking University) for providing PCAMBIA-1301-ACh 3.0 to facilitate this study. The present research has been supported by the National Natural Science Foundation of China (No. 32071620) , National Natural ScienceFoundation of China (No. 32102764) , Tianjin Natural Science Foundation of Tianjin (20JCQNJC00380) , and Opening Project of Zhejiang Provincial Key Laboratory of Forest Aromatic Plants-based Healthcare Functions (2022E10008) .r Foundation of China (No. 32102764) , Tianjin Natural Science Founda-tion of Tianjin (20JCQNJC00380) , and Opening Project of Zhejiang Provincial Key Laboratory of Forest Aromatic Plants-based Healthcare Functions (2022E10008) .</t>
  </si>
  <si>
    <t>10.1016/j.envpol.2023.122305</t>
  </si>
  <si>
    <t>Q7EP0</t>
  </si>
  <si>
    <t>WOS:001059120100001</t>
  </si>
  <si>
    <t>Yao, SJ; Tang, QH; Yang, J; Wang, CY; Sun, HF; Rong, RL; Sun, HR; Chu, GN</t>
  </si>
  <si>
    <t>Yao, Sheng Jie; Tang, Qing Hua; Yang, Jie; Wang, Chun Yun; Sun, Hao Feng; Rong, Run Lin; Sun, Hao Ran; Chu, Guan Nan</t>
  </si>
  <si>
    <t>Microstructural characterization and mechanical properties of 6061 aluminum alloy processed with short-time solid solution and aging treatment</t>
  </si>
  <si>
    <t>Aluminum alloy; Hot stamping; Microstructure; Solid solution; Precipitation</t>
  </si>
  <si>
    <t>VACANCIES; ENERGIES; STRENGTH; BEHAVIOR</t>
  </si>
  <si>
    <t>In order to reduce the cost of hot stamping of aluminum alloys and develop high-strength aluminum alloy parts for light-weight car body, short-time solid solution (SS) followed by shot-time artificial aging process was implemented for 6061 aluminum alloy with salt bath furnace and silicone oil bath. X-ray diffraction (XRD), optical microscope (OM), scanning electron microscope (SEM-EDS) and high-resolution transmission electron microscope (HR-TEM) were used to characterize the microstructural evolution in details. The holding time for SS can be reduced by 80 % with short-time SS treatment because of the decreased vacancy generation energy and effective boundary areas. Peak aging can be obtained at 200 &amp; DEG;C for only 60 min, and the microstructure was characterized by a lot amount of acicular nano-size &amp; beta; phase in the coherent with matrix, while precipitate-free-zone (PFZ) also appeared along the grain boundaries. All tensile properties such as 327 MPa yield strength, 362 MPa tensile strength and 13.1 % elongation meet the 6061 T6-standard. The micro stress introduced by superheated degree along with short-time treatment should be attributed to the accelerated diffusion of magnesium and silicon atoms, which greatly affects the diffusion hermody-namics and kinetics, especially nearby the grain boundaries.&amp; COPY; 2023 Elsevier B.V. All rights reserved.</t>
  </si>
  <si>
    <t>[Yao, Sheng Jie; Tang, Qing Hua; Rong, Run Lin; Sun, Hao Ran; Chu, Guan Nan] Sch Mat Sci &amp; Engn, Harbin Inslititute Technol Weihai, Weihai 264209, Peoples R China; [Yang, Jie] China Automot Lightweight Technol JiangSu Co Ltd, Yangzhou 225009, Peoples R China; [Wang, Chun Yun] Xpeng Motors, Proc Engn Dept, Guangzhou 510640, Peoples R China; [Sun, Hao Feng] China Univ Geosci, Sch Mech Engn &amp; Elect Informat, Wuhan 430074, Peoples R China</t>
  </si>
  <si>
    <t>China University of Geosciences</t>
  </si>
  <si>
    <t>Yao, SJ (corresponding author), Sch Mat Sci &amp; Engn, Harbin Inslititute Technol Weihai, Weihai 264209, Peoples R China.</t>
  </si>
  <si>
    <t>shj_yao2010@hit.edu.cn</t>
  </si>
  <si>
    <t>National Natural Science Foundation of China [51775134, ZR2020ME146]; Natural Science Foundation of Shandong Province [U1937205]; State Key Program of National Natural Science Foundation of China [2021SFGC0902]; Key Research and Development Project in Shandong Province [2020CXGC010303]; Major Scientific and Technological Innovation Projects in Shandong Province; [52275319]</t>
  </si>
  <si>
    <t>National Natural Science Foundation of China(National Natural Science Foundation of China (NSFC)); Natural Science Foundation of Shandong Province(Natural Science Foundation of Shandong Province); State Key Program of National Natural Science Foundation of China(National Natural Science Foundation of China (NSFC)); Key Research and Development Project in Shandong Province; Major Scientific and Technological Innovation Projects in Shandong Province;</t>
  </si>
  <si>
    <t>The authors gratefully acknowledge the financial supports of National Natural Science Foundation of China (Grant No. 52275319 and 51775134), Natural Science Foundation of Shandong Province (ZR2020ME146) , the State Key Program of National Natural Science Foundation of China (Grant No. U1937205), the Key Research and Development Project in Shandong Province (2021SFGC0902), and the Major Scientific and Technological Innovation Projects in Shandong Province (2020CXGC010303) .</t>
  </si>
  <si>
    <t>10.1016/j.jallcom.2023.170704</t>
  </si>
  <si>
    <t>P9HJ3</t>
  </si>
  <si>
    <t>WOS:001053710800001</t>
  </si>
  <si>
    <t>Yuan, YX; Yu, MQ; Chen, L; Ren, XY; Qu, YX; Shari, A; Li, G</t>
  </si>
  <si>
    <t>Yuan, Yuxin; Yu, Mengqi; Chen, Lu; Ren, Xinyang; Qu, Yingxin; Shari, Akang; Li, Guang</t>
  </si>
  <si>
    <t>Comparative analysis of different metabolites in semen of Guanzhong dairy goats with different motility rates</t>
  </si>
  <si>
    <t>Guanzhong dairy goat; Metabolomics; LC-MS; Differential metabolites; Metabolic pathway</t>
  </si>
  <si>
    <t>CRYOPRESERVATION; METABOLOMICS; SPERMATOZOA; BIOMARKERS; YOLK</t>
  </si>
  <si>
    <t>In order to explore the different metabolites of buck semen with different motility stored at 4 degrees C, the semen of bucks was collected by artificial vagina. The collected semen was divided into high motility group and low motility group after treatment, with 6 replicates set for each group. The semen metabolites of high motility group and low motility group were detected by Liquid Chromatography-Mass Spectrometry (LC-MS). The results showed that 101 different metabolites were detected in the high and low motility groups of bucks, of which 48 metabolites were significantly up-regulated (P &lt; 0.05) and 53 metabolites were significantly down regulated (P &lt; 0.05). Most of these metabolites belonged to lipids and lipid-like molecules, organic acids and their derivatives, and organic oxygen compounds, which were mainly related to energy metabolism. According to the functional enrichment analysis of the former differential metabolites in KEGG database, the top 20 most representative metabolic pathways were detected, among which the glycerophospholipid metabolic pathways changed significantly. From the perspective of metabolomics, this study revealed the differences of metabolites and characteristic compounds of semen with different motility of bucks under low temperature preservation, which provided a scientific basis for the preservation and utilization of semen of Guanzhong dairy goats in the future.</t>
  </si>
  <si>
    <t>[Yuan, Yuxin; Yu, Mengqi; Chen, Lu; Ren, Xinyang; Qu, Yingxin; Shari, Akang; Li, Guang] Northwest A&amp;F Univ, Coll Anim Sci &amp; Technol, Yangling 712100, Shaanxi, Peoples R China; [Li, Guang] Northwest A&amp;F Univ, Coll Anim Sci &amp; Technol, 22 Xinong Rd, Yangling 712100, Shaanxi, Peoples R China</t>
  </si>
  <si>
    <t>Li, G (corresponding author), Northwest A&amp;F Univ, Coll Anim Sci &amp; Technol, 22 Xinong Rd, Yangling 712100, Shaanxi, Peoples R China.</t>
  </si>
  <si>
    <t>liguangdky@163.com</t>
  </si>
  <si>
    <t>Li, Guang/0000-0002-0840-4769</t>
  </si>
  <si>
    <t>Major Science and Technology Project of Shaanxi Agricultural Collaborative Innovation and Extension Alliance [LMZD202002]; Shaanxi Provincial Science and Technology Co-ordination Innovation Project [2018ZDCXL-NY-01-04]; Shaanxi Agricultural Science and Technology Innovation and Extension Project [NYKJ-2019-YL16]</t>
  </si>
  <si>
    <t>Major Science and Technology Project of Shaanxi Agricultural Collaborative Innovation and Extension Alliance; Shaanxi Provincial Science and Technology Co-ordination Innovation Project; Shaanxi Agricultural Science and Technology Innovation and Extension Project</t>
  </si>
  <si>
    <t>Acknowledgements This research was supported by Major Science and Technology Project of Shaanxi Agricultural Collaborative Innovation and Extension Alliance (LMZD202002) , Shaanxi Provincial Science and Technology Co-ordination Innovation Project (2018ZDCXL-NY-01-04) , Shaanxi Agricultural Science and Technology Innovation and Extension Project (NYKJ-2019-YL16) .</t>
  </si>
  <si>
    <t>10.1016/j.theriogenology.2023.07.009</t>
  </si>
  <si>
    <t>O8ZB1</t>
  </si>
  <si>
    <t>WOS:001046635300001</t>
  </si>
  <si>
    <t>Zhang, DD; Yuan, HB; Sun, YX; Shen, MS; Yu, X; Ma, XY; Wang, P; Liu, J; Li, HL; Zhou, HW</t>
  </si>
  <si>
    <t>Zhang, Doudou; Yuan, Haibo; Sun, Yaxin; Shen, Mingsi; Yu, Xiao; Ma, Xinyu; Wang, Peng; Liu, Juan; Li, Hailing; Zhou, Hongwei</t>
  </si>
  <si>
    <t>Enhancement of the upper critical field in disordered nanocrystalline MgB2 bulks</t>
  </si>
  <si>
    <t>JOURNAL OF MAGNETISM AND MAGNETIC MATERIALS</t>
  </si>
  <si>
    <t>Nanocrystalline; Upper critical field; Two band model; MgB2 superconductors</t>
  </si>
  <si>
    <t>CRITICAL-CURRENT DENSITY; IMPROVED SUPERCONDUCTING PROPERTIES; HEAT; TEMPERATURE; RESISTIVITY; H-C2</t>
  </si>
  <si>
    <t>Nanocrystalline superconducting MgB2 bulks were prepared by high pressure sintering of ball milled MgB2 powders. The disorder produced in these nanocrystalline materials shows a significant improvement in the upper critical field Hc2(0) of 38 T without severe suppression the superconducting transition temperature Tc. The band gap &amp; UDelta;&amp; sigma;(0) decreases from 6.3 &amp; PLUSMN; 0.1 meV to 5.4 &amp; PLUSMN; 0.1 meV, while &amp; UDelta;&amp; pi;(0) keeps nearly fixed with the decrease in grain size to 20 nm. The ratios of the mean free path to the BCS coherence lengths li/&amp; xi;0,i(i = &amp; sigma;, &amp; pi;) turn out to be far less than 1, confirming that the two bands of the nanocrystalline bulks are both in the dirty limit. Strong intraband scatterings are responsible for the enhancement of Hc2(0).</t>
  </si>
  <si>
    <t>[Zhang, Doudou; Yuan, Haibo; Sun, Yaxin; Shen, Mingsi; Ma, Xinyu; Liu, Juan; Li, Hailing; Zhou, Hongwei] Anhui Univ Technol, Sch Mat Sci &amp; Engn, Maanshan 243002, Peoples R China; [Yu, Xiao] Hebei Univ Technol, Sch Mat Sci &amp; Engn, Tianjin 300401, Peoples R China; [Wang, Peng] Yanshan Univ, State Key Lab Metastable Mat Sci &amp; Technol, Qinhuangdao 066004, Peoples R China</t>
  </si>
  <si>
    <t>Anhui University of Technology; Hebei University of Technology; Yanshan University</t>
  </si>
  <si>
    <t>Sun, YX (corresponding author), Anhui Univ Technol, Sch Mat Sci &amp; Engn, Maanshan 243002, Peoples R China.;Yu, X (corresponding author), Hebei Univ Technol, Sch Mat Sci &amp; Engn, Tianjin 300401, Peoples R China.;Wang, P (corresponding author), Yanshan Univ, State Key Lab Metastable Mat Sci &amp; Technol, Qinhuangdao 066004, Peoples R China.</t>
  </si>
  <si>
    <t>syaxin@ahut.edu.cn; yuxiao1978@163.com; wp@ysu.edu.cn</t>
  </si>
  <si>
    <t>0304-8853</t>
  </si>
  <si>
    <t>1873-4766</t>
  </si>
  <si>
    <t>J MAGN MAGN MATER</t>
  </si>
  <si>
    <t>J. Magn. Magn. Mater.</t>
  </si>
  <si>
    <t>10.1016/j.jmmm.2023.171048</t>
  </si>
  <si>
    <t>R9OO4</t>
  </si>
  <si>
    <t>WOS:001067574500001</t>
  </si>
  <si>
    <t>Zhang, ZH; Yang, SY; Sulaman, M; Ge, ZH; Hu, JM; Peng, H; Tang, LB; Zou, BS; Jiang, YR</t>
  </si>
  <si>
    <t>Zhang, Zhenheng; Yang, Shengyi; Sulaman, Muhammad; Ge, Zhenhua; Hu, Jinming; Peng, Hui; Tang, Libin; Zou, Bingsuo; Jiang, Yurong</t>
  </si>
  <si>
    <t>High-stability lead-free tin(II)-perovskites by A-site cation engineering and surface-passivating engineering for high-performance hybrid bulk-heterojunction photodetectors</t>
  </si>
  <si>
    <t>Tin-perovskites; A -site cation engineering; Surface-passivating engineering; Hybrid bulk-heterojunction; Photodetectors</t>
  </si>
  <si>
    <t>PEROVSKITE SOLAR-CELLS; EFFICIENCY</t>
  </si>
  <si>
    <t>Tin-based perovskites have attracted more and more attention in recent years due to their non-toxic properties. However, the poor stability of Tin-based perovskites severely limits its further applications. In order to obtain more stable Tin-based perovskites, in this work, Cs ions are introduced as a precursor besides SnF2 during the synthesis of Tin-based perovskites. Further, poly(N-vinylcarbazole) (PVK) is in-troduced into the above perovskites to improve the separation rate of photogenerated carriers and to suppress both O2 and H2O diffusion into Tin-perovskites. Enhanced-performance Tin-based perovskite photodetectors with hybrid bulk-heterojunctions were obtained, and our experimental data showed that the responsivity and the specific detectivity of the photodetectors ITO/ZnO/FA0.9Cs0.1SnBr3:PVK/MoO3/Ag reached to 409.8 A/W and 1.23 x 1014 Jones, respectively, under 25.3 &amp; mu;W/cm2 405 nm illumination at - 0.2 V. In addition, the devices also show great stability, whose photocurrent decreases only slightly after its de-posing in glove box for 14 days. Thus, such a kind of combing A-site cation engineering with surface-passivating engineering on hybrid bulk-heterojunction provides a facile method for high-performance Tin-perovskite photodetectors with high-stability.&amp; COPY; 2023 Elsevier B.V. All rights reserved.</t>
  </si>
  <si>
    <t>[Zhang, Zhenheng; Yang, Shengyi; Sulaman, Muhammad; Ge, Zhenhua] Beijing Inst Technol, Sch Phys, Beijing Key Lab Nanophoton &amp; Ultrafine Optoelect S, Beijing 100081, Peoples R China; [Hu, Jinming] Univ Shanghai Sci &amp; Technol, Ctr Artificial Intelligence Nanophoton, Sch Opt Elect &amp; Comp Engn, Shanghai 200093, Peoples R China; [Peng, Hui; Zou, Bingsuo] Guangxi Univ, Sch Phys Sci &amp; Technol, Nanning 530004, Peoples R China; [Tang, Libin] Kunming Inst Phys, Kunming 650223, Peoples R China; [Jiang, Yurong] Beijing Inst Technol, Sch Opt &amp; Photon, Beijing 100081, Peoples R China</t>
  </si>
  <si>
    <t>Beijing Institute of Technology; University of Shanghai for Science &amp; Technology; Guangxi University; Beijing Institute of Technology</t>
  </si>
  <si>
    <t>Yang, SY (corresponding author), Beijing Inst Technol, Sch Phys, Beijing Key Lab Nanophoton &amp; Ultrafine Optoelect S, Beijing 100081, Peoples R China.</t>
  </si>
  <si>
    <t>syyang@bit.edu.cn</t>
  </si>
  <si>
    <t>Sulaman, Muhammad/I-7661-2019</t>
  </si>
  <si>
    <t>Sulaman, Muhammad/0000-0003-0702-653X; Yang, Shengyi/0000-0001-5038-491X</t>
  </si>
  <si>
    <t>Key R amp; D projects of the Ministry of Science and Technology of China [1227041254]; National Natural Science Foundation of China [2020CX020 02]; Fundamental Research Funds for the Central Universities [BITBLR2020013, 2021GXYSOF18]; Open Foundation of Guangxi Key Laboratory of Processing for Nonferrous Metals and Featured Materials, Guangxi University; Bagui Scholar Fund of Guangxi province; [SQ2019YFB220038]</t>
  </si>
  <si>
    <t>Key R amp; D projects of the Ministry of Science and Technology of China; National Natural Science Foundation of China(National Natural Science Foundation of China (NSFC)); Fundamental Research Funds for the Central Universities(Fundamental Research Funds for the Central Universities); Open Foundation of Guangxi Key Laboratory of Processing for Nonferrous Metals and Featured Materials, Guangxi University; Bagui Scholar Fund of Guangxi province;</t>
  </si>
  <si>
    <t>This work was partially funded by the Key R &amp; amp; D projects of the Ministry of Science and Technology of China (SQ2019YFB220038) , the National Natural Science Foundation of China (No. 1227041254) , the Fundamental Research Funds for the Central Universities (No. 2020CX020 02 and BITBLR2020013) , and the Open Foundation of Guangxi Key Laboratory of Processing for Nonferrous Metals and Featured Materials, Guangxi University (Grant No. 2021GXYSOF18) , and Bagui Scholar Fund of Guangxi province.</t>
  </si>
  <si>
    <t>10.1016/j.jallcom.2023.170867</t>
  </si>
  <si>
    <t>P9HI1</t>
  </si>
  <si>
    <t>WOS:001053709500001</t>
  </si>
  <si>
    <t>Zhao, CY; Hu, GB; Li, X; Liu, ZC; Yuan, WF; Yang, YW</t>
  </si>
  <si>
    <t>Zhao, Chaoyang; Hu, Guobiao; Li, Xin; Liu, Zicheng; Yuan, Weifeng; Yang, Yaowen</t>
  </si>
  <si>
    <t>Wide-bandwidth triboelectric energy harvester combining impact nonlinearity and multi-resonance method</t>
  </si>
  <si>
    <t>Triboelectric; Wide bandwidth; Impact nonlinearity; Multi -resonance; Frequency locking</t>
  </si>
  <si>
    <t>LOW-FREQUENCY; VALIDATION</t>
  </si>
  <si>
    <t>This paper presents a novel wide-bandwidth triboelectric energy harvester (WBTEH) that takes advantage of impact nonlinearity and multi-resonance. The harvester features a triboelectric transducer that operates in contact and separation mode, with two cantilever beams of different resonant frequencies connected to it. By exploiting the relative motion of the beams, the harvester achieves a broad bandwidth through the resonance shift caused by the impact and multi-resonance. A WBTEH prototype with a 3 mm gap between the triboelectric pair shows a total bandwidth of 4.3 Hz even at a low base excitation of 3 m/s2. The matched peaks and bandwidth in the frequency up-sweep and down-sweep tests demonstrate the excellent stability of the WBTEH. The frequency locking phenomenon with strong resonance occurs in the WBTEH when the displacement amplitude/gap ratio exceeds 1.48, which is beneficial for obtaining a continuous bandwidth and a high power output. An electromechanical model is formulated for parametric studies that investigate the effects of contact stiffness and damping on the performance of WBTEH. It is found that large impact stiffness and small damping can cause quasi-periodic motion, leading to a non-constant voltage output that should be prevented in the harvester design. The WBTEH is capable of powering wireless sensors, making it a potential candidate for Internet of Things (IoT) applications.</t>
  </si>
  <si>
    <t>[Zhao, Chaoyang; Liu, Zicheng; Yang, Yaowen] Nanyang Technol Univ, Sch Civil &amp; Environm Engn, 50 Nanyang Ave, Singapore 639798, Singapore; [Hu, Guobiao] Hong Kong Univ Sci &amp; Technol Guangzhou, Thrust Internet Things, Guangzhou 511400, Peoples R China; [Li, Xin] Xidian Univ, Adv Mfg Technol Innovat Ctr, Guangzhou 510555, Peoples R China; [Yuan, Weifeng] Southwest Univ Sci &amp; Technol, Key Lab Testing Technol Mfg Proc, MOE Shock &amp; Vibrat Engn Mat &amp; Struct Key Lab Sichu, Mianyang 621010, Peoples R China; [Yuan, Weifeng] Xian Univ Architecture &amp; Technol, Sch Sci, Xian 710055, Peoples R China</t>
  </si>
  <si>
    <t>Nanyang Technological University &amp; National Institute of Education (NIE) Singapore; Nanyang Technological University; Hong Kong University of Science &amp; Technology (Guangzhou); Xidian University; Southwest University of Science &amp; Technology - China; Xi'an University of Architecture &amp; Technology</t>
  </si>
  <si>
    <t>Yang, YW (corresponding author), Nanyang Technol Univ, Sch Civil &amp; Environm Engn, 50 Nanyang Ave, Singapore 639798, Singapore.</t>
  </si>
  <si>
    <t>cywyang@ntu.edu.sg</t>
  </si>
  <si>
    <t>10.1016/j.apenergy.2023.121530</t>
  </si>
  <si>
    <t>P1LN2</t>
  </si>
  <si>
    <t>WOS:001048325900001</t>
  </si>
  <si>
    <t>Zhao, LX; Cao, XY; Jang, X; Zhang, YH; Shang, B; Sun, ZG; Zhan, Y</t>
  </si>
  <si>
    <t>Zhao, Liuxi; Cao, Xiyue; Jang, Xuanfeng; Zhang, Yuhong; Shang, Bin; Sun, Zhengguang; Zhan, Yuan</t>
  </si>
  <si>
    <t>One-pot synthesis of nitrogen-doped carbonized polymer dots with tunable emission for multicolor light-emitting diodes</t>
  </si>
  <si>
    <t>Carbonized polymer dots; Nitrogen -doped; Solid-state fluorescence; 2-hydroxyethyl methacrylate; Multicolor LEDs</t>
  </si>
  <si>
    <t>QUANTUM DOTS; LUMINESCENCE; MECHANISM; NANODOTS; GREEN; INDEX; FILMS</t>
  </si>
  <si>
    <t>Carbonized polymer dots (CPDs) have highly potential application value in the field of optoelectronic devices due to their preferable stability, excellent optical properties and low cost. Here, the nitrogen-doped carbonized polymer dots (HNCDs) with self-quenching-resistant fluorescence were prepared via a simple solvothermal method with citric acid, urea and 2-hydroxyethyl methacrylate (HEMA) as raw materials. The structure and optical properties of the HNCDs have been explored in detail by various contrast experiments. The results show that HEMA form the poly(HEMA) to modify on the surface of carbonized core, which can overcome the quenching effect of carbonized core. The nitrogen doping is crucial for the red shift emission of solid-state HNCDs. Furthermore, the HNCDs exhibit concentration-dependent emission and excellent compatibility with silicone sol, which lead to their emission red shifted from blue to red with increasing concentration. The HNCDs were further applied to construct the light-emitting diodes (LEDs), and the multicolor LEDs ranging from blue to red can be prepared by simply varying the type of chips and adjusting the concentration of HNCDs in encapsulating material.</t>
  </si>
  <si>
    <t>[Zhao, Liuxi; Cao, Xiyue; Jang, Xuanfeng; Zhang, Yuhong; Sun, Zhengguang; Zhan, Yuan] Hubei Univ, Key Lab Green Preparat &amp; Applicat Funct Mat, Minist Educ, Hubei Key Lab Polymer Mat,Sch Mat Sci &amp; Engn, Wuhan 430062, Peoples R China; [Shang, Bin] Wuhan Text Univ, Sch Mat Sci &amp; Engn, State Key Lab New Text Mat &amp; Adv Proc Technol, Wuhan 430200, Peoples R China</t>
  </si>
  <si>
    <t>Hubei University; Wuhan Textile University</t>
  </si>
  <si>
    <t>Sun, ZG; Zhan, Y (corresponding author), Hubei Univ, Key Lab Green Preparat &amp; Applicat Funct Mat, Minist Educ, Hubei Key Lab Polymer Mat,Sch Mat Sci &amp; Engn, Wuhan 430062, Peoples R China.;Shang, B (corresponding author), Wuhan Text Univ, Sch Mat Sci &amp; Engn, State Key Lab New Text Mat &amp; Adv Proc Technol, Wuhan 430200, Peoples R China.</t>
  </si>
  <si>
    <t>bshang@wtu.edu.cn; sunshine@hubu.edu.cn; zy@hubu.edu.cn</t>
  </si>
  <si>
    <t>Hubei Provincial Natural Science Foundation of China; [2021CFB025]</t>
  </si>
  <si>
    <t>Hubei Provincial Natural Science Foundation of China(National Natural Science Foundation of China (NSFC));</t>
  </si>
  <si>
    <t>Acknowledgements Our work is financially supported by the Hubei Provincial Natural Science Foundation of China (2021CFB025) .</t>
  </si>
  <si>
    <t>10.1016/j.saa.2023.122815</t>
  </si>
  <si>
    <t>P8DI0</t>
  </si>
  <si>
    <t>WOS:001052917500001</t>
  </si>
  <si>
    <t>Zhao, TY; Yan, M; Pu, Y; Zhu, DC</t>
  </si>
  <si>
    <t>Zhao, Tianyang; Yan, Mei; Pu, Yong; Zhu, Dachuan</t>
  </si>
  <si>
    <t>Preparation and luminescence properties of Ba2P2O7:Dy3+, Ce3+ phosphors</t>
  </si>
  <si>
    <t>wLEDs; Ba2-x-yP2O7:xDy(3+), yCe(3+)???????; n-UV excitation; Energy transfer; High thermal stability</t>
  </si>
  <si>
    <t>ENERGY-TRANSFER; WHITE LEDS; EFFICIENCY; PHOTOLUMINESCENCE; Y3AL5O12CE3+; EMISSION; IONS</t>
  </si>
  <si>
    <t>In this paper, Ba2-x-yP2O7:xDy(3+),yCe(3+) phosphors are synthesized by calcining the precursor via chemical co -precipitation. The phase structure, excitation and emission spectra, thermal stability, the chromatic perfor-mance of phosphors, and energy transfer from Ce3+ to Dy3+ are studied and discussed. The results indicate the samples keep a stable crystal structure as a high-temperature s-Ba2P2O7 phase with two different coordination of Ba2+ sites. Ba2P2O7:Dy3+ phosphors can be effectively excited by 349 nm n-UV light and emit 485 nm blue light and a relatively stronger yellow light peaking at 575 nm, corresponding to F-4(9/2)?H-6(15/2) and F-4(9/2)?H-6(13/2) transitions of Dy3+, implying that Dy3+ mainly occupies the non-inversion symmetric sites. By contrast, Ba2P2O7: Ce3+ phosphors exhibit a broadband of excitation peaking at 312 nm, and two symmetrical emission peaks at 336 nm and 359 nm from 5d(1)?F-4(5/2) and 5d(1)?F-4(7/2) transitions of Ce3+, showing Ce3+ should merely be pre-sumed to occupy Ba1 site. After Dy3+ and Ce3+ are co-doped, Ba2P2O7:Dy3+, Ce3+ phosphors exhibit the enhanced characteristic blue and yellow emission of Dy3+ with nearly equal intensity under excitation at 323 nm, meaning Ce3+ co-doping increases the symmetry of Dy3+ site as well as the sensitizer. Simultaneously, energy transfer from Dy3+ to Ce3+ is found and discussed. The thermal stability of co-doped phosphors was charac-terized and briefly analyzed. The color coordinates of Ba2P2O7:Dy3+ phosphors fall in the yellow-green region near the white light, while the emission moves towards the blue-green region after the Ce3+ is co-doped.</t>
  </si>
  <si>
    <t>[Zhao, Tianyang; Yan, Mei; Zhu, Dachuan] Sichuan Univ, Coll Mat Sci &amp; Engn, Chengdu 610065, Sichuan, Peoples R China; [Pu, Yong] Chongqing Univ Arts &amp; Sci, Res Inst New Mat Technol, Chongqing 402160, Peoples R China</t>
  </si>
  <si>
    <t>Sichuan University; Chongqing University of Arts &amp; Sciences</t>
  </si>
  <si>
    <t>Zhu, DC (corresponding author), Sichuan Univ, Coll Mat Sci &amp; Engn, Chengdu 610065, Sichuan, Peoples R China.</t>
  </si>
  <si>
    <t>zhudachuan@scu.edu.cn</t>
  </si>
  <si>
    <t>10.1016/j.saa.2023.122874</t>
  </si>
  <si>
    <t>Q6GN3</t>
  </si>
  <si>
    <t>WOS:001058487400001</t>
  </si>
  <si>
    <t>Zhong, Y; Huang, LX; Lin, MT; Zhang, ZY; Liu, AL; Lei, Y</t>
  </si>
  <si>
    <t>Zhong, Yu; Huang, Lin-Xiao; Lin, Mu-Tu; Zhang, Zi-Yang; Liu, Ai-Lin; Lei, Yun</t>
  </si>
  <si>
    <t>A Y-shape-structured electrochemiluminescence biosensor based on carbon quantum dots and locked nucleic acid probe for microRNA determination with single-base resolution</t>
  </si>
  <si>
    <t>Electrochemiluminescence; Y-shaped junction structure; Locked nucleic acid; CQDs-PEI-GO nanocomposites; 2-Aminoterephthalic acid; miRNA-222</t>
  </si>
  <si>
    <t>METAL-DIELECTRIC NANOSTRUCTURES; ALPHA FUSION GENE; DNA</t>
  </si>
  <si>
    <t>Since microRNAs (miRNAs) are predictors of tumorigenesis, accurate identification and quantification of miRNAs with highly similar sequences are expected to reflect tumor diagnosis and treatment. In this study, a highly selective and sensitive electrochemiluminescence (ECL) biosensor was constructed for miRNAs determination based on Y-shaped junction structure equipped with locked nucleic acids (LNA), graphene oxide-based nanocomposite to enrich luminophores, and conductive matrix. Specifically, two LNA-modified probes were designed for specific miRNA recognition, that is, a dual-amine functionalized hairpin capture probe and a signal probe. A Y-shaped DNA junction structure was generated on the electrode surface upon miRNA hybridizing across the two branches, so as to enhance the selectivity. Carbon quantum dots-polyethylene imine-graphene oxide (CQDs-PEIGO) nanocomposites were developed to enrich luminophores CQDs, and thus enhancing the ECL intensity. For indirect signal amplification, an electrochemically activated poly(2-aminoterephthalic acid) (ATA) film decorated with gold nanoparticles was prepared on electrode as an effective matrix to accelerate the electron transfer. The fabricated ECL biosensor achieved sensitive determination of miRNA-222 with a limit-of-detection (LOD) as low as 1.95 fM (S/N = 3). Notably, Y-shaped junction structures equipped with LNA probes endowed ECL biosensor with salient single-base discrimination ability and anti-interference capacity. Overall, the proposed Yshaped ECL biosensor has considerable promise for clinical biomarker determination.</t>
  </si>
  <si>
    <t>[Zhong, Yu; Huang, Lin-Xiao; Lin, Mu-Tu; Zhang, Zi-Yang; Liu, Ai-Lin; Lei, Yun] Fujian Med Univ, Fac Pharm, Dept Pharmaceut Anal, Higher Educ Key Lab Nano Biomed Technol Fujian Pro, Fuzhou 350122, Peoples R China</t>
  </si>
  <si>
    <t>Fujian Medical University</t>
  </si>
  <si>
    <t>Liu, AL; Lei, Y (corresponding author), Fujian Med Univ, Fac Pharm, Dept Pharmaceut Anal, Higher Educ Key Lab Nano Biomed Technol Fujian Pro, Fuzhou 350122, Peoples R China.</t>
  </si>
  <si>
    <t>ailinliu@fjmu.edu.cn; lypiglet@163.com</t>
  </si>
  <si>
    <t>Joint Funds for the Innovation of Science and Technology, Fujian Province [2019Y9005, 2019J01301]; Natural Science Foundation of Fujian Province of China [2023J01551, 2019Y0012]; Social Development Guiding Programs of Fujian Province of China; [2016Y9055]</t>
  </si>
  <si>
    <t>Joint Funds for the Innovation of Science and Technology, Fujian Province; Natural Science Foundation of Fujian Province of China(Natural Science Foundation of Fujian Province); Social Development Guiding Programs of Fujian Province of China;</t>
  </si>
  <si>
    <t>The authors gratefully acknowledge the financial support of Joint Funds for the Innovation of Science and Technology, Fujian Province (2016Y9055 and 2019Y9005) , the Natural Science Foundation of Fujian Province of China (2019J01301 and 2023J01551) , Social Development Guiding Programs of Fujian Province of China (2019Y0012) .</t>
  </si>
  <si>
    <t>10.1016/j.bios.2023.115583</t>
  </si>
  <si>
    <t>Q2DE8</t>
  </si>
  <si>
    <t>WOS:001055667000001</t>
  </si>
  <si>
    <t>Zou, GQ; Cao, XH; Chang, ZY; Chang, J</t>
  </si>
  <si>
    <t>Zou, Guoqing; Cao, Xiuhong; Chang, Zhenyun; Chang, Jing</t>
  </si>
  <si>
    <t>Predicting the effects of doping and pressure on the structural, mechanical and electronic properties of B12P2</t>
  </si>
  <si>
    <t>SOLID STATE COMMUNICATIONS</t>
  </si>
  <si>
    <t>First-principles calculations; Elastic properties; Mechanical properties; Electronic structure</t>
  </si>
  <si>
    <t>BORON</t>
  </si>
  <si>
    <t>Based on the first-principles calculations, the effects of doping and pressure on the B12P2 have been investigated and discussed systematically. The calculated formation enthalpy and phonon dispersion curves show that the pure and N-doped B12P2 are structurally stable. Mechanical properties demonstrated that the Vickers hardness of B12P2 was successfully improved (from 38.1 GPa to 43.4 GPa) by partially replacing P with N, which due to the short bond length between B and N atoms and can also be well understood by the band structure around the Fermi level. In addition, the calculated B/G and Poisson's ratio &amp; nu; reveal that the pure and N-doped B12P2 are intrinsically brittleness and strongly prone to ductility under pressure, especially the pure B12P2 undergoes a brittle-to-ductile transition when the pressure is above 93.5 GPa, which is beneficial to the application of mechanical materials under extreme conditions. In addition, the visual elastic anisotropy also shows an enhanced trend under pressure. Finally, the electronic structure calculations indicate that the N-doped B12P2 becomes a wide-band-gap semiconductor under pressure, which is an attractive candidate for high voltage/high power devices.</t>
  </si>
  <si>
    <t>[Zou, Guoqing; Cao, Xiuhong; Chang, Zhenyun; Chang, Jing] Sichuan Normal Univ, Coll Phys &amp; Elect Engn, Chengdu 610101, Peoples R China</t>
  </si>
  <si>
    <t>Sichuan Normal University</t>
  </si>
  <si>
    <t>Chang, J (corresponding author), Sichuan Normal Univ, Coll Phys &amp; Elect Engn, Chengdu 610101, Peoples R China.</t>
  </si>
  <si>
    <t>changjing0394@163.com</t>
  </si>
  <si>
    <t>National Natural Science Foundation of China [12204330]; Sichuan Normal University [341829001]</t>
  </si>
  <si>
    <t>National Natural Science Foundation of China(National Natural Science Foundation of China (NSFC)); Sichuan Normal University</t>
  </si>
  <si>
    <t>This work was supported by the National Natural Science Foundation of China (Grant No. 12204330) and the Sichuan Normal University for financial support (No. 341829001).</t>
  </si>
  <si>
    <t>0038-1098</t>
  </si>
  <si>
    <t>1879-2766</t>
  </si>
  <si>
    <t>SOLID STATE COMMUN</t>
  </si>
  <si>
    <t>Solid State Commun.</t>
  </si>
  <si>
    <t>10.1016/j.ssc.2023.115308</t>
  </si>
  <si>
    <t>R2SQ9</t>
  </si>
  <si>
    <t>WOS:001062903900001</t>
  </si>
  <si>
    <t>Zu, LJ; Chen, Y; Xie, JW; Liu, WR; Feng, Y; Zhang, ZC; Zhao, XJ; Ma, Y; Fang, Q; Li, KW; Guo, T; Liu, MX; Wu, H</t>
  </si>
  <si>
    <t>Zu, Lijiao; Chen, Yu; Xie, Jiwei; Liu, Weiru; Feng, Yue; Zhang, Zhaochuan; Zhao, Xiujuan; Ma, Yan; Fang, Qian; Li, Kaiwei; Guo, Tuan; Liu, Mingxian; Wu, Hui</t>
  </si>
  <si>
    <t>In situ tumor cells detection using nanotube-functionalized &amp; microfluidic-controlling multiresonance optical fiber</t>
  </si>
  <si>
    <t>Tumor cells detection; Optical fiber sensors; Microfluidic chip; Nanotubes</t>
  </si>
  <si>
    <t>HALLOYSITE NANOTUBES; EXTRACELLULAR-MATRIX; STRUCTURED SURFACES; SENSITIVE DETECTION; EFFICIENT CAPTURE; LIGHT-SCATTERING; CANCER-CELLS; ADHESION; RESONANCE; PATTERNS</t>
  </si>
  <si>
    <t>In situ and highly sensitive monitoring of tumor cells provides a fundamental understanding of the valuation of cancer diagnosis. However, existing techniques are largely unable to rapidly capture and precisely quantify the tumor cells. To address this, we propose a novel approach based on a nanotube-functionalized &amp; microfluidic-controlling multiresonance optical fiber sensor. The sensor consists of a tilted fiber Bragg grating (TFBG) inscribed in the fiber core and specially designed halloysite nanotubes (HNTs) coated over the fiber surface. In particular, the HNTs are arranged in an orderly manner along the fiber surface to form slit-like patterned layers for enhanced the interaction with tumor cells, resulting in more effective capture of tumor cells. Such a sensor provides a powerful light scattering sensing ability. Based on the spectral area interrogation method, normal cells and tumor cells can be unambiguously discriminated within a few minutes, providing high sensitivity (limit of detection of 10 cells/mL), and a linear response for a large cell concentration range (10 similar to 10(5) cells/mL). Meanwhile, by integrating the fiber sensor with a well-designed microfluidic chip, rapid and precise measurement of different tumor cell samples with low consumption (sub-microliter volumes) can be achieved, which provides a potential tool for cancer diagnosis and treatment.</t>
  </si>
  <si>
    <t>[Zu, Lijiao; Xie, Jiwei; Liu, Weiru; Zhang, Zhaochuan; Li, Kaiwei; Guo, Tuan] Jinan Univ, Inst Photon Technol, Guangzhou 510632, Guangdong, Peoples R China; [Chen, Yu; Feng, Yue; Zhao, Xiujuan; Liu, Mingxian] Jinan Univ, Coll Chem &amp; Mat Sci, Dept Mat Sci &amp; Engn, Guangzhou 511443, Peoples R China; [Ma, Yan; Fang, Qian; Wu, Hui] Sun Yat sen Univ, Affiliated Hosp 1, Dept Gastrointestinal Surg, Guangzhou 510080, Peoples R China</t>
  </si>
  <si>
    <t>Jinan University; Jinan University; Sun Yat Sen University</t>
  </si>
  <si>
    <t>Guo, T (corresponding author), Jinan Univ, Inst Photon Technol, Guangzhou 510632, Guangdong, Peoples R China.;Liu, MX (corresponding author), Jinan Univ, Coll Chem &amp; Mat Sci, Dept Mat Sci &amp; Engn, Guangzhou 511443, Peoples R China.;Wu, H (corresponding author), Sun Yat sen Univ, Affiliated Hosp 1, Dept Gastrointestinal Surg, Guangzhou 510080, Peoples R China.</t>
  </si>
  <si>
    <t>tuanguo@jnu.edu.cn; liumx@jnu.edu.cn; docwuhui@126.com</t>
  </si>
  <si>
    <t>National Natural Science Foundation of China [2019TX05X383, GDNRC [2023] 23]; Guangdong Outstanding Scientific Innovation Foundation [202102010117]; Program of Marine Economy Development Special Fund under Department of Natural Resources of Guangdong Province; Science and Technology Planning Project of Guangzhou [62035006]; Fundamental Research Funds for the Central Universities [61975068]; [52073121]; [21622406]</t>
  </si>
  <si>
    <t>National Natural Science Foundation of China(National Natural Science Foundation of China (NSFC)); Guangdong Outstanding Scientific Innovation Foundation; Program of Marine Economy Development Special Fund under Department of Natural Resources of Guangdong Province; Science and Technology Planning Project of Guangzhou; Fundamental Research Funds for the Central Universities(Fundamental Research Funds for the Central Universities); ;</t>
  </si>
  <si>
    <t>T. Guo acknowledges the support of the National Natural Science Foundation of China (No. 62035006, 61975068), the Guangdong Outstanding Scientific Innovation Foundation (No. 2019TX05X383), the Program of Marine Economy Development Special Fund under Department of Natural Resources of Guangdong Province (No. GDNRC [2023] 23). M. Liu acknowledges the support of National Natural Science Foundation of China (52073121), Science and Technology Planning Project of Guangzhou (202102010117), and the Fundamental Research Funds for the Central Universities (21622406).</t>
  </si>
  <si>
    <t>10.1016/j.snb.2023.134176</t>
  </si>
  <si>
    <t>R1OL5</t>
  </si>
  <si>
    <t>WOS:001062103900001</t>
  </si>
  <si>
    <t>Craighero, F; Angaroni, F; Stella, F; Damiani, C; Antoniotti, M; Graudenzi, A</t>
  </si>
  <si>
    <t>Craighero, Francesco; Angaroni, Fabrizio; Stella, Fabio; Damiani, Chiara; Antoniotti, Marco; Graudenzi, Alex</t>
  </si>
  <si>
    <t>Unity is strength: Improving the detection of adversarial examples with ensemble approaches</t>
  </si>
  <si>
    <t>Computer vision; Deep learning; Adversarial example detection; Ensemble; One-class support vector machines</t>
  </si>
  <si>
    <t>A key challenge in computer vision and deep learning is the definition of robust strategies for the detection of adversarial examples. In this work, we propose the adoption of ensemble approaches to leverage the effectiveness of multiple detectors in exploiting distinct properties of the input data. To this end, the ENsemble Adversarial Detector (ENAD) framework integrates scoring functions from state-of-the-art detectors based on Mahalanobis distance, Local Intrinsic Dimensionality, and One-Class Support Vector Machines, which process the hidden features of deep neural networks. ENAD is designed to ensure high standardization and reproducibility to the computational workflow.Extensive tests on benchmark datasets, models and adversarial attacks show that ENAD outperforms all competing methods in the large majority of settings. The improvement over the state-of-the-art and the intrinsic generality of the framework, which allows one to easily extend ENAD to include any set of detectors and integration strategies, set the foundations for the new area of ensemble adversarial detection.</t>
  </si>
  <si>
    <t>[Craighero, Francesco; Angaroni, Fabrizio; Stella, Fabio; Antoniotti, Marco; Graudenzi, Alex] Univ Milano Bicocca, Dept Informat Syst &amp; Commun, Viale Sarca 336, I-20126 Milan, Italy; [Angaroni, Fabrizio] Human Technopole, Computat Biol Res Ctr, Viale Rita Levi Montalcini 1, I-20157 Milan, Italy; [Stella, Fabio; Antoniotti, Marco; Graudenzi, Alex] Univ Milano Bicocca, Bicocca Bioinformat Biostat &amp; Bioimaging Ctr B4, Via Follereau 3, I-20854 Vedano Al Lambro MB, Italy; [Damiani, Chiara] Univ Milano Bicocca, Dept Biotechnol &amp; Biosci, Piazza Sci 2, I-20126 Milan, Italy; [Damiani, Chiara] SYSBIO ISBE IT Ctr Syst Biol, Piazza Sci 2, I-20126 Milan, Italy; [Graudenzi, Alex] Natl Res Council IBFM CNR, Inst Mol Bioimaging &amp; Physiol, Via Fratelli Cervi 93, I-20054 Segrate, MI, Italy</t>
  </si>
  <si>
    <t>University of Milano-Bicocca; Human Technopole; University of Milano-Bicocca; University of Milano-Bicocca; Consiglio Nazionale delle Ricerche (CNR); Istituto di Bioimmagini e Fisiologia Molecolare (IBFM-CNR)</t>
  </si>
  <si>
    <t>Graudenzi, A (corresponding author), Univ Milano Bicocca, Dept Informat Syst &amp; Commun, Viale Sarca 336, I-20126 Milan, Italy.</t>
  </si>
  <si>
    <t>alex.graudenzi@unimib.it</t>
  </si>
  <si>
    <t>Craighero, Francesco/0000-0001-8457-6979; Antoniotti, Marco/0000-0002-2823-6838</t>
  </si>
  <si>
    <t>CRUK/AIRC/FC-AECC [22790]; Horizon European Commission Program [LC-01815952/101052609]; Universita degli Studi di Milano-Bicocca; MUR under the grant Dipartimenti di Eccellenza 2023-2027of the Department of Informatics, Systems and Communication of the University of Milano-Bicocca, Italy; Google Cloud Research Credits program</t>
  </si>
  <si>
    <t>CRUK/AIRC/FC-AECC; Horizon European Commission Program; Universita degli Studi di Milano-Bicocca; MUR under the grant Dipartimenti di Eccellenza 2023-2027of the Department of Informatics, Systems and Communication of the University of Milano-Bicocca, Italy; Google Cloud Research Credits program(Google Incorporated)</t>
  </si>
  <si>
    <t>&amp; nbsp;This work has been partially supported by the CRUK/AIRC/FC-AECC Accelerator Award #22790 Single Cell Cancer Evolution in the Clinic, by the Horizon European Commission Program PPPA2027, PPPA-2021-AIPC #LC-01815952/101052609 Towards an UNIque ap-proach for artificial intelligence data-driven solutions to fight Child-hood cAncer FOR Europe (UNICA4EU) , by the 2021 FAQC program of the Universita degli Studi di Milano-Bicocca, by the MUR under the grant Dipartimenti di Eccellenza 2023-2027of the Department of Informatics, Systems and Communication of the University of Milano-Bicocca, Italy and by the Google Cloud Research Credits program.</t>
  </si>
  <si>
    <t>OCT 14</t>
  </si>
  <si>
    <t>10.1016/j.neucom.2023.126576</t>
  </si>
  <si>
    <t>P8IU3</t>
  </si>
  <si>
    <t>WOS:001053060500001</t>
  </si>
  <si>
    <t>Ashish, PK; Sreeram, A; Xu, X; Chandrasekar, P; Jagadeesh, A; Adwani, D; Padhan, RK</t>
  </si>
  <si>
    <t>Ashish, Prabin Kumar; Sreeram, Anand; Xu, Xiong; Chandrasekar, Pavan; Jagadeesh, Ajayshankar; Adwani, Dheeraj; Padhan, Rabindra Kumar</t>
  </si>
  <si>
    <t>Closing the Loop: Harnessing waste plastics for sustainable asphalt mixtures - A comprehensive review</t>
  </si>
  <si>
    <t>Waste plastics; Asphalt mixtures; Sustainability; Mechanical properties; Environmental impact; Field performance</t>
  </si>
  <si>
    <t>HIGH-TEMPERATURE STABILITY; POLYETHYLENE TEREPHTHALATE; MECHANICAL-PROPERTIES; RECLAIMED POLYETHYLENE; RHEOLOGICAL PROPERTIES; MELTING BEHAVIOR; PHASE-BEHAVIOR; PERFORMANCE; PET; MICROPLASTICS</t>
  </si>
  <si>
    <t>The widespread production and consumption of plastics is a pressing global issue that requires multifaceted approaches and solutions. In terms of recycling, one of the ways to repurpose waste plastics in the construction industry would be to utilize them for asphalt pavement-related applications. Although this approach can potentially provide a value-added recycling outlet for plastics, several challenges need to be resolved to maximize its usage to the highest possible extent. Based on this, the present review article provides a comprehensive background on the different pertinent aspects associated with the use of waste plastics in asphalt mixtures. Besides examining the mechanical performance of asphalt mixtures containing waste plastic, the associated environmental concerns and life cycle assessment related attributes are also thoroughly deliberated. In addition, the successful demonstration of this technology through field trials in several countries is also discussed. Some of the main challenges related to the use of plastics in asphalt mixtures include the variability of plastic properties and composition, which can influence its mechanical performance and associated environmental impact. In general, the incorporation of waste plastics using certain tailored approaches can adequately meet and even enhance the typical performance parameters of asphalt mixtures. However, the effect of plastics modified asphalt mixtures on fuming and microplastics release remains unclear and needs further research. Nevertheless, the increasing number of field trials and widespread interest from transportation agencies around the world indicate the likelihood for the adoption of this technique as a sustainable practice in the pavement industry.</t>
  </si>
  <si>
    <t>[Ashish, Prabin Kumar] Indian Inst Technol Kanpur, Dept Civil Engn, Kanpur 208016, Uttar Pradesh, India; [Sreeram, Anand] Univ Cambridge, Dept Engn, Cambridge, England; [Xu, Xiong] Wuhan Inst Technol, Sch Civil Engn &amp; Architecture, Wuhan 430073, Peoples R China; [Chandrasekar, Pavan] Georgia Inst Technol, Civil &amp; Environm Engn, Atlanta, GA 30332 USA; [Jagadeesh, Ajayshankar] Delft Univ Technol, Fac Civil Engn &amp; Geosci, NL-2628CD Delft, Netherlands; [Adwani, Dheeraj] Univ Texas Austin, Civil Architectural &amp; Environm Engn, Austin, TX 78712 USA; [Padhan, Rabindra Kumar] Indian Oil Corp Ltd, Res &amp; Dev Ctr, Faridabad, India</t>
  </si>
  <si>
    <t>Indian Institute of Technology System (IIT System); Indian Institute of Technology (IIT) - Kanpur; University of Cambridge; Wuhan Institute of Technology; University System of Georgia; Georgia Institute of Technology; Delft University of Technology; University of Texas System; University of Texas Austin; Indian Oil Corporation Ltd</t>
  </si>
  <si>
    <t>Ashish, PK (corresponding author), Indian Inst Technol Kanpur, Dept Civil Engn, Kanpur 208016, Uttar Pradesh, India.</t>
  </si>
  <si>
    <t>pkashish@iitk.ac.in</t>
  </si>
  <si>
    <t>Chandrasekar, Pavan/ABA-2672-2021</t>
  </si>
  <si>
    <t>Chandrasekar, Pavan/0000-0002-6732-8188</t>
  </si>
  <si>
    <t>OCT 12</t>
  </si>
  <si>
    <t>10.1016/j.conbuildmat.2023.132858</t>
  </si>
  <si>
    <t>Q6LY4</t>
  </si>
  <si>
    <t>WOS:001058631400001</t>
  </si>
  <si>
    <t>Duan, CD; Yu, XY; Yao, XW; Zhu, JH; Li, GY</t>
  </si>
  <si>
    <t>Duan, Chong-da; Yu, Xue-yang; Yao, Xiao-wei; Zhu, Jia-hua; Li, Guang-yue</t>
  </si>
  <si>
    <t>Coupling reinforcement of uranium tailings via Klebsiella-induced calcium carbonate precipitation and waterborne polyurethane</t>
  </si>
  <si>
    <t>Microbially induced calcium carbonate; precipitation; Waterborne polyurethane; Klebsiella; Triaxial tests</t>
  </si>
  <si>
    <t>MECHANICAL-PROPERTIES; FREEZE-THAW; SILICA FUME; DUST</t>
  </si>
  <si>
    <t>The environmentally friendly and efficient realization of uranium tailings dam reinforcement is of great sig-nificance for the sustainable development of the uranium mining industry. Herein, the effects of microbially induced calcium carbonate precipitation (MICP), using Klebsiella, and waterborne polyurethane (WPU) coupled reinforcement on the mechanical behavior of uranium tailings were studied by triaxial testing. It was demon-strated that the mechanical behaviors of the specimens treated with MICP-WPU coupled reinforcement had a more significant improvement than those treated with MICP alone. When the test confining pressure was 400 kPa, it was found that the peak deviatoric stress of the specimens treated with the coupled reinforcement increased by 45.7 %, the elastic modulus increased by 231.3 %, and the cohesive force was enhanced to 217 kPa as compared to the specimen reinforcement of only MICP induced by Klebsiella. The coupled reinforcement mechanism study using XRD and SEM shows that the significant improvement in the mechanical behavior of the specimens is attributed to the spatial reticular structure formed by wrapping and binding vaterite crystals and tailings particles with WPU. This innovative green reinforcement method is expected to be a new alternative for stabilizing unstable soils in mine geotechnical engineering.</t>
  </si>
  <si>
    <t>[Duan, Chong-da; Yu, Xue-yang; Yao, Xiao-wei; Zhu, Jia-hua; Li, Guang-yue] Univ South China, Sch Resources &amp; Environm &amp; Safety Engn, Hengyang 421001, Peoples R China</t>
  </si>
  <si>
    <t>University of South China</t>
  </si>
  <si>
    <t>Li, GY (corresponding author), Univ South China, Sch Resources &amp; Environm &amp; Safety Engn, Hengyang 421001, Peoples R China.</t>
  </si>
  <si>
    <t>ligyueusc@126.com</t>
  </si>
  <si>
    <t>National Natural Science Foundation of China [U20A20267]</t>
  </si>
  <si>
    <t>Funding This work was supported by the National Natural Science Foundation of China (U20A20267) .</t>
  </si>
  <si>
    <t>10.1016/j.conbuildmat.2023.132641</t>
  </si>
  <si>
    <t>P5YO6</t>
  </si>
  <si>
    <t>WOS:001051432100001</t>
  </si>
  <si>
    <t>Lin, X; Wang, M; Yan, KZ</t>
  </si>
  <si>
    <t>Lin, Xu; Wang, Min; Yan, Kezhen</t>
  </si>
  <si>
    <t>Comparison on the performance of solid coumarone-indene resin and liquid coumarone-indene resin modified asphalt</t>
  </si>
  <si>
    <t>Solid coumarone-indene resin (S-CIR); Liquid coumarone-indene resin (L-CIR); Modified asphalt; High-temperature property; Low-temperature property</t>
  </si>
  <si>
    <t>MOLECULAR-WEIGHT; LIGHT FRACTION</t>
  </si>
  <si>
    <t>Coumarone-indene resin (CIR) has great potential for use as an asphalt modifier because of the cost-effective, high viscosity, and excellent mechanical properties. CIR is classified into two types based on polymerization degree: solid coumarone-indene resin (S-CIR) and liquid coumarone-indene resin (L-CIR). In this study, solid coumarone-indene resin modified asphalt (S-CMA) and liquid coumarone-indene resin modified asphalt (L-CMA) were prepared, and the comparison of the high-temperature performance, compatibility, aging performance, low-temperature performance, microstructure and modification mechanism of S-CMA and L-CMA was researched following the SuperPave standard. The results reveal that S-CIR is a solid resin with a high molecular weight that improves the high-temperature performance, permanent deformation resistance, and viscosity of asphalt, but impact on low-temperature performance negatively. In contrast, L-CIR is a liquid resin with low molecular weight that enhances the low-temperature properties and plasticity of asphalt, but decreases high-temperature properties. Additionally, solid resins with large molecular weight are prone to agglomeration in asphalt, while liquid resins with small molecular weight have better dispersibility, especially in high-content situations. Meanwhile, CIR exhibits good compatibility with asphalt. Based on the FTIR test results, chemical compositions and structures of S-CIR and L-CIR are similar, and physical miscibility was demonstrated between CIR and asphalt. In summary, modifier with different molecular polymerization degrees have a greater impact on modified asphalt, S-CMA has better high-temperature performance and viscosity than L-CMA, L-CMA has better low-temperature performance and plasticity than S-CMA, and S-CMA and L-CMA can be used for pavement construction in hot and cold areas respectively.</t>
  </si>
  <si>
    <t>[Lin, Xu; Wang, Min; Yan, Kezhen] Hunan Univ, Coll Civil Engn, Changsha 410082, Peoples R China; [Wang, Min; Yan, Kezhen] Hunan Univ, Coll Civil Engn, Key Lab Green &amp; Adv Civil Engn Mat &amp; Applicat Tech, Changsha 410082, Peoples R China</t>
  </si>
  <si>
    <t>Hunan University; Hunan University</t>
  </si>
  <si>
    <t>Yan, KZ (corresponding author), Hunan Univ, Coll Civil Engn, Changsha 410082, Peoples R China.</t>
  </si>
  <si>
    <t>yankz@hnu.edu.cn</t>
  </si>
  <si>
    <t>National Natural Science Foundation of China (NSFC); [52208435]</t>
  </si>
  <si>
    <t>The research was completed with the financially provided by the National Natural Science Foundation of China (NSFC, No. 52208435) . The authors sincerely gratitude their financial support.</t>
  </si>
  <si>
    <t>10.1016/j.conbuildmat.2023.132629</t>
  </si>
  <si>
    <t>Q6LH4</t>
  </si>
  <si>
    <t>WOS:001058614200001</t>
  </si>
  <si>
    <t>Skultecke, J; Vaitkus, A; Sernas, O</t>
  </si>
  <si>
    <t>Skultecke, Judita; Vaitkus, Audrius; Sernas, Ovidijus</t>
  </si>
  <si>
    <t>Laboratory investigation on the use of wood waste fibres in SMA mixtures</t>
  </si>
  <si>
    <t>Wood waste fibres; Binder drainage test; Binder drain down test; SMA mixture; Substitute for cellulose</t>
  </si>
  <si>
    <t>ASPHALT MIXTURES; DESIGN</t>
  </si>
  <si>
    <t>This research investigates whether wood waste fibres, produced from the leftovers from the manufacture of wood panels for furniture, can be used to stabilize the binder (to absorb the excess binder) in stone mastic asphalt (SMA) mixtures rather than being disposed of in landfill or incinerated. In this research, SMA 8 S mixtures with different amounts (0.3%, 0.5%, 0.7%, 0.9% and 1.1%) of wood waste fibres were analysed. The reference mixture with 0.3% cellulose fibres was also produced. The ability of wood waste fibres to absorb the binder was determined by the binder drain down test, and the particle loss test was used as a primary indicator to evaluate the performance of the mixture. The influence of wood waste fibres on the performance of SMA mixtures was comprehensively evaluated with two amounts of wood waste fibres in terms of air void content, water sensitivity, stiffness, resistance to rutting, and resistance to fatigue. Research showed that 0.7% of the wood waste fibres is an optimal amount. It ensures both binder absorption and SMA 8 S mixture performance equivalent to that with 0.3% cellulose fibres.</t>
  </si>
  <si>
    <t>[Skultecke, Judita; Vaitkus, Audrius; Sernas, Ovidijus] Vilnius Gediminas Tech Univ, Rd Res Inst, Vilnius, Lithuania</t>
  </si>
  <si>
    <t>Vilnius Gediminas Technical University</t>
  </si>
  <si>
    <t>Skultecke, J (corresponding author), Vilnius Gediminas Tech Univ, Rd Res Inst, Vilnius, Lithuania.</t>
  </si>
  <si>
    <t>judita.skultecke@vilniustech.lt</t>
  </si>
  <si>
    <t>Škulteckė, Judita/HTN-5140-2023</t>
  </si>
  <si>
    <t>Škulteckė, Judita/0000-0001-6502-9400</t>
  </si>
  <si>
    <t>10.1016/j.conbuildmat.2023.132727</t>
  </si>
  <si>
    <t>Q6NS3</t>
  </si>
  <si>
    <t>WOS:001058677900001</t>
  </si>
  <si>
    <t>Xia, Q; Guo, CX; Li, YQ; Liu, TK; Liu, JJ</t>
  </si>
  <si>
    <t>Xia, Qian; Guo, Chaoxia; Li, Yiqing; Liu, Taikang; Liu, Junjun</t>
  </si>
  <si>
    <t>Fatigue characteristics of ancient brick masonry under cyclic load</t>
  </si>
  <si>
    <t>Ancient brick masonry; Cyclic loading; Fatigue failure deformation; Fatigue properties; Uniaxial compression</t>
  </si>
  <si>
    <t>In this study, a low-cycle fatigue test was conducted using an MTS793 electro-hydraulic servo fatigue testing machine and a VIC-3D image acquisition system to explore the effects of different loading frequencies and upper limit stress amplitudes on the fatigue damage characteristics of ancient brick masonry. The test results indicated prominent fatigue damage characteristics and shaping of the ancient brick masonry under cyclic load. The axial deformation development of ancient brick masonry consists of three stages that result in fatigue damage evolution and macroscopic fracture. These stages include a large maximum cyclic stress amplitude, low loading frequency, and a larger hysteresis loopback during the loading and unloading area. The plastic stress variable of each loop increases, and the fatigue life of the specimen decreases with the increase in the sample fatigue damage rate.</t>
  </si>
  <si>
    <t>[Xia, Qian; Guo, Chaoxia; Liu, Taikang] Xian Univ Technol, Sch Civil Engn, Xian 710048, Peoples R China; [Li, Yiqing; Liu, Junjun] Xian Jianda Weigu Engn Inspect &amp; Appraisal Co Ltd, Xian 710048, Peoples R China</t>
  </si>
  <si>
    <t>Xi'an University of Technology</t>
  </si>
  <si>
    <t>Xia, Q (corresponding author), Xian Univ Technol, Sch Civil Engn, Xian 710048, Peoples R China.</t>
  </si>
  <si>
    <t>xiaqian@xaut.edu.cn</t>
  </si>
  <si>
    <t>National Natural Science Fund [2018M643702]; China Postdoctoral Science Foundation Project [2018BSHEDZZ22]; Shaanxi Provincial Postdoctoral Foundation Project [2021JM-179]; Shaanxi Provincial Natural Science Foundation Project [51878298]; National Natural Science Foundation of China [2018JQ5169]; [51708450]</t>
  </si>
  <si>
    <t>National Natural Science Fund(National Natural Science Foundation of China (NSFC)); China Postdoctoral Science Foundation Project(China Postdoctoral Science Foundation); Shaanxi Provincial Postdoctoral Foundation Project; Shaanxi Provincial Natural Science Foundation Project; National Natural Science Foundation of China(National Natural Science Foundation of China (NSFC));</t>
  </si>
  <si>
    <t>This study was supported by the National Natural Science Fund (51708450) ; China Postdoctoral Science Foundation Project (2018M643702) ; Shaanxi Provincial Postdoctoral Foundation Project (2018BSHEDZZ22) ; Shaanxi Provincial Natural Science Foundation Project (2018JQ5169) ; Shaanxi Provincial Natural Science Foundation Project (2021JM-179) ; National Natural Science Foundation of China (51878298) .</t>
  </si>
  <si>
    <t>10.1016/j.conbuildmat.2023.132653</t>
  </si>
  <si>
    <t>P8MR6</t>
  </si>
  <si>
    <t>WOS:001053162100001</t>
  </si>
  <si>
    <t>Zhang, T; Wen, QX; Gao, S; Tang, JP</t>
  </si>
  <si>
    <t>Zhang, Tong; Wen, Qianxin; Gao, Shan; Tang, Jupeng</t>
  </si>
  <si>
    <t>Comparative study on mechanical and environmental properties of coal gangue sand concrete</t>
  </si>
  <si>
    <t>Coal gangue; Fine aggregate; Environmental impact; Life cycle assessment</t>
  </si>
  <si>
    <t>LIFE-CYCLE ASSESSMENT; AGGREGATE; BEHAVIOR; CEMENT; DURABILITY</t>
  </si>
  <si>
    <t>To reduce the adverse impact of coal gangue heaping and save natural resource, artificial coal gangue sands are utilized as fine aggregates in the concrete preparation. The mechanical and environmental properties of coal gangue sand concrete were studied experimentally and theoretically by considering concrete strength grades (C30, C50) and replacement ratios (0, 25%, 50%, 75%, 100%). The results show that coal gangue sand will weaken the adhesion performance of the transition zone between cement mortar and coarse aggregate. The elastic modulus and axial compressive strength of coal gangue sand concrete were decreased by increasing the replacement ratio regardless of concrete grade. When the replacement ratio is 100%, the elastic modulus and axial compressive strength of C30-grade concrete were reduced by 2.9% and 12.6% respectively whilst the values of C50-grade concrete were 5.0% and 21.5% respectively. Based on the tested results, the prediction formulas of the mechanical properties and the uniaxial compressive stress-strain model of the coal gangue sand concrete under different replacement ratio are proposed. Through life cycle assessment, it is found that the replacement ratio of the coal gangue sand is negatively correlated with environmental impact and willingness to pay (considering transport cost), and positively correlated with willingness to pay (without considering transport cost). The balance point is defined by the environmental influence of coal gangue sand concrete when the willingness to pay (considering transport cost) of coal gangue sand concrete under different replacement ratio is equal. According to the tested results, the prediction formula of the balance point under different transport distance is proposed. When the consistent transportation distance of gangue sand and natural sand exceeds 140 km, the utilization of coal gangue sand can produce good environmental benefits.</t>
  </si>
  <si>
    <t>[Zhang, Tong; Wen, Qianxin; Tang, Jupeng] Liaoning Tech Univ, Sch Civil Engn, Fuxing 123000, Liaoning, Peoples R China; [Zhang, Tong; Tang, Jupeng] Liaoning Tech Univ, Sch Mech &amp; Engn, Fuxing 123000, Peoples R China; [Gao, Shan] Harbin Inst Technol, Minist Educ, Key Lab Struct Dynam Behav &amp; Control, Harbin 150000, Peoples R China</t>
  </si>
  <si>
    <t>Liaoning Technical University; Liaoning Technical University; Harbin Institute of Technology</t>
  </si>
  <si>
    <t>Gao, S (corresponding author), Harbin Inst Technol, Minist Educ, Key Lab Struct Dynam Behav &amp; Control, Harbin 150000, Peoples R China.</t>
  </si>
  <si>
    <t>gaoshan@hit.edu.cn</t>
  </si>
  <si>
    <t>Doctoral Scientific Research Foundation of Liaoning Technical University; National Natural Science Foundation of China [22-1033]; [52278165]</t>
  </si>
  <si>
    <t>Doctoral Scientific Research Foundation of Liaoning Technical University; National Natural Science Foundation of China(National Natural Science Foundation of China (NSFC));</t>
  </si>
  <si>
    <t>The project is supported by the Doctoral Scientific Research Foundation of Liaoning Technical University (No.22-1033) and National Natural Science Foundation of China (NO. 52278165) , which are gratefully acknowledged.</t>
  </si>
  <si>
    <t>10.1016/j.conbuildmat.2023.132646</t>
  </si>
  <si>
    <t>Q6RV3</t>
  </si>
  <si>
    <t>WOS:001058785600001</t>
  </si>
  <si>
    <t>He, PQ; Ouyang, LA; Yang, Y; Huang, H; Chen, BM; Gao, C; He, YP; Guo, ZC</t>
  </si>
  <si>
    <t>He, Puqiang; Ouyang, Lun-Ao; Yang, Yi; Huang, Hui; Chen, Buming; Gao, Chao; He, Yapeng; Guo, Zhongcheng</t>
  </si>
  <si>
    <t>Energy-saving recovery of lead from waste lead paste via in-situ hydrometallurgical reduction and electrochemical mechanism</t>
  </si>
  <si>
    <t>Spent lead paste; Lead recovery; Hydrometallurgical reduction; Activated carbon additives; Energy consumption</t>
  </si>
  <si>
    <t>ACID-BATTERY PASTE; SPENT; ELECTRODE; PRODUCTS</t>
  </si>
  <si>
    <t>The reasonable prudent disposal of secondary lead resources including waste lead-acid batteries has become a growing concern to prevent the adverse impacts. Herein, a facile zero-emission hydrometallurgical reduction approach is proposed for the recovery of spent lead paste (SLP) possessing energy-saving and high current efficiency merits. The effect of activated carbon (AC) additives on lead recovery efficiency, desulfurization efficiency, cathode current efficiency, and energy consumption was investigated during the hydrometallurgical reduction of SLP. The introduction of AC promotes the current efficiency and shortens the electrolysis time, which contribute to the diminution of the whole energy consumption. Especially, the specific energy consumption of hydrometallurgical reduction drops to 483.5 kWh t-1 with 2.0% AC from the initial 596.6 kWh t-1. Notably, the nucleation mechanism of lead on the SLP cathodes all follows three-dimensional instantaneous growth with the diffusion control. Moreover, the SLP plates after hydrometallurgical reduction could be directly employed as the negative electrodes of lead-carbon batteries, avoiding the formation stage. The electrochemical hydrometallurgical reduction with carbon additives presents a promising strategy for enabling zero emissions, low energy consumption operation of SLP recovery and reutilization.</t>
  </si>
  <si>
    <t>[He, Puqiang; Ouyang, Lun-Ao; Yang, Yi; Huang, Hui; Chen, Buming; Gao, Chao; He, Yapeng] Kunming Univ Sci &amp; Technol, Fac Met &amp; Energy Engn, Kunming 650093, Peoples R China; [He, Puqiang; Ouyang, Lun-Ao; Yang, Yi; Huang, Hui; Chen, Buming; Gao, Chao; He, Yapeng; Guo, Zhongcheng] Met Electrode Mat Engn Technol Res Ctr Yunnan Prov, Kunming 650106, Peoples R China; [Huang, Hui; Chen, Buming; Gao, Chao; He, Yapeng; Guo, Zhongcheng] Kunming Hendera Technol Co Ltd, Kunming 650106, Peoples R China</t>
  </si>
  <si>
    <t>Ouyang, LA; He, YP (corresponding author), Kunming Univ Sci &amp; Technol, Fac Met &amp; Energy Engn, Kunming 650093, Peoples R China.</t>
  </si>
  <si>
    <t>935573979@qq.com; heyapeng@kust.edu.cn</t>
  </si>
  <si>
    <t>He, Yapeng/0000-0002-1394-2860</t>
  </si>
  <si>
    <t>National Natural Science Foundation of China [52064028, 202101AU070157]; Yunnan Fundamental Research Projects [202101AS070013, 202202AF080002]; Yunnan Provincial Major Science and Technology Special Plan Projects [202107AC110009]; Central Guidance on Local Science and Tech-nology Development Fund of Yunnan Province; [22002054]</t>
  </si>
  <si>
    <t>National Natural Science Foundation of China(National Natural Science Foundation of China (NSFC)); Yunnan Fundamental Research Projects; Yunnan Provincial Major Science and Technology Special Plan Projects; Central Guidance on Local Science and Tech-nology Development Fund of Yunnan Province;</t>
  </si>
  <si>
    <t>Acknowledgments The authors acknowledge the financial support from the National Natural Science Foundation of China (22002054, 52064028) , Yunnan Fundamental Research Projects (202101AU070157, 202101AS070013) , Yunnan Provincial Major Science and Technology Special Plan Projects (202202AF080002) , and Central Guidance on Local Science and Tech-nology Development Fund of Yunnan Province (202107AC110009) .</t>
  </si>
  <si>
    <t>OCT 10</t>
  </si>
  <si>
    <t>10.1016/j.electacta.2023.143021</t>
  </si>
  <si>
    <t>Q7AX4</t>
  </si>
  <si>
    <t>WOS:001059023700001</t>
  </si>
  <si>
    <t>Lashkenari, MS; Ghasemi, AK; Khalid, M; Shahgaldi, S</t>
  </si>
  <si>
    <t>Lashkenari, Mohammad Soleimani; Ghasemi, Amirmohammad Khosravi; Khalid, Mohmmad; Shahgaldi, Samaneh</t>
  </si>
  <si>
    <t>Facile synthesis of N-doped graphene oxide decorated with copper ferrite as an electrode material for supercapacitor with enhanced capacitance</t>
  </si>
  <si>
    <t>Copper ferrite; N-doped graphene oxide; Stability; Specific capacity; Asymmetrical supercapacitor</t>
  </si>
  <si>
    <t>LOW-TEMPERATURE SYNTHESIS; HIGH-PERFORMANCE SUPERCAPACITOR; NANOCOMPOSITE; COMPOSITE; ELECTROCATALYST; CONSTRUCTION; DEGRADATION; CATALYST; SPHERES; ANODE</t>
  </si>
  <si>
    <t>In the past decade, enormous attempts have been made to modify the effective electrode materials for the construction of supercapacitors. Here, we report a cost-effective, simple, and one-pot hydrothermal technique to fabricate a new nanocomposite based on nitrogen-doped graphene oxide (NGO) nanosheets twisted with copper ferrite nanoparticles (CuFe2O4 NPs) as a new supercapacitor material with outstanding performance. A concurrent synthetic route takes advantage of the synergetic impact caused by the high pseudo-capacitance of CuFe2O4 and the superior electrical conductivity of NGO, resulting in a larger performance improvement of the nanocomposite than that of blank CuFe2O4. The as-prepared NGO/ CuFe2O4 electrode significantly shows an excellent specific capacitance of 348 F/g at 1 A/g current density with superior cycling stability, saving 87% of its first capacitance over 2000 GCD cycles. The electrochemical analysis revealed that the NGO provides a continuous conductive pathway for electron/ion transport and a large surface area and alleviates the significant strain resulting from the volume expansion of CuFe2O4. Furthermore, an asymmetrical supercapacitor is produced by NGO/CuFe2O4 as the positive electrode and activated carbon as the negative electrode, which shows superior electrochemical performance, producing a high energy density (35.79 Wh/kg) and a high-power density (883.09 W/kg) with excellent cycling stability. This article aims to provide a rapid and scalable hydrothermal approach for synthesizing NGO/CuFe2O4 nanocomposites with increased electrochemical efficiency for super capacitor applications.</t>
  </si>
  <si>
    <t>[Lashkenari, Mohammad Soleimani] Amol Univ Special Modern Technol, Fac Engn Modern Technol, Electrochem &amp; Adv Mat Res Lab, Amol, Iran; [Ghasemi, Amirmohammad Khosravi] Babol Noshirvani Univ Techn, Dept Chem Engn, Shariati Ave, Babol, Iran; [Khalid, Mohmmad; Shahgaldi, Samaneh] Univ Quebec Trois Rivieres, Inst Innovat Ecomat, Ecoprod &amp; Ecoenergies, 3351 boul forges, Trois Rivieres, PQ G8Z 4M3, Canada</t>
  </si>
  <si>
    <t>Amol University of Special Modern Technologies - Iran; University of Quebec; University of Quebec Trois Rivieres</t>
  </si>
  <si>
    <t>Lashkenari, MS (corresponding author), Amol Univ Special Modern Technol, Fac Engn Modern Technol, Electrochem &amp; Adv Mat Res Lab, Amol, Iran.;Shahgaldi, S (corresponding author), Univ Quebec Trois Rivieres, Inst Innovat Ecomat, Ecoprod &amp; Ecoenergies, 3351 boul forges, Trois Rivieres, PQ G8Z 4M3, Canada.</t>
  </si>
  <si>
    <t>m.soleimani@ausmt.ac.ir; Samaneh.Shahgaldi@uqtr.ca</t>
  </si>
  <si>
    <t>Khalid, Mohmmad/D-7566-2011</t>
  </si>
  <si>
    <t>Khalid, Mohmmad/0000-0002-0305-531X</t>
  </si>
  <si>
    <t>Amol University of Special Modern Technologies</t>
  </si>
  <si>
    <t>The authors are grateful to the Amol University of Special Modern Technologies for the financial support of this work.</t>
  </si>
  <si>
    <t>10.1016/j.electacta.2023.142959</t>
  </si>
  <si>
    <t>Q7EM0</t>
  </si>
  <si>
    <t>WOS:001059117000001</t>
  </si>
  <si>
    <t>Li, WJ; Kang, JW; Wang, Y</t>
  </si>
  <si>
    <t>Li, Weijie; Kang, Jinwen; Wang, Yong</t>
  </si>
  <si>
    <t>Distinguishing the relative contributions of landscape composition and configuration change on ecosystem health from a geospatial perspective</t>
  </si>
  <si>
    <t>Landscape composition; Landscape configuration; Ecosystem health; Dominant factor; Zoning contrast</t>
  </si>
  <si>
    <t>RISK-ASSESSMENT; LAND-USE; SERVICES; CLIMATE; CITY</t>
  </si>
  <si>
    <t>Understanding the impact mechanisms of landscape composition and configuration change on ecosystem health (EH) is critical to ecosystem conservation and human well-being. However, existing studies mainly focused on EH changes due to combined effects of landscape composition and configuration change, while the individual impacts and spatial heterogeneity of these factors on EH remain unclear. Thus, taking Chongqing as an example, this study distinguished the relative contributions of landscape configuration and composition on EH based on scenario analysis method, and further explored how these impacts change between and within different topographic, geological and urbanization zones. The results showed that EH displayed an improving trend during 2000-2020, with the increasing areas distrib-uted in the mountainous of southeast and northeast in Chongqing, largely influenced by increased forest landscape co-hesion and their synergistic effects with forest expansion, accounting for 91.05 % and 87.86 % of the study area respectively, while the decreasing areas were mostly located in urban cores, dominated by changes in landscape com-position (e.g. farmland reclamation and urban sprawl), accounting for 50.95 % of area proportion. The scenario anal-ysis of EH showed that the areas dominated by landscape configuration were 5.39 times greater than the landscape composition under the same climate scenario. In terms of zoning comparison, the influence of landscape composition change on EH displayed the greatest difference within urbanization zones, while topographic zones for landscape con -figuration change. This paper provides a novel perspective to explore the impact of landscape pattern on EH, which is important to regional ecosystem conservation and land use management.</t>
  </si>
  <si>
    <t>[Li, Weijie; Kang, Jinwen] China West Normal Univ, Sch Geog Sci, Nanchong 637009, Peoples R China; [Li, Weijie] China West Normal Univ, Sichuan Prov Engn Lab Monitoring &amp; Control Soil Er, Nanchong 637009, Peoples R China; [Wang, Yong] Southwest Univ, Sch Geog Sci, Chongqing Key Lab Karst Environm, Chongqing 400715, Peoples R China</t>
  </si>
  <si>
    <t>China West Normal University; China West Normal University; Southwest University - China</t>
  </si>
  <si>
    <t>Kang, JW (corresponding author), China West Normal Univ, Sch Geog Sci, Nanchong 637009, Peoples R China.</t>
  </si>
  <si>
    <t>kangjinwen@cwnu.edu.cn</t>
  </si>
  <si>
    <t>Doctoral research program of China West Normal University; [412976]</t>
  </si>
  <si>
    <t>Doctoral research program of China West Normal University;</t>
  </si>
  <si>
    <t>This study was supported by the Doctoral research program of China West Normal University (412976) .</t>
  </si>
  <si>
    <t>10.1016/j.scitotenv.2023.165002</t>
  </si>
  <si>
    <t>Q1KC8</t>
  </si>
  <si>
    <t>WOS:001055165300001</t>
  </si>
  <si>
    <t>Makizuka, T; Sowa, K; Katayama, S; Kitazumi, Y; Yurimoto, H; Sakai, Y; Shirai, O</t>
  </si>
  <si>
    <t>Makizuka, Taiki; Sowa, Keisei; Katayama, Shiori; Kitazumi, Yuki; Yurimoto, Hiroya; Sakai, Yasuyoshi; Shirai, Osamu</t>
  </si>
  <si>
    <t>An enhanced direct electron transfer-type NAD+/NADH regenerating system using the diaphorase subunit of formate dehydrogenase 1</t>
  </si>
  <si>
    <t>Direct electron transfer-type bioelectrocatalysis; Formate dehydrogenase; NAD(+)/NADH regenerating system; Diaphorase subunit; biomimetics</t>
  </si>
  <si>
    <t>METHYLOBACTERIUM-EXTORQUENS AM1; D-FRUCTOSE DEHYDROGENASE; NADH REGENERATION; COFACTOR REGENERATION; ORGANIC-SYNTHESIS; ESCHERICHIA-COLI; REDOX COUPLES; REDUCTION; OXIDATION; ENZYMES</t>
  </si>
  <si>
    <t>Nicotinamide adenine dinucleotide redox couple (NAD(+)/NADH) is a significant coenzyme in the catabolism of organisms. Coupling NAD-dependent enzymatic reaction and NAD+/NADH regenerating systems can be utilized for biomimetics-associated applications, such as the production of bioreactors, biofuel cells, and biosensors. Direct electron transfer (DET)-type bioelectrocatalysis, in which an enzyme directly exchanges electrons with the electrode, can produce an efficient, simple, and biocompatible system owing to a mediator-free configuration. Formate dehydrogenase 1 from Methylorubrum extorquens AM1 (FoDH1) has been reported to have diaphorase and DET-type activity. The ss subunit (diaphorase subunit) of FoDH1 is an attractive variant for constructing an efficient regenerating system due to downsizing effects and efficient interfacial electron transfer. In this study, we attempt to construct a homologous expression system to establish a recombinant FoDH1 (rFoDH1) expression system and to obtain the ss subunit variant (FoDH1B). Their bioelectrochemical properties and the ET pathways of DET-type reactions have been elucidated. Finally, we demonstrated the coupling of an efficient DET-type NAD(+)/NADH regenerating system with NAD-dependent enzymes.</t>
  </si>
  <si>
    <t>[Makizuka, Taiki; Sowa, Keisei; Katayama, Shiori; Kitazumi, Yuki; Yurimoto, Hiroya; Sakai, Yasuyoshi; Shirai, Osamu] Kyoto Univ, Grad Sch Agr, Div Appl Life Sci, Kitashirakawa Oiwake Cho,Sakyo Ku, Kyoto 6068502, Japan</t>
  </si>
  <si>
    <t>Kyoto University</t>
  </si>
  <si>
    <t>Sowa, K (corresponding author), Kyoto Univ, Grad Sch Agr, Div Appl Life Sci, Kitashirakawa Oiwake Cho,Sakyo Ku, Kyoto 6068502, Japan.</t>
  </si>
  <si>
    <t>sowa.keisei.2u@kyoto-u.ac.jp</t>
  </si>
  <si>
    <t>JSPS KAKENHI, [JP21H01961, JP22K14831]; FY 2022 Kusunoki 125 of Kyoto University 125th Anniversary Fund; Ministry of the Environment of Japan [JPMEERF20232R01]</t>
  </si>
  <si>
    <t>JSPS KAKENHI,(Ministry of Education, Culture, Sports, Science and Technology, Japan (MEXT)Japan Society for the Promotion of ScienceGrants-in-Aid for Scientific Research (KAKENHI)); FY 2022 Kusunoki 125 of Kyoto University 125th Anniversary Fund; Ministry of the Environment of Japan(Ministry of the Environment, Japan)</t>
  </si>
  <si>
    <t>This research was supported by the JSPS KAKENHI, Grant Numbers JP21H01961 to YK and JP22K14831 to KS, and FY 2022 Kusunoki 125 of Kyoto University 125th Anniversary Fund to KS. This research was partially performed by the Environment Research and Technology Development Fund (JPMEERF20232R01) of the Environmental Restoration and Conservation Agency provided by Ministry of the Environment of Japan. We express our gratitude to Mr. Hirou Kaku, Mr. Koryu Ou, and Mr. Yasuyuki Hamano for their financial support. We would also like to thank Editage (www.editage.com) for the English language editing.</t>
  </si>
  <si>
    <t>10.1016/j.electacta.2023.142954</t>
  </si>
  <si>
    <t>R0ZA3</t>
  </si>
  <si>
    <t>WOS:001061698300001</t>
  </si>
  <si>
    <t>Wang, YL; Wang, ZD; Huang, H</t>
  </si>
  <si>
    <t>Wang, Yuelin; Wang, Zhidong; Huang, He</t>
  </si>
  <si>
    <t>Stochastic adaptive CL-BFGS algorithms for fully complex-valued dendritic neuron model</t>
  </si>
  <si>
    <t>Fully complex-valued dendritic neuron; Adaptive CL-BFGS algorithm; Stochastic variance reduction; Wirtinger gradient; A3 accumulative approach</t>
  </si>
  <si>
    <t>SINGLE-NEURON; NEWTON</t>
  </si>
  <si>
    <t>This paper proposes two stochastic variance reduced gradient algorithms based on adaptive complex-valued limited-memory BFGS (ACL-BFGS) algorithm, which are established on the calculation of Wirtinger gradient for fully complex-valued dendritic neuron model (FCDNM). Basically, the explicit expression of Wirtinger gradient is derived to enable the quasi-Newton algorithm for the training of FCDNM. A stochastic variance reduction strategy is adopted such that the number of samples per batch is increased during the optimization process to ensure the effectiveness of the stochastic algorithm. The stochastic ACL-BFGS algorithm with variance reduction (SACL-BFGS) can be efficiently applied for the training of FCDNM. Furthermore, by generalizing the A3 accumulative multi-step quasi-Newton method, the A3-SACL-BFGS algorithm is presented to achieve fast convergence. The experimental results on some benchmark prediction and classification problems conclusively imply that the proposed SACL-BFGS and A3-SACL-BFGS algorithms for FCDNM are clearly superior to complex-valued backpropagation (CBP), CL-BFGS and ACL-BFGS algorithms.&amp; COPY; 2023 Elsevier B.V. All rights reserved.</t>
  </si>
  <si>
    <t>[Wang, Yuelin; Wang, Zhidong; Huang, He] Soochow Univ, Sch Elect &amp; Informat Engn, Suzhou 215006, Peoples R China</t>
  </si>
  <si>
    <t>Soochow University - China</t>
  </si>
  <si>
    <t>Huang, H (corresponding author), Soochow Univ, Sch Elect &amp; Informat Engn, Suzhou 215006, Peoples R China.</t>
  </si>
  <si>
    <t>hhuang@suda.edu.cn</t>
  </si>
  <si>
    <t>Qinglan Project of Jiangsu Province, China; Postgraduate Research and Practice Innovation Program of Jiangsu Province, China; [SJCX22-1497]</t>
  </si>
  <si>
    <t>Qinglan Project of Jiangsu Province, China; Postgraduate Research and Practice Innovation Program of Jiangsu Province, China;</t>
  </si>
  <si>
    <t>? This work was jointly supported by Qinglan Project of Jiangsu Province, China and the Postgraduate Research and Practice Innovation Program of Jiangsu Province, China under grant no. SJCX22-1497.</t>
  </si>
  <si>
    <t>OCT 9</t>
  </si>
  <si>
    <t>10.1016/j.knosys.2023.110788</t>
  </si>
  <si>
    <t>Q5NQ8</t>
  </si>
  <si>
    <t>WOS:001057993300001</t>
  </si>
  <si>
    <t>Chafik, A; Essamadi, A; Celik, SY; Mavi, A</t>
  </si>
  <si>
    <t>Chafik, Abdelbasset; Essamadi, Abdelkhalid; Celik, Safinur Yildirim; Mavi, Ahmet</t>
  </si>
  <si>
    <t>Purification and biochemical characterization of a novel carbonic anhydrase II from erythrocytes of camel (Camelus dromedarius)</t>
  </si>
  <si>
    <t>Purification; Biochemical characterization; Carbonic anhydrase II; Camel; Camelus dromedarius</t>
  </si>
  <si>
    <t>ANION INHIBITION PROFILES; SALMO-TRUTTA LABRAX; HEAVY-METALS; AFFINITY GEL; ENZYME; IMMOBILIZATION; LIVER; SHEEP; PROTEINS; COPPER</t>
  </si>
  <si>
    <t>A novel carbonic anhydrase II (CA II) from erythrocytes of camel (Camelus dromedarius) was purified to ho-mogeneity using affinity chromatography and biochemically characterized. Specific activity of 140.88 U/mg was obtained with 745.17-fold purification and 25.37% yield. The enzyme was a monomer with a lower molecular weight (25 kDa) and lower Zn content (0.50 mol of Zn per mol of protein). The enzyme showed higher optimum temperature (70 degrees C) and pH (pH 9.0), moreover, it was stable at higher temperatures and strongly alkaline pH as judged by thermodynamic parameters (Ea, kd, Ed, t1/2, D-value, Z-value, &amp; UDelta;H, &amp; UDelta;G and &amp; UDelta;S). The enzyme was inhibited by cations (Al3+, Ca2+, Cd2+, Co2+, Cr3+, Cu2+, Fe3+, Ni2+, Mg2+ and Zn2+) as well as by anions (Br CH3COO affect enzyme activity. Effect of various chemicals on enzyme activity was also investigated. Km, Vmax, kcat and kcat/Km values for 4-NPA were found to be 1.74 mM, 0.0093 U/mL, 0,0039 s  1 and 0,0023 s  1 mM  1, respec-tively. With these interesting biochemical properties, camel CA II represents promising candidate for harsh in-dustrial applications, in particular, for a successful biomimetic CO2 sequestration process. ? ? ? ? ? , ClO4, CN ? , F , HCO3, I ? , N3, ? NO3 and SCN ), some anions (C6H5O73  , CO32  , SeO3 ? , and SO42 ) does not</t>
  </si>
  <si>
    <t>[Chafik, Abdelbasset] Cadi Ayyad Univ, Higher Sch Technol El Kelaa des Sraghna, Beni Mellal Rd Km 8,BP 104, El Kelaa Des Sraghna 43000, Morocco; [Chafik, Abdelbasset; Essamadi, Abdelkhalid] Hassan First Univ, Fac Sci &amp; Tech, Lab Biochem Neurosci Nat Resources &amp; Environm, Settat 26000, Morocco; [Chafik, Abdelbasset] Cadi Ayyad Univ, Fac Sci &amp; Tech, Bioresources &amp; Food Safety Lab, Blvd Abdelkrim Khattabi,BP 549, Marrakech 40000, Morocco; [Celik, Safinur Yildirim] Ataturk Univ, Fac Hlth Sci, Dept Nutr &amp; Dietet, TR-25240 Erzurum, Turkiye; [Mavi, Ahmet] Ataturk Univ, Kazim Karabekir Educ Fac, Dept Math &amp; Sci Educ, Chem Lab, TR-25240 Erzurum, Turkiye; [Mavi, Ahmet] Ataturk Univ, Grad Sch Nat &amp; Appl Sci, Dept Nanosci &amp; Nanoengn, Erzurum, Turkiye</t>
  </si>
  <si>
    <t>Cadi Ayyad University of Marrakech; Hassan First University of Settat; Cadi Ayyad University of Marrakech; Ataturk University; Ataturk University; Ataturk University</t>
  </si>
  <si>
    <t>Chafik, A (corresponding author), Cadi Ayyad Univ, Higher Sch Technol El Kelaa des Sraghna, Beni Mellal Rd Km 8,BP 104, El Kelaa Des Sraghna 43000, Morocco.</t>
  </si>
  <si>
    <t>a.chafik@uca.ma</t>
  </si>
  <si>
    <t>OCT 8</t>
  </si>
  <si>
    <t>10.1016/j.bbrc.2023.07.055</t>
  </si>
  <si>
    <t>O9MR1</t>
  </si>
  <si>
    <t>WOS:001046992200001</t>
  </si>
  <si>
    <t>Adegoke, TV; Yang, BL; Tian, XY; Yang, S; Gao, Y; Ma, JN; Wang, G; Si, PD; Li, RY; Xing, FG</t>
  </si>
  <si>
    <t>Adegoke, Tosin Victor; Yang, Bolei; Tian, Xiaoyu; Yang, Shuo; Gao, Yuan; Ma, Junning; Wang, Gang; Si, Peidong; Li, Runyan; Xing, Fuguo</t>
  </si>
  <si>
    <t>Simultaneous degradation of aflatoxin B1 and zearalenone by Porin and Peroxiredoxin enzymes cloned from Acinetobacter nosocomialis Y1</t>
  </si>
  <si>
    <t>Mycotoxins; Simultaneous degradation; Porin and Peroxiredoxin; Degradation product; Cytotoxicity</t>
  </si>
  <si>
    <t>AQUEOUS CITRIC-ACID; DETOXIFICATION; MYCOTOXINS; EXPRESSION; FEED; GENE; B-1</t>
  </si>
  <si>
    <t>Mycotoxin contamination can cause severe health issues for both humans and animals. This study examined the potential of enzymes derived from Acinetobacter nosocomialis Y1 to simultaneously degrade aflatoxin B1 (AFB1) and zearalenone (ZEN), which could have significant implications in reducing mycotoxin contamination. Two enzymes, Porin and Peroxiredoxin, were identified with molecular weights of 27.8 and 20.8 kDa, respectively. Porin could completely degrade 2 &amp; mu;g/mL of AFB1 and ZEN within 24 h at 80 degrees C and 60 degrees C, respectively. Per-oxiredoxin could completely degrade 2 &amp; mu;g/mL of AFB1 and reduce ZEN by 91.12% within 24 h. The addition of Na+, Cu2+, and K+ ions enhanced the degradation activities of both enzymes. LC-MS/MS analysis revealed that the molar masses of the degradation products of AFB1 and ZEN were 286 g/mol and 322.06 g/mol, and the products were identified as AFD1 and &amp; alpha; or &amp; beta;-ZAL, respectively. Vibrio fischeri bioluminescence assays further confirmed that the cytotoxicity of the two degradation products was significantly lower than that of AFB1 and ZEN. Based on these results, it can be inferred that the degradation product of ZEN is &amp; beta;-ZAL. These findings suggest that both enzymes have the potential to be utilized as detoxification enzymes in food and feed.</t>
  </si>
  <si>
    <t>[Adegoke, Tosin Victor; Yang, Bolei; Tian, Xiaoyu; Gao, Yuan; Ma, Junning; Wang, Gang; Si, Peidong; Li, Runyan; Xing, Fuguo] Chinese Acad Agr Sci, Inst Food Sci &amp; Technol, Key Lab Agroprod Qual &amp; Safety Control Storage &amp; T, Minist Agr &amp; Rural Affairs, Beijing 100193, Peoples R China; [Yang, Shuo] Chinese Acad Agr Sci, Feed Res Inst, Beijing 100081, Peoples R China; [Xing, Fuguo] Chinese Acad Agr Sci, Inst Food Sci &amp; Technol, 2 Yuanmingyuan West Rd, Beijing 100193, Peoples R China</t>
  </si>
  <si>
    <t>Chinese Academy of Agricultural Sciences; Institute of Food Science &amp; Technology, CAAS; Ministry of Agriculture &amp; Rural Affairs; Chinese Academy of Agricultural Sciences; Feed Research Institute, CAAS; Chinese Academy of Agricultural Sciences; Institute of Food Science &amp; Technology, CAAS</t>
  </si>
  <si>
    <t>Xing, FG (corresponding author), Chinese Acad Agr Sci, Inst Food Sci &amp; Technol, 2 Yuanmingyuan West Rd, Beijing 100193, Peoples R China.</t>
  </si>
  <si>
    <t>xingfuguo@caas.cn</t>
  </si>
  <si>
    <t>Xing, Fuguo/0000-0002-9078-6523</t>
  </si>
  <si>
    <t>National Key Ramp;D Program of China [2020YFC1606804, 2021YFD1300301]; Beijing Natural Science Foundation [6212028, 6222053]; National Agricultural Science and Technology Innovation Program [CAAS-ASTIP-G2022-IFST- 01]; Qingdao Science and Technology Benefit the People Demonstration and Guidance Special Project [21-1-4-NY-4-NSH]</t>
  </si>
  <si>
    <t>National Key Ramp;D Program of China; Beijing Natural Science Foundation(Beijing Natural Science Foundation); National Agricultural Science and Technology Innovation Program; Qingdao Science and Technology Benefit the People Demonstration and Guidance Special Project</t>
  </si>
  <si>
    <t>This research was supported by the National Key R &amp; amp;D Program of China (No. 2020YFC1606804 and 2021YFD1300301), Beijing Natural Science Foundation (6212028 and 6222053), and National Agricultural Science and Technology Innovation Program (CAAS-ASTIP-G2022-IFST-01), Qingdao Science and Technology Benefit the People Demonstration and Guidance Special Project (21-1-4-NY-4-NSH). The authors are grateful for the support provided by the foundation.</t>
  </si>
  <si>
    <t>OCT 5</t>
  </si>
  <si>
    <t>10.1016/j.jhazmat.2023.132105</t>
  </si>
  <si>
    <t>P2KK2</t>
  </si>
  <si>
    <t>WOS:001048977700001</t>
  </si>
  <si>
    <t>Ali, SA; Sau, S; Kundu, S</t>
  </si>
  <si>
    <t>Ali, Saiyad Akhirul; Sau, Sanjib; Kundu, Sarathi</t>
  </si>
  <si>
    <t>In-situ fabrication of CuO nanoparticles inside PVA matrix via heat treatment with modified optical, electrical and mechanical properties of the composite films</t>
  </si>
  <si>
    <t>PVA-CuO nanocomposite; Agglomeration of CuO nanoparticles; Optical property; Electrical Conductivity; Mechanical property</t>
  </si>
  <si>
    <t>DOPED POLYVINYL-ALCOHOL; POLY(VINYL ALCOHOL); COPPER(II) DETECTION; UV-IRRADIATION; REMOVAL; NANOCOMPOSITE; ADSORBENT; GRAPHENE; CONDUCTIVITY; WATER</t>
  </si>
  <si>
    <t>The present study offers an in-situ approach for the fabrication of poly(vinyl alcohol) (PVA) -copper oxide (CuO) nanocomposites where environmentally benign water is used as a solvent for the synthesis of nanocomposites. Nanocomposite films are prepared by incorporating copper chloride salt in PVA solution at different concen-trations under the effect of different heating periods. Spectroscopic and diffraction analyses confirm the for-mation of CuO nanoparticles inside the PVA matrix as a fraction of Cu+2 ions transformed to CuO nanoparticles at ambient and also under the effect of heat treatment in open atmosphere. Morphological analyses reveal the formation of CuO nanoparticles in the agglomerated form. The agglomeration of nanoparticles promotes the fluorescence behavior of the CuO nanoparticles which enhances upon heating from 2 to 6 min. Mechanical studies exhibit variation of the tensile strength and elongation at break with concentration and heating period. The tensile strength reduces from 37.0 to 22.6 MPa whereas the elongation at break increases from 230.0% to 276.0% on increasing the salt concentration from 0.25 to 10 wt% without heating. However, due to heating of the composite film for 6 min, the tensile strength increases and elongation at break decreases for each salt concentration. The results obtained from the electrical measurements confirm the enhancement of the conduc-tivity on increasing the salt concentration, whereas a decrement in conductivity is observed on heating the composite film. The fabricated PVA-CuO nanocomposites may be useful for formulating suitable optically active stretchable conducting films.</t>
  </si>
  <si>
    <t>[Ali, Saiyad Akhirul; Sau, Sanjib; Kundu, Sarathi] Inst Adv Study Sci &amp; Technol, Phys Sci Div, Soft Nano Lab, Gauhati 781035, Assam, India; [Ali, Saiyad Akhirul; Kundu, Sarathi] Acad Sci &amp; Innovat Res AcSIR, Ghaziabad 201002, India</t>
  </si>
  <si>
    <t>Department of Science &amp; Technology (India); Institute of Advanced Study in Science &amp; Technology (IASST); Academy of Scientific &amp; Innovative Research (AcSIR)</t>
  </si>
  <si>
    <t>Kundu, S (corresponding author), Inst Adv Study Sci &amp; Technol, Phys Sci Div, Soft Nano Lab, Gauhati 781035, Assam, India.</t>
  </si>
  <si>
    <t>sarathi.kundu@gmail.com</t>
  </si>
  <si>
    <t>Department of Science and Technology, Govt. of India; INSPIRE Fellowship under Department of Science and Technology, Govt. of India; IASST, Guwahati; [IF180888]</t>
  </si>
  <si>
    <t>Department of Science and Technology, Govt. of India(Department of Science &amp; Technology (India)); INSPIRE Fellowship under Department of Science and Technology, Govt. of India; IASST, Guwahati;</t>
  </si>
  <si>
    <t>S. A. Ali acknowledged the financial support from Department of Science and Technology, Govt. of India. S. Sau acknowledged the financial support from INSPIRE Fellowship (IF180888) under Department of Science and Technology, Govt. of India. S. Kundu acknowledged the financial support from Department of Science and Technology, Govt. of India. Authors would like to thank IASST, Guwahati for the financial and all experimental facilities.</t>
  </si>
  <si>
    <t>10.1016/j.colsurfa.2023.131840</t>
  </si>
  <si>
    <t>Q0YL8</t>
  </si>
  <si>
    <t>WOS:001054859200001</t>
  </si>
  <si>
    <t>Azadeh, A; Flores, AQ; Ghavami, K; Barbosa, NP; Toledo, RD; Savastano, H</t>
  </si>
  <si>
    <t>Azadeh, A.; Flores, A. Quiroga; Ghavami, K.; Barbosa, N. P.; Toledo Filho, R. D.; Savastano Junior, H.</t>
  </si>
  <si>
    <t>An investigation of bamboo shear test methods and the influence of heat on bamboo shear strength</t>
  </si>
  <si>
    <t>Bamboo; Heat treatment; Mechanical property; Shear strength; FEM analysis</t>
  </si>
  <si>
    <t>MECHANICAL-PROPERTIES; BEHAVIOR</t>
  </si>
  <si>
    <t>The present study has been divided into two parts. At first, the different shear test methods mentioned in the ISO and ASTM Standards such as the direct shear test and the bowtie shear test were presented and compared to a method proposed by the authors so-called the interlaminar shear test method, to suggest an easy, reliable, and feasible way to measure the bamboo shear strength. At the interlaminar shear test method, a shear surface is created by using bamboo strips with two notches/cuts at two opposite sides. By changing the distance of the cuts and bamboo width, the variation of bamboo shear strength based on these two parameters was studied. The FEM modeling by ANSYS and the DIC (Digital Image Correlation) test were carried out to show the shear stress and strain variation alongside the shear surface of interlaminar samples. The different test methods show the results of direct and bowtie test methods are close to each other but different from the interlaminar test method. In conclusion, a comparison has been made between these three shear test methods. In the second part of this investigation, the interlaminar shear test method was chosen for the heat-treated samples. Shear tests were performed on specimens previously heated during either 3 or 24 h at each of six temperatures in the range of 100-225 degrees C. The first significant reduction in the shear strength was observed after heat treatment at 150 degrees C for 24 h and 175 degrees C for 3 h of heat exposure.</t>
  </si>
  <si>
    <t>[Azadeh, A.; Savastano Junior, H.] Univ Sao Paulo, Sao Paulo, Brazil; [Flores, A. Quiroga; Toledo Filho, R. D.] Fed Univ Rio de Janeiro UFRJ, Rio De Janeiro, Brazil; [Ghavami, K.] Pontifical Catholic Univ Rio de Janeiro PUC Rio, Rio De Janeiro, Brazil; [Barbosa, N. P.] Fed Univ Paraiba UFPB, Joao Pessoa, Brazil</t>
  </si>
  <si>
    <t>Universidade de Sao Paulo; Universidade Federal do Rio de Janeiro; Pontificia Universidade Catolica do Rio de Janeiro; Universidade Federal da Paraiba</t>
  </si>
  <si>
    <t>Azadeh, A (corresponding author), Univ Sao Paulo, Sao Paulo, Brazil.</t>
  </si>
  <si>
    <t>arash@usp.br; alquirogaf@coc.ufrj.br; ghavami@puc-rio.br; nperazzo@ct.ufpb.br; toledo@coc.ufrj.br; holmersj@usp.br</t>
  </si>
  <si>
    <t>FAPESP [2018/25011-9]; CNPq [307723/2017-8, 306529/2022-0]</t>
  </si>
  <si>
    <t>The authors would like to thank the financial support granted by FAPESP (A. Azadeh, Grant 2018/25011-9) and CNPq (H. Savastano Junior, Grants 307723/2017-8 and 306529/2022-0). The authors gratefully acknowledge the Construction and Ambiance laboratory (CONSTRAMBI/ZEB, USP-FZEA) students and technicians for their availability and their assistance in carrying out the experiments.</t>
  </si>
  <si>
    <t>10.1016/j.conbuildmat.2023.132586</t>
  </si>
  <si>
    <t>P2LS0</t>
  </si>
  <si>
    <t>WOS:001049011600001</t>
  </si>
  <si>
    <t>Dai, SP; Zhu, H; Bai, JY; Bai, HY; Yuan, NY</t>
  </si>
  <si>
    <t>Dai, Shengping; Zhu, Hao; Bai, Jiayi; Bai, Hongyu; Yuan, Ningyi</t>
  </si>
  <si>
    <t>Washable stability and sensitive piezoresistive sponge sensor</t>
  </si>
  <si>
    <t>Porous sponge; Piezoresistive pressure sensor; High sensitivity; Washable stability; Low hysteresis</t>
  </si>
  <si>
    <t>LOW-COST</t>
  </si>
  <si>
    <t>A washable and sensitivity flexible piezoresistive pressure sensor is necessary to realize the practical application in intelligent wearable field. However, it remains a great challenge to prepare piezoresistive pressure sensor with high sensitivity and superior washable stability. Herein, a 3D porous structure carbon nanotube (CNT)/carbon black (CB) sponge piezoresistive pressure sensor was constructed by salt-template and physical absorption method. The CNT/CB sponge with porous structure exhibited excellent compression cycle stability (372 &amp; PLUSMN; 6 kPa), and lower hysteresis (&amp; LE;9.38 % residual strain). Impressively, the assembled CNT/CB sponge pressure sensor showed high sensitivity of 164 kPa-1 (0-2.1 kPa), 8000 times long-term cycles stability and superior washable stability. The pressure sensor was used for human motion monitoring, such as: pulse, joint bending, micro-expression, foot type recognition and gesture detection. Furthermore, the pressure sensor can be connected with bluetooth module to monitor the gait characteristics of human movement in real time to prevent foot membrane inflammation.</t>
  </si>
  <si>
    <t>[Dai, Shengping; Bai, Jiayi] Jinggangshan Univ, Hum Acid Utilizat Engn Res Ctr Jiangxi Prov, Sch Chem &amp; Chem Engn, Key Lab Coordinat Chem Jiangxi Prov, Jian 343009, Peoples R China; [Dai, Shengping; Bai, Hongyu; Yuan, Ningyi] Changzhou Univ, Jiangsu Collaborat Innovat Ctr Photovolta Sci &amp; E, Changzhou 213164, Peoples R China; [Zhu, Hao] Jiangsu Univ, Inst Intelligent Flexible Mechatron, Zhenjiang 212013, Peoples R China</t>
  </si>
  <si>
    <t>Jinggangshan University; Changzhou University; Jiangsu University</t>
  </si>
  <si>
    <t>Dai, SP (corresponding author), Jinggangshan Univ, Hum Acid Utilizat Engn Res Ctr Jiangxi Prov, Sch Chem &amp; Chem Engn, Key Lab Coordinat Chem Jiangxi Prov, Jian 343009, Peoples R China.;Dai, SP; Yuan, NY (corresponding author), Changzhou Univ, Jiangsu Collaborat Innovat Ctr Photovolta Sci &amp; E, Changzhou 213164, Peoples R China.</t>
  </si>
  <si>
    <t>daishengping@jgsu.edu.cn; nyyuan@cczu.edu.cn</t>
  </si>
  <si>
    <t>Special fund for Science and technology innovation of Jiangsu Province [20224BAB214031]; Jiangsu Provincial 333 High-level Talent Training Project; Natural Science Foundation of Jiangxi Province [GJJ2201652]; Department of Education Foundation of Jiangxi Province; Jiangsu Province Cultivation~base for State Key Laboratory of Photovoltaic Science and Technology; [BE2022610]</t>
  </si>
  <si>
    <t>Special fund for Science and technology innovation of Jiangsu Province; Jiangsu Provincial 333 High-level Talent Training Project; Natural Science Foundation of Jiangxi Province(Natural Science Foundation of Jiangxi Province); Department of Education Foundation of Jiangxi Province; Jiangsu Province Cultivation~base for State Key Laboratory of Photovoltaic Science and Technology;</t>
  </si>
  <si>
    <t>This work was supported by the Special fund for Science and technology innovation of Jiangsu Province (BE2022610) , Jiangsu Provincial 333 High-level Talent Training Project, Jiangsu Province Cultivation&amp; nbsp;base for State Key Laboratory of Photovoltaic Science and Technology. The Natural Science Foundation of Jiangxi Province (20224BAB214031) , Department of Education Foundation of Jiangxi Province (No. GJJ2201652) .</t>
  </si>
  <si>
    <t>10.1016/j.colsurfa.2023.131839</t>
  </si>
  <si>
    <t>Q0ZC7</t>
  </si>
  <si>
    <t>WOS:001054876300001</t>
  </si>
  <si>
    <t>Ding, L; Li, ZN; Liu, RY; Li, YF; Yang, GD; Kang, ZH; Yang, B; Deng, MX; Sun, HZ</t>
  </si>
  <si>
    <t>Ding, Lei; Li, Ze-Nan; Liu, Ru-Yi; Li, Yan-Fei; Yang, Guo-Duo; Kang, Zhen-Hui; Yang, Bai; Deng, Ming-Xiao; Sun, Hai-Zhu</t>
  </si>
  <si>
    <t>Fabrication of electron's path based on carbonized polymer dots to accelerate photocatalytic hydrogen production kinetic for carbon nitride</t>
  </si>
  <si>
    <t>Carbonized polymer dots; Photocatalysis; Carbon nitrides; Volmer-Heyrovsky mechanism; Molybdenum phosphide</t>
  </si>
  <si>
    <t>EFFICIENT; CATALYST; NANOSHEETS</t>
  </si>
  <si>
    <t>Constructing efficient path for electron mobility is significant for increasing carrier separation and transport ability but a great challenge. Herein, a unique shell based on carbonized polymer dots (CPDs) is fabricated to serve as electron's path for charge transfer from carbon nitrides (CN) to metal-based cocatalysts. This CPDs shell homogenously fixes each CPD on the catalyst surface through metal-N bonding, and possesses strong electron extraction ability by masterly controlling the pyridinic N structure. As a result, the obtained CN/MoP@CPDs-200 achieves an outstanding apparent quantum efficiency (9.4% at 450 nm), which is superior to CN/3 wt% Pt. Importantly, in-depth transient photo-induced voltage studies confirm the excellent charge extraction ability of CPDs shell, and thorough apparent kinetic analysis reveals that the photocatalytic hydrogen production process undergoes a Volmer-Heyrovsky mechanism that demonstrates the reduction reaction between photogenerated charges and water (H*+H2O+e-&amp; RARR;H2 &amp; UARR;+OH-), which is a critical missing investigation in photocatalytic studies for CPDs.</t>
  </si>
  <si>
    <t>[Ding, Lei; Liu, Ru-Yi; Li, Yan-Fei; Yang, Guo-Duo; Deng, Ming-Xiao; Sun, Hai-Zhu] Northeast Normal Univ, Coll Chem, Natl &amp; Local United Engn Lab Power Batteries, Changchun 130024, Peoples R China; [Li, Ze-Nan; Kang, Zhen-Hui] Soochow Univ, Inst Funct Nano &amp; Soft Mat FUNSOM, Jiangsu Key Lab Carbon Based Funct Mat &amp; Devices, Suzhou 215123, Peoples R China; [Yang, Bai] Jilin Univ, Coll Chem, State Key Lab Supramol Struct &amp; Mat, Changchun 130012, Peoples R China; [Kang, Zhen-Hui] Macau Univ Sci &amp; Technol, Macao Inst Mat Sci &amp; Engn MIMSE, Taipa 999078, Macao, Peoples R China</t>
  </si>
  <si>
    <t>Northeast Normal University - China; Soochow University - China; Jilin University; Macau University of Science &amp; Technology</t>
  </si>
  <si>
    <t>Deng, MX; Sun, HZ (corresponding author), Northeast Normal Univ, Coll Chem, Natl &amp; Local United Engn Lab Power Batteries, Changchun 130024, Peoples R China.;Kang, ZH (corresponding author), Soochow Univ, Inst Funct Nano &amp; Soft Mat FUNSOM, Jiangsu Key Lab Carbon Based Funct Mat &amp; Devices, Suzhou 215123, Peoples R China.;Yang, B (corresponding author), Jilin Univ, Coll Chem, State Key Lab Supramol Struct &amp; Mat, Changchun 130012, Peoples R China.</t>
  </si>
  <si>
    <t>zhkang@suda.edu.cn; byangchem@jlu.edu.cn; dengmx330@nenu.edu.cn; sunhz335@nenu.edu.cn</t>
  </si>
  <si>
    <t>National Natural Science Foundation of China [22035001, CGZH202203]; Jilin Provincial Education Department and Science and Technology Achievements Transformation Fund Project of Northeast Normal University; [22275030]</t>
  </si>
  <si>
    <t>National Natural Science Foundation of China(National Natural Science Foundation of China (NSFC)); Jilin Provincial Education Department and Science and Technology Achievements Transformation Fund Project of Northeast Normal University;</t>
  </si>
  <si>
    <t>This work was supported by the National Natural Science Foundation of China (22275030 and 22035001) , Jilin Provincial Education Department and Science and Technology Achievements Transformation Fund Project of Northeast Normal University (CGZH202203) .</t>
  </si>
  <si>
    <t>10.1016/j.apcatb.2023.122806</t>
  </si>
  <si>
    <t>P8PO0</t>
  </si>
  <si>
    <t>WOS:001053237100001</t>
  </si>
  <si>
    <t>Fan, H; Bai, QQ; Yang, Y; Shi, XF; Du, GQ; Yan, JQ; Shi, J; Wang, DM</t>
  </si>
  <si>
    <t>Fan, Hua; Bai, Qianqian; Yang, Yang; Shi, Xiaofei; Du, Ganqin; Yan, Junqiang; Shi, Jian; Wang, Dongmei</t>
  </si>
  <si>
    <t>The key roles of reactive oxygen species in microglial inflammatory activation: Regulation by endogenous antioxidant system and exogenous sulfur-containing compounds</t>
  </si>
  <si>
    <t>EUROPEAN JOURNAL OF PHARMACOLOGY</t>
  </si>
  <si>
    <t>Natural sulfur -containing compounds; Endogenous antioxidant system; Microglia</t>
  </si>
  <si>
    <t>METHIONINE-SULFOXIDE-REDUCTASE; ALPHA-LIPOIC ACID; HYDROGEN-SULFIDE PROTECTS; NITRIC-OXIDE SYNTHASE; OXIDATIVE STRESS; NLRP3 INFLAMMASOME; DIALLYL SULFIDE; S-SULFHYDRATION; BV2 MICROGLIA; KAPPA-B</t>
  </si>
  <si>
    <t>Aberrant innate immunity in the brain has been implicated in the pathogenesis of several central nervous system (CNS) disorders, including Alzheimer's disease, Huntington's disease, Parkinson's disease, stroke, amyotrophic lateral sclerosis, and depression. Except for extraparenchymal CNS-associated macrophages, which predominantly afford protection against peripheral invading pathogens, it has been reported that microglia, a population of macrophage-like cells governing CNS immune defense in nearly all neurological diseases, are the main CNS resident immune cells. Although microglia have been recognized as the most important source of reactive oxygen species (ROS) in the CNS, ROS also may underlie microglial functions, especially M1 polarization, by modulating redox-sensitive signaling pathways. Recently, endogenous antioxidant systems, including glutathione, hydrogen sulfide, superoxide dismutase, and methionine sulfoxide reductase A, were found to be involved in regulating microglia-mediated neuroinflammation. A series of natural sulfur-containing compounds, including S-adenosyl methionine, S-methyl-L-cysteine, sulforaphane, DMS, and S-alk(enyl)-l-cysteine sulfoxide, modulating endogenous antioxidant systems have been discovered. We have summarized the current knowledge on the involvement of endogenous antioxidant systems in regulating microglial inflammatory activation and the effects of sulfurcontaining compounds on endogenous antioxidant systems. Finally, we discuss the possibilities associated with compounds targeting the endogenous antioxidant system to treat neuroinflammation-associated diseases.</t>
  </si>
  <si>
    <t>[Fan, Hua; Bai, Qianqian; Yang, Yang] Henan Univ Sci &amp; Technol, Affiliated Hosp 1, Off Res &amp; Innovat, Coll Clin Med, Luoyang 471003, Peoples R China; [Shi, Xiaofei] Henan Univ Sci &amp; Technol, Affiliated Hosp 1, Dept Rheumatol &amp; Immunol, Coll Clin Med, Luoyang 471003, Peoples R China; [Du, Ganqin; Yan, Junqiang; Shi, Jian] Henan Univ Sci &amp; Technol, Affiliated Hosp 1, Dept Neurol, Coll Clin Med, Luoyang 471003, Peoples R China; [Wang, Dongmei] Henan Univ Sci &amp; Technol, Sch Basic Med Sci, Luoyang 471003, Peoples R China</t>
  </si>
  <si>
    <t>Henan University of Science &amp; Technology; Henan University of Science &amp; Technology; Henan University of Science &amp; Technology; Henan University of Science &amp; Technology</t>
  </si>
  <si>
    <t>Fan, H (corresponding author), Henan Univ Sci &amp; Technol, Affiliated Hosp 1, Off Res &amp; Innovat, Coll Clin Med, Luoyang 471003, Peoples R China.;Wang, DM (corresponding author), Henan Univ Sci &amp; Technol, Sch Basic Med Sci, Luoyang 471003, Peoples R China.</t>
  </si>
  <si>
    <t>fanhua19851229@haust.edu.cn; wdmzgadyx@163.com</t>
  </si>
  <si>
    <t>National Nature Science Foundation of China [81801201, 212102311042]; Henan Provincial Key Ramp;D and Promotion Project; [U1504808]</t>
  </si>
  <si>
    <t>National Nature Science Foundation of China(National Natural Science Foundation of China (NSFC)); Henan Provincial Key Ramp;D and Promotion Project;</t>
  </si>
  <si>
    <t>This work was supported by the National Nature Science Foundation of China (Grant nos. U1504808 and 81801201) , and Henan Provincial Key R &amp; D and Promotion Project (Grant no. 212102311042) .</t>
  </si>
  <si>
    <t>0014-2999</t>
  </si>
  <si>
    <t>1879-0712</t>
  </si>
  <si>
    <t>EUR J PHARMACOL</t>
  </si>
  <si>
    <t>Eur. J. Pharmacol.</t>
  </si>
  <si>
    <t>10.1016/j.ejphar.2023.175966</t>
  </si>
  <si>
    <t>Q7FC8</t>
  </si>
  <si>
    <t>WOS:001059133900001</t>
  </si>
  <si>
    <t>Ghafouri, M; Pourjafar, F; Nejad, ZG; Yaghmaei, S</t>
  </si>
  <si>
    <t>Ghafouri, Mahsa; Pourjafar, Fatemeh; Nejad, Zahra Ghobadi; Yaghmaei, Soheila</t>
  </si>
  <si>
    <t>Biological treatment of triclosan using a novel strain of Enterobacter cloacae and introducing naphthalene dioxygenase as an effective enzyme</t>
  </si>
  <si>
    <t>Biodegradation; Biosurfactant; Naphthalene dioxygenase; Response surface methodology; Phytotoxicity</t>
  </si>
  <si>
    <t>WASTE-WATER; ACTIVATED-SLUDGE; PSEUDOMONAS-AERUGINOSA; ANTIBIOTIC-RESISTANCE; ORGANIC-COMPOUNDS; DIPHENYL ETHER; BIODEGRADATION; DEGRADATION; SUSCEPTIBILITY; TRICLOCARBAN</t>
  </si>
  <si>
    <t>In recent years, triclosan (TCS) has been widely used as an antibacterial agent in personal care products due to the spread of the Coronavirus. TSC is an emerging contaminant, and due to its stability and toxicity, it cannot be completely degraded through traditional wastewater treatment methods. In this study, a novel strain of Enterobacter cloacae was isolated and identified that can grow in high TCS concentrations. Also, we introduced naphthalene dioxygenase as an effective enzyme in TCS biodegradation, and its role during the removal process was investigated along with the laccase enzyme. The change of cell surface hydrophobicity during TCS removal revealed that a glycolipid biosurfactant called rhamnolipid was involved in TCS removal, leading to enhanced biodegradation of TCS. The independent variables, such as initial TCS concentration, pH, removal duration, and temperature, were optimized using the response surface method (RSM). As a result, the maximum TCS removal (97%) was detected at a pH value of 7 and a temperature of 32 degrees C after 9 days and 12 h of treatment. Gas chromatography-mass spectrometry (GC/MS) analysis showed five intermediate products and a newly proposed pathway for TCS degradation. Finally, the phytotoxicity experiment conducted on Cucumis sativus and Lens culinaris seeds demonstrated an increase in germination power and growth of stems and roots in comparison to untreated water. These results indicate that the final treated water was less toxic.</t>
  </si>
  <si>
    <t>[Ghafouri, Mahsa; Pourjafar, Fatemeh; Yaghmaei, Soheila] Sharif Univ Technol, Dept Chem &amp; Petr Engn, Tehran, Iran; [Nejad, Zahra Ghobadi; Yaghmaei, Soheila] Sharif Univ Technol, Biochem &amp; Bioenvironm Res Ctr, Azadi Ave, PO Box 11155-1399, Tehran, Iran; [Yaghmaei, Soheila] Sharif Univ Technol, Chem &amp; Petr Engn Dept, Azadi Ave, PO Box 11155-1399, Tehran, Iran</t>
  </si>
  <si>
    <t>Sharif University of Technology; Sharif University of Technology; Sharif University of Technology</t>
  </si>
  <si>
    <t>Yaghmaei, S (corresponding author), Sharif Univ Technol, Chem &amp; Petr Engn Dept, Azadi Ave, PO Box 11155-1399, Tehran, Iran.</t>
  </si>
  <si>
    <t>yaghmaei@sharif.edu</t>
  </si>
  <si>
    <t>Pourjafar, Fatemeh/0009-0000-8451-7805; Yaghmaei, Soheila/0000-0003-4660-2149</t>
  </si>
  <si>
    <t>10.1016/j.jhazmat.2023.131833</t>
  </si>
  <si>
    <t>P3RZ4</t>
  </si>
  <si>
    <t>WOS:001049862500001</t>
  </si>
  <si>
    <t>Hua, XF; Wei, XD</t>
  </si>
  <si>
    <t>Hua, Xiaofen; Wei, Xiduan</t>
  </si>
  <si>
    <t>Liver X receptors: From pharmacology to nanoparticle-based drug delivery</t>
  </si>
  <si>
    <t>Liver X receptors; Biologics; Pharmacology; Drug delivery; Nanoparticles</t>
  </si>
  <si>
    <t>REVERSE CHOLESTEROL TRANSPORT; LXR-ALPHA; TARGETED DELIVERY; NUCLEAR RECEPTOR; CRYSTAL-STRUCTURE; LIPID-METABOLISM; GOLD NANOCAGES; MICE LACKING; AGONIST; ACTIVATION</t>
  </si>
  <si>
    <t>Liver X receptors (LXRs) are master regulators of various biological processes, including metabolism, inflammation, development, and reproduction. As well-known nuclear oxysterol receptors of the nuclear receptor (NR) family, LXRs have two homologous subtypes, LXR &amp; alpha; (NR1H3) and LXR &amp; beta; (NR1H2). Since the mid-1990s, numerous LXR-targeted drugs have been designed to treat diseases such as atherosclerosis, systemic lupus erythematosus, and cancer. These modulators include agonists and antagonists, and the selectivity of them have been development from diverse aspects, including subtype-specific, cell-specific, tissue-specific types. Meanwhile, advanced delivery systems are also exploreed to facilitate the application of LXR drugs in clinical setting. One of the most promising delivery systems involves the use of nanoparticles and is expected to increase the clinical potential of LXR modulators. This review discusses our current understanding of LXR biology and pharmacology, focusing on the development of modulators for LXR &amp; alpha; and/or LXR &amp; beta;, and the nanoparticle-based delivery systems for promising LXR modulators with potential for use as drugs.</t>
  </si>
  <si>
    <t>[Hua, Xiaofen] Kings Coll London, Fac Life Sci &amp; Med, Dept Canc &amp; Pharmaceut Sci, James Clerk Maxwell Bldg,57 Waterloo Rd, London SE1 8WA, England; [Wei, Xiduan] Wenzhou Med Univ, Sch Basic Med Sci, Wenzhou 325035, Peoples R China</t>
  </si>
  <si>
    <t>University of London; King's College London; Wenzhou Medical University</t>
  </si>
  <si>
    <t>Wei, XD (corresponding author), Wenzhou Med Univ, Sch Basic Med Sci, Wenzhou 325035, Peoples R China.</t>
  </si>
  <si>
    <t>weixiduan@126.com</t>
  </si>
  <si>
    <t>10.1016/j.ejphar.2023.175953</t>
  </si>
  <si>
    <t>Q7DX9</t>
  </si>
  <si>
    <t>WOS:001059102900001</t>
  </si>
  <si>
    <t>Huang, LX; Ma, Y; Niu, MF; Ren, SY; Guo, QX; Xu, CM; Shen, BJ</t>
  </si>
  <si>
    <t>Huang, Lingxiang; Ma, Yue; Niu, Mufan; Ren, Shenyong; Guo, Qiaoxia; Xu, Chunming; Shen, Baojian</t>
  </si>
  <si>
    <t>Formation of H2O in the CH4-CO2 dry reforming process and its activation to this reaction over Ni-Fe/MC12A7 catalysts</t>
  </si>
  <si>
    <t>CO2 adsorption; H2O formation and inducing effect; Isotope 13CH4 tracing; Remove carbon deposition</t>
  </si>
  <si>
    <t>HYDROGEN-PRODUCTION; CARBON DEPOSITION; PARTIAL OXIDATION; SYNGAS PRODUCTION; OXYGEN CARRIER; METHANE; PERFORMANCE; NANOPARTICLES; STABILITY; SORBENT</t>
  </si>
  <si>
    <t>Dry reforming reaction of greenhouse gas CH4 and CO2 was studied over Ni-Fe bimetallic catalyst, in which the composite support of C12A7-O2-in MCM-41 was used. The isotope 13CH4/D2O tracing experiment showed CO mainly comes from 13CHx oxidation reaction and DH comes from CHx and D2O reaction, exhibiting lattice ox-ygen promotes CHX oxidation and water accelerate methane conversion. XPS and TPSR-MS studies exhibited the existence of lattice oxygen in catalysts produces a little H2O to facilitate a lower starting point at the reaction temperature. On-line MS investigation found that the trace water addition in the system accelerated the adsorption of CO2 on support and promoted methane dissociation, the H2 signal appears later than CO, indicating the oxidation reaction of CHx occurs after the dissociation of CO2. Besides, TG analysis tells us the H2O may consume C &amp; alpha; on the catalyst in time during the reaction process to remove carbon deposition.</t>
  </si>
  <si>
    <t>[Huang, Lingxiang; Ma, Yue; Niu, Mufan; Ren, Shenyong; Xu, Chunming; Shen, Baojian] China Univ Petr, Coll Chem Engn &amp; Environm, 18 Fuxue Rd, Beijing 102249, Peoples R China; [Huang, Lingxiang; Ma, Yue; Niu, Mufan; Ren, Shenyong; Xu, Chunming; Shen, Baojian] CNPC, Key Lab Catalysis, Beijing 102249, Peoples R China; [Huang, Lingxiang; Ma, Yue; Niu, Mufan; Ren, Shenyong; Xu, Chunming; Shen, Baojian] China Univ Petr, State Key Lab Heavy Oil Proc, 18 Fuxue Rd, Beijing 102249, Peoples R China; [Guo, Qiaoxia] China Univ Petr, Coll Sci, 18 Fuxue Rd, Beijing 102249, Peoples R China</t>
  </si>
  <si>
    <t>China University of Petroleum; China National Petroleum Corporation; China University of Petroleum; China University of Petroleum</t>
  </si>
  <si>
    <t>Shen, BJ (corresponding author), China Univ Petr, Coll Chem Engn &amp; Environm, 18 Fuxue Rd, Beijing 102249, Peoples R China.</t>
  </si>
  <si>
    <t>baojian@cup.edu.cn</t>
  </si>
  <si>
    <t>Foundation for the Innovative Research Groups of the National Natural Science Foundation of China; [22021004]</t>
  </si>
  <si>
    <t>Foundation for the Innovative Research Groups of the National Natural Science Foundation of China(National Natural Science Foundation of China (NSFC));</t>
  </si>
  <si>
    <t>The authors acknowledge the financial support provided for this project by the Foundation for the Innovative Research Groups of the National Natural Science Foundation of China (22021004) .</t>
  </si>
  <si>
    <t>10.1016/j.apcatb.2023.122822</t>
  </si>
  <si>
    <t>Q0PQ3</t>
  </si>
  <si>
    <t>WOS:001054624600001</t>
  </si>
  <si>
    <t>Li, XW; Zang, L; Zhao, HQ; Qi, FH; Lau, C; Lu, JZ</t>
  </si>
  <si>
    <t>Li, Xuewei; Zang, Liu; Zhao, Hanqing; Qi, Fenghui; Lau, Choiwan; Lu, Jianzhong</t>
  </si>
  <si>
    <t>Modulation of Near-Infrared Mitochondria-Targetable fluorescent probe for H2S bioimaging through the modification of heavy atom iodine</t>
  </si>
  <si>
    <t>Mitochondria-targeting; Near-infrared fluorescence probes; Heavy atom iodine; H2S</t>
  </si>
  <si>
    <t>HYDROGEN-SULFIDE; LIVING CELLS; SELECTIVE DETECTION; CANCER-CELLS; DESIGN; CHROMATOGRAPHY; POLYSULFIDES; SEPARATION; EFFICIENCY</t>
  </si>
  <si>
    <t>H2S is correlated with mitochondrial dysfunction, which results in the death of cells. Two near-infrared fluo-rescent probes, Mito-HS-1 and Mito-HS-2 , were designed for mitochondrial H2S imaging. Initially, the synthesis protocol of expensive IR-780-based hemicyanine (HXPI) was optimized with an appreciate yield of 80 % as compared with 14-56 % previously reported. Iodine atom was introduced to HXPI to obtain iodine-HXPI whose Stokes shift was increased to be 90 nm. On account of the rapid and fast nucleophilic attack of H2S, HXPI-based Mito-HS-1 could be applied for the real time imaging of mitochondrial H2S. Besides some similar optical properties with Mito-HS-1 , iodine-HXPI-based Mito-HS-2 exhibited wider linear range (3-150 &amp; mu;M), more stable fluorescent imaging and more favorable specificity in vitro. Both Mito-HS-1 and Mito-HS-2 could be used to image exogenous H2S in cells, with Mito-HS-2 showing fairly better signal-to-noise. Additionally, the Pearson correlation coefficient of two probes demonstrated that they could successfully monitor mitochondrial H2S in A549 cells and Hela cells.</t>
  </si>
  <si>
    <t>[Li, Xuewei; Zang, Liu; Zhao, Hanqing; Qi, Fenghui; Lau, Choiwan; Lu, Jianzhong] Fudan Univ, Sch Pharm, 826 Zhangheng Rd, Shanghai 201203, Peoples R China</t>
  </si>
  <si>
    <t>Lu, JZ (corresponding author), Fudan Univ, Sch Pharm, 826 Zhangheng Rd, Shanghai 201203, Peoples R China.</t>
  </si>
  <si>
    <t>jzlu@shmu.edu.cn</t>
  </si>
  <si>
    <t>Zhao, Hanqing/0000-0002-1037-4829</t>
  </si>
  <si>
    <t>National Natural Science Foundation of China; [21675030]</t>
  </si>
  <si>
    <t>This work was supported by the National Natural Science Foundation of China (21675030) .</t>
  </si>
  <si>
    <t>10.1016/j.saa.2023.122767</t>
  </si>
  <si>
    <t>Q1DQ6</t>
  </si>
  <si>
    <t>WOS:001054995400001</t>
  </si>
  <si>
    <t>Liu, MJ; Yu, XW; Yang, MY; Shu, WXZ; Cao, FR; Liu, Q; Wang, J; Jiang, Y</t>
  </si>
  <si>
    <t>Liu, Mingjian; Yu, Xiaowen; Yang, Mengyao; Shu, Wangxinze; Cao, Furong; Liu, Qian; Wang, Jun; Jiang, Yong</t>
  </si>
  <si>
    <t>The co-presence of polystyrene nanoplastics and ofloxacin demonstrates combined effects on the structure, assembly, and metabolic activities of marine microbial community</t>
  </si>
  <si>
    <t>Combined impacts; Co-occurrence network; Fluoroquinolone antibiotics; Microcosm experiment; Nano-sized plastics</t>
  </si>
  <si>
    <t>THERMAL-DEGRADATION; WASTE POLYSTYRENE; MICROPLASTICS; ACID; BIOACCUMULATION; ENVIRONMENT; RESISTANCE; DIVERSITY; EVOLUTION; TOXICITY</t>
  </si>
  <si>
    <t>Nanoplastic is increasing in environments and can address toxic effects on various organisms. Particle size, concentration, and surface functionalization most influence nanoplastic toxicity. Besides, nanoplastic can adsorb other contaminants (e.g., antibiotics) to aggravate its adverse effects. The combined effects of nanoplastics and antibiotics on planktonic/benthic microbial communities, however, are still largely unknown. In this study, the combined effects of polystyrene nanoplastic and ofloxacin on the structure, assembly, and metabolic activities of marine microbial communities were investigated based on amplicon sequencing data. The results mainly demonstrate that: (1) nanoplastic and ofloxacin have greater impacts on prokaryotic communities than eukaryotic ones; (2) niche breadths of planktonic prokaryotes and benthic eukaryotes were shrank with both high nanoplastic and ofloxacin concentrations; (3) increased ofloxacin mainly reduces nodes/edges of co -occurrence networks, while nanoplastic centralizes network modularity; (4) increased nanoplastic under high ofloxacin concentration induces more differential prokaryotic pathways in planktonic communities, while benthic communities are less influenced. The present work indicates that co-presence of nanoplastics and ofloxacin has synergistic combined effects on community structure shifts, niche breadth shrinking, network simplifying, and differential prokaryotic pathways inducing in marine microbial communities, suggesting nanoplastics and its combined impacts with other pollutions should be paid with more concerns.</t>
  </si>
  <si>
    <t>[Liu, Mingjian; Yu, Xiaowen; Yang, Mengyao; Shu, Wangxinze; Cao, Furong; Wang, Jun; Jiang, Yong] Ocean Univ China, Inst Evolut &amp; Marine Biodivers, MoE Lab Evolut &amp; Marine Biodivers, Qingdao 266003, Peoples R China; [Liu, Mingjian; Yu, Xiaowen; Yang, Mengyao; Shu, Wangxinze; Cao, Furong; Wang, Jun; Jiang, Yong] Ocean Univ China, Coll Marine Life Sci, Qingdao 266003, Peoples R China; [Liu, Qian] Ocean Univ China, Frontiers Sci Ctr Deep Ocean Multispheres &amp; Earth, MoE Lab Marine Chem Theory &amp; Technol, Qingdao 266101, Peoples R China; [Liu, Qian] Ocean Univ China, Coll Chem &amp; Chem Engn, 238 Songling Rd, Qingdao 266101, Peoples R China</t>
  </si>
  <si>
    <t>Ocean University of China; Ocean University of China; Ocean University of China; Ocean University of China</t>
  </si>
  <si>
    <t>Wang, J; Jiang, Y (corresponding author), Ocean Univ China, Inst Evolut &amp; Marine Biodivers, MoE Lab Evolut &amp; Marine Biodivers, Qingdao 266003, Peoples R China.;Wang, J; Jiang, Y (corresponding author), Ocean Univ China, Coll Marine Life Sci, Qingdao 266003, Peoples R China.;Liu, Q (corresponding author), Ocean Univ China, Coll Chem &amp; Chem Engn, 238 Songling Rd, Qingdao 266101, Peoples R China.</t>
  </si>
  <si>
    <t>liuqian8341@ouc.edu.cn; wangjun@ouc.edu.cn; yongjiang@ouc.edu.cn</t>
  </si>
  <si>
    <t>Jiang, Yong/0000-0001-6055-488X</t>
  </si>
  <si>
    <t>Laoshan Laboratory [LSKJ202203205]; National Natural Science Foundation of China (NFSC) [42276156, 42206147, 32100404]; Natural Science Foundation of Shandong Province of China [ZR2021QC045]; Postdoctoral Innovation Program of Shandong Province</t>
  </si>
  <si>
    <t>Laoshan Laboratory; National Natural Science Foundation of China (NFSC)(National Natural Science Foundation of China (NSFC)); Natural Science Foundation of Shandong Province of China(Natural Science Foundation of Shandong Province); Postdoctoral Innovation Program of Shandong Province</t>
  </si>
  <si>
    <t>This work was supported by Laoshan Laboratory (LSKJ202203205); the National Natural Science Foundation of China (NFSC) (Nos. 42276156, 42206147, 32100404); the Natural Science Foundation of Shandong Province of China (No. ZR2021QC045); and the Postdoctoral Innovation Program of Shandong Province. We appreciate access to the computing resources provided by IEMB-1, a high-performance computation cluster operated by the Institute of Evolution and Marine Biodiversity. Finally, we greatly appreciate the editor and anonymous reviewers for constructive comments and feedback.</t>
  </si>
  <si>
    <t>10.1016/j.jhazmat.2023.132315</t>
  </si>
  <si>
    <t>R5WY4</t>
  </si>
  <si>
    <t>WOS:001065067200001</t>
  </si>
  <si>
    <t>Meng, X; Huang, XB; Lv, KH; Li, H; Wang, ZY; Wang, ZL; Dong, XD; Sun, JS; Yang, Z</t>
  </si>
  <si>
    <t>Meng, Xu; Huang, Xianbin; Lv, Kaihe; Li, He; Wang, Zhongyi; Wang, Zonglun; Dong, Xiaodong; Sun, Jinsheng; Yang, Zheng</t>
  </si>
  <si>
    <t>Core-shell structured polystyrene microspheres for improving plugging performance of oil-based drilling fluids</t>
  </si>
  <si>
    <t>Oil-based drilling fluid; Wellbore stability; Plugging agent; Core-shell structure</t>
  </si>
  <si>
    <t>WELLBORE INSTABILITY; COPOLYMER; MONTMORILLONITE; MICROSTRUCTURE; NANOPARTICLES; ACRYLAMIDE; MECHANISM; SURFACE; AGENT</t>
  </si>
  <si>
    <t>To avoid damage to wellbore stability in shale formations from drilling fluid intrusion and pressure transmission, it is important to develop a plugging material that can effectively plug micropores and fractures in shale for-mations. In this paper, polystyrene microspheres (CPM) with core-shell structure were synthesized by seed emulsion polymerization, and characterized by infrared spectroscopy (FTIR), thermogravimetric analysis (TGA), particle size analysis, TEM observation and contact angle test. The effects of CPM on emulsion stability and emulsion rheological performance were evaluated by electrical stability tests and rheological performance tests, respectively. The plugging performance was evaluated using filter materials with different pore sizes as filter media. The experimental results showed that CPM had good thermal stability with a thermal decomposition temperature up to 374.3 degrees C. CPM had a core-shell structure with a median value (D50) of 229 nm and a three-phase contact angle of 116.2 degrees. The synergistic effect of CPM and organoclay can significantly improve the stability of emulsions and viscosity at low shear rates. For different pore sizes of filter media, CPM achieved effective plugging of micropores, reducing fluid loss volume to less than 6 mL for different pore sizes of micropore filter membranes and 29.6% for ceramic sand discs. In this paper, a preparation method of plugging material with good plugging performance was given, which provided technical support for the development of plugging agents for Oil-based drilling fluids (OBDFs).</t>
  </si>
  <si>
    <t>[Meng, Xu; Huang, Xianbin; Lv, Kaihe; Li, He; Wang, Zhongyi; Wang, Zonglun; Dong, Xiaodong; Sun, Jinsheng] China Univ Petr East China, Key Lab Unconvent Oil &amp; Gas Dev, Minist Educ, Qingdao 266580, Shandong, Peoples R China; [Meng, Xu; Huang, Xianbin; Lv, Kaihe; Li, He; Wang, Zhongyi; Wang, Zonglun; Dong, Xiaodong; Sun, Jinsheng] China Univ Petr East China, Sch Petr Engn, Qingdao 266580, Shandong, Peoples R China; [Yang, Zheng] CNPC Engn Technol R&amp;D Co Ltd, Beijing 102200, Peoples R China</t>
  </si>
  <si>
    <t>China University of Petroleum; China University of Petroleum</t>
  </si>
  <si>
    <t>Huang, XB (corresponding author), China Univ Petr East China, Key Lab Unconvent Oil &amp; Gas Dev, Minist Educ, Qingdao 266580, Shandong, Peoples R China.</t>
  </si>
  <si>
    <t>20170092@upc.edu.cn</t>
  </si>
  <si>
    <t>National Natural Science Foundation of China [2020ZLYS07]; Key Research and Development Program of Shandong Province; [52288101]</t>
  </si>
  <si>
    <t>National Natural Science Foundation of China(National Natural Science Foundation of China (NSFC)); Key Research and Development Program of Shandong Province;</t>
  </si>
  <si>
    <t>The authors are thankful to the National Natural Science Foundation of China (52288101) , Key Research and Development Program of Shandong Province (No.2020ZLYS07) .</t>
  </si>
  <si>
    <t>10.1016/j.colsurfa.2023.131841</t>
  </si>
  <si>
    <t>Q0GK5</t>
  </si>
  <si>
    <t>WOS:001054377200001</t>
  </si>
  <si>
    <t>Tang, Z; Kong, YF; Qin, Y; Chen, XQ; Liu, M; Shen, L; Kang, YM; Gao, P</t>
  </si>
  <si>
    <t>Tang, Zheng; Kong, Yifan; Qin, Yan; Chen, Xiaoqian; Liu, Min; Shen, Lu; Kang, Yanming; Gao, Pin</t>
  </si>
  <si>
    <t>Performance and degradation pathway of florfenicol antibiotic by nitrogen-doped biochar supported zero-valent iron and zero-valent copper: A combined experimental and DFT study</t>
  </si>
  <si>
    <t>Defluorination; Dechlorination; Fe/Cu@NBC; beta elimination; Density functional theory</t>
  </si>
  <si>
    <t>WASTE-WATER; REDUCTIVE DECHLORINATION; ORGANIC-COMPOUNDS; ENHANCED REMOVAL; DEHALOGENATION; THIAMPHENICOL; REACTIVITY; KINETICS; NANOPARTICLES; ELIMINATION</t>
  </si>
  <si>
    <t>Fluorinated compounds are a class of organic substances resistant to degradation. Although zero-valent iron (Fe-0) has a promising reducing capability, it still fails to degrade fluorine-containing antibiotics (i.e., florfenicol) efficiently. In this study, we applied a simple one-pot pyrolytic approach to synthesize nitrogen-doped biochar supported Fe-0 and zero-valent copper (Cu-0) composite (Fe/Cu@NBC) and investigated its performance on florfenicol removal. The results clearly showed that approximately 91.4% of florfenicol in the deionized water was removed by Fe/Cu@NBC within 8 h. As the reaction time was extended to 15 d, the total degradation rate of florfenicol reached 96.6%, in which the defluorination and dechlorination rates were 73.2% and 82.1%, respectively. Both experimental results and density functional theory calculation suggested that circle OH and center dot O-2(-) triggered ss-fluorine elimination, resulting in defluorination prior to dechlorination. This new finding was distinct</t>
  </si>
  <si>
    <t>[Tang, Zheng; Kong, Yifan; Qin, Yan; Kang, Yanming; Gao, Pin] Donghua Univ, Coll Environm Sci &amp; Engn, Shanghai 201620, Peoples R China; [Chen, Xiaoqian; Liu, Min; Shen, Lu] Shanghai Acad Publ Measurement, Bioassay &amp; Safety Assessment Lab, Shanghai 201203, Peoples R China; [Gao, Pin] Suzhou Univ Sci &amp; Technol, Natl &amp; Local Joint Engn Lab Municipal Sewage Resou, Suzhou 215009, Peoples R China; [Gao, Pin] Guangdong Acad Sci, Inst Ecoenvironm &amp; Soil Sci, Natl Reg Joint Engn Res Ctr Soil Pollut Control &amp;, Guangdong Key Lab Integrated Agroenvironm Pollut C, Guangzhou 510650, Peoples R China; [Gao, Pin] 2999 North Renmin Rd, Shanghai 201620, Peoples R China</t>
  </si>
  <si>
    <t>Donghua University; Suzhou University of Science &amp; Technology; Guangdong Academy of Sciences; Institute of Eco-environmental &amp; Soil Sciences, Guangdong Academy of Sciences</t>
  </si>
  <si>
    <t>Gao, P (corresponding author), 2999 North Renmin Rd, Shanghai 201620, Peoples R China.</t>
  </si>
  <si>
    <t>pingao@dhu.edu.cn</t>
  </si>
  <si>
    <t>GAO, PIN/D-9316-2015</t>
  </si>
  <si>
    <t>GAO, PIN/0000-0001-8762-5844</t>
  </si>
  <si>
    <t>National Natural Science Foundation of China [51978136]; Fundamental Research Funds for the Central Universities [2232022A-10]; National amp; Local Joint Engineering Laboratory for Municipal Sewage Resource Utiliza-tion; Suzhou University of Science and Technology [2021KF04]; GDAS' Project of Science and Technology Development [2020GDASYL-20200102014]; Guangxi Innovation Drive Development Fund [AA17204076]</t>
  </si>
  <si>
    <t>National Natural Science Foundation of China(National Natural Science Foundation of China (NSFC)); Fundamental Research Funds for the Central Universities(Fundamental Research Funds for the Central Universities); National amp; Local Joint Engineering Laboratory for Municipal Sewage Resource Utiliza-tion; Suzhou University of Science and Technology; GDAS' Project of Science and Technology Development; Guangxi Innovation Drive Development Fund</t>
  </si>
  <si>
    <t>The study was financially supported by the National Natural Science Foundation of China (No. 51978136) , the Fundamental Research Funds for the Central Universities (No. 2232022A-10) , the National &amp; amp; Local Joint Engineering Laboratory for Municipal Sewage Resource Utilization, Suzhou University of Science and Technology (No. 2021KF04) , the GDAS' Project of Science and Technology Development (No. 2020GDASYL-20200102014) , and the Guangxi Innovation Drive Development Fund (No. AA17204076) .</t>
  </si>
  <si>
    <t>10.1016/j.jhazmat.2023.132172</t>
  </si>
  <si>
    <t>P4WT0</t>
  </si>
  <si>
    <t>WOS:001050688000001</t>
  </si>
  <si>
    <t>Yamamoto, Y; Hayakawa, S; Okita, T; Itakura, M</t>
  </si>
  <si>
    <t>Yamamoto, Y.; Hayakawa, S.; Okita, T.; Itakura, M.</t>
  </si>
  <si>
    <t>Meso-timescale atomistic simulations on coalescence process of He bubbles in Fe by SEAKMC method</t>
  </si>
  <si>
    <t>COMPUTATIONAL MATERIALS SCIENCE</t>
  </si>
  <si>
    <t>Monte Carlo; Diffusion; Vacancies; Nuclear transmutation</t>
  </si>
  <si>
    <t>STACKING-FAULT ENERGIES; SELF-INTERSTITIAL ATOMS; EDGE DISLOCATION; MICROSTRUCTURAL EVOLUTION; HELIUM BUBBLES; FCC METALS; SYNERGISTIC INFLUENCE; DYNAMICAL BEHAVIOR; CONSERVATIVE CLIMB; DISPLACEMENT RATE</t>
  </si>
  <si>
    <t>He bubbles are characteristic microstructures under fusion reactor conditions. They approach and coalesce through their own migration, which significantly impacts the microstructure and material properties. However, these processes, which involve multiple migrations of metal atoms, cannot be treated by molecular dynamics (MD) due to its timescale limitation. In this study, self-evolving atomistic kinetic Monte Carlo (SEAKMC) was used to expand the timescale and reproduce bubble coalescences in Fe. To enhance selections of events that led to the process by avoiding trivial events with an extremely low activation energy such as tiny vibrations of a He atom or short-range displacements of the Fe atom, we introduced two algorithms into SEAKMC, a two-step saddle point search for the former measure and setting a threshold for a displacement distance of the Fe atom for the latter. Furthermore, by adding another algorithm to set an upper bound for the activation energy to prevent selections of events with an impractically high activation energy, we succeeded to reproduce the change in the configuration from dumbbell to elliptical up to a simulated time of 10-1 s, 8 orders longer than MD timescales. The developed method is effective for analyzing microstructures of metallic materials containing light elements and is the only method that can reach timescales comparable to those of experiments.</t>
  </si>
  <si>
    <t>[Yamamoto, Y.; Okita, T.] Univ Tokyo, 7-3-1 Hongo Bunkyo, Tokyo 1138656, Japan; [Hayakawa, S.] Max Planck Inst Eisenforschung GmbH, Max Planck Str 1, D-40237 Dusseldorf, Germany; [Itakura, M.] Japan Atom Energy Agcy, 178-4-4 Wakashiba, Kashiwa, Chiba 2770871, Japan</t>
  </si>
  <si>
    <t>University of Tokyo; Max Planck Society; Japan Atomic Energy Agency</t>
  </si>
  <si>
    <t>Okita, T (corresponding author), Univ Tokyo, 7-3-1 Hongo Bunkyo, Tokyo 1138656, Japan.</t>
  </si>
  <si>
    <t>okitataira@g.ecc.u-tokyo.ac.jp</t>
  </si>
  <si>
    <t>Okita, Taira/AAZ-4657-2021</t>
  </si>
  <si>
    <t>Chubu Electric Power Co. Inc.; JSPS KAKENHI [20H02662, 23H01893]; NIFS Collaboration Research program [NIFS20KWMF161]</t>
  </si>
  <si>
    <t>Chubu Electric Power Co. Inc.; JSPS KAKENHI(Ministry of Education, Culture, Sports, Science and Technology, Japan (MEXT)Japan Society for the Promotion of ScienceGrants-in-Aid for Scientific Research (KAKENHI)); NIFS Collaboration Research program(National Institutes of Natural Sciences (NINS) - JapanNational Institute for Fusion Science (NIFS) - Japan)</t>
  </si>
  <si>
    <t>This work was supported by Chubu Electric Power Co. Inc., JSPS KAKENHI (Grant Number 20H02662 and 23H01893) , and NIFS Collaboration Research program (Grant Number NIFS20KWMF161) . This study was performed using the supercomputer of the Research and Development Center for Information Infrastructure of Kyushu University and the JFRS-1 supercomputer at the Computational Simulation Centre of the International Fusion Energy Research Centre at the Rokkasho Fusion Institute of QST (Aomori, Japan) . We would like to thank Editage ( www.editage.jp) for their English language editing services.</t>
  </si>
  <si>
    <t>0927-0256</t>
  </si>
  <si>
    <t>1879-0801</t>
  </si>
  <si>
    <t>COMP MATER SCI</t>
  </si>
  <si>
    <t>Comput. Mater. Sci.</t>
  </si>
  <si>
    <t>10.1016/j.commatsci.2023.112389</t>
  </si>
  <si>
    <t>P0PR3</t>
  </si>
  <si>
    <t>WOS:001047751200001</t>
  </si>
  <si>
    <t>Yin, CM; Niu, RG; Wang, H; Li, XY; Zeng, QF; Lan, JF</t>
  </si>
  <si>
    <t>Yin, Cheng-Ming; Niu, Rui-Geng; Wang, Hui; Li, Xian-Yao; Zeng, Qi-Fan; Lan, Jiang-Feng</t>
  </si>
  <si>
    <t>Symbiotic hemolymph bacteria reduce hexavalent chromium to protect the host from chromium toxicity in Procambarus clarkii</t>
  </si>
  <si>
    <t>Hexavalent Chromium; Exiguobacterium; Reductase; ABC-Transporter; Procambarus clarkii</t>
  </si>
  <si>
    <t>SWAMP CRAYFISH; BIOACCUMULATION; MICROBIOTA; REMOVAL; HEALTH; FISH</t>
  </si>
  <si>
    <t>Hexavalent chromium (Cr(VI)) is a cytotoxic heavy metal pollutant that adversely affects all life forms. Inter-estingly, the crustacean Procambarus clarkii exhibits a relatively high tolerance to heavy metals. The underlying mechanisms remain unclear. In this study, we investigated the role of symbiotic bacteria in P. clarkii in allevi-ating Cr(VI)-induced damage and explored their potential mechanisms of action. Through transcriptomic anal-ysis, we observed that Cr(VI) activated P. clarkii's antimicrobial immune responses and altered the bacterial composition in the hemolymph. After antibiotic treatment to reduce bacterial populations, Cr(VI)-induced in-testinal and liver damage worsened, and crayfish exhibited lower levels of GSH/CAT/SOD activity. The Exi-guobacterium, the symbiotic bacteria in the hemolymph of P. clarkii, were proved to be primary contributor to Cr (VI) tolerance. Further investigation suggested that it resists Cr(VI) through the activation of the ABC transporter system and the reduction of Cr(VI) via the reductase gene nfsA. To validate the role of Exiguobacterium in Cr(VI) tolerance, crayfish treated with antibiotics then supplemented with Exiguobacterium H6 and recombinant E. coli (with the nfsA gene), reduced Cr(VI)-induced ovarian damage. Overall, this study revealed that the symbiotic bacteria Exiguobacterium can absorb and reduce hexavalent chromium, mitigating Cr(VI)-induced damage in P. clarkii. These findings provide new insights into hexavalent chromium tolerance mechanisms in crustaceans.</t>
  </si>
  <si>
    <t>[Yin, Cheng-Ming; Niu, Rui-Geng; Wang, Hui; Li, Xian-Yao; Lan, Jiang-Feng] Shandong Agr Univ, Coll Anim Sci &amp; Vet Med, Shandong Prov Key Lab Anim Biotechnol &amp; Dis Contro, Tai An 271018, Peoples R China; [Zeng, Qi-Fan] Ocean Univ China, Sanya Oceanog Inst, Coll Marine Life Sci, MOE Key Lab Marine Genet &amp; Breeding,Key Lab Trop A, Sanya, Peoples R China</t>
  </si>
  <si>
    <t>Shandong Agricultural University; Ocean University of China</t>
  </si>
  <si>
    <t>Lan, JF (corresponding author), Shandong Agr Univ, Coll Anim Sci &amp; Vet Med, Shandong Prov Key Lab Anim Biotechnol &amp; Dis Contro, Tai An 271018, Peoples R China.;Zeng, QF (corresponding author), Ocean Univ China, Sanya Oceanog Inst, Coll Marine Life Sci, MOE Key Lab Marine Genet &amp; Breeding,Key Lab Trop A, Sanya, Peoples R China.</t>
  </si>
  <si>
    <t>zengqifan@ouc.edu.cn; jflan@sdau.edu.cn</t>
  </si>
  <si>
    <t>National Key Research and Development Program of China [2022YFD2400703, 2022YFD2400201]; Shandong Agricultural University</t>
  </si>
  <si>
    <t>National Key Research and Development Program of China; Shandong Agricultural University</t>
  </si>
  <si>
    <t>This work was supported by grants from the National Key Research and Development Program of China (No. 2022YFD2400703, 2022YFD2400201), and the research start-up fund of high level talent introduction of Shandong Agricultural University.</t>
  </si>
  <si>
    <t>10.1016/j.jhazmat.2023.132257</t>
  </si>
  <si>
    <t>R2KY9</t>
  </si>
  <si>
    <t>WOS:001062699200001</t>
  </si>
  <si>
    <t>Yu, Q; Li, JX; Zheng, S; Xia, X; Xu, CY; Wang, CG; Wang, CW; Gu, B</t>
  </si>
  <si>
    <t>Yu, Qing; Li, Jiaxuan; Zheng, Shuai; Xia, Xuan; Xu, Changyue; Wang, Chaoguang; Wang, Chongwen; Gu, Bing</t>
  </si>
  <si>
    <t>Molybdenum disulfide-loaded multilayer AuNPs with colorimetric-SERS dual-signal enhancement activities for flexible immunochromatographic diagnosis of monkeypox virus</t>
  </si>
  <si>
    <t>Monkeypox virus; Surface-enhanced Raman scattering; Colorimetric-SERS dual-signal enhancement; Immunochromatography assay; Dual-signal nanosheet</t>
  </si>
  <si>
    <t>RAMAN-SCATTERING</t>
  </si>
  <si>
    <t>The sudden outbreak of monkeypox in 2022 suggests the importance of developing a rapid but sensitive virus detection technology. Herein, we report a colorimetric/surface-enhanced Raman scattering (SERS) dual-signal co-enhanced immunochromatographic assay (ICA) for the flexible, ultrasensitive, and accurate detection of monkeypox virus (MPXV) in various complex samples. A thickness-controlled polyethyleneimine interlayer (1 nm) is coated onto two-dimensional molybdenum disulfide (MoS2) nanosheet to enable the electrostatic adsorption of two layers of dense 30 nm AuNPs, which not only improves colorimetric ability but also creates numerous efficient SERS hotspots. Moreover, the SERS activity of film-like dual-signal tag (MoS2@Au-Au) is drastically enhanced by combining the chemical enhancement effect of MoS2 sheets and the electromagnetic enhancement effect of Au-Au hotspots. The introduction of MoS2@Au-Au greatly broadens the application range of existing ICA methods, in which the colorimetric signal supports the quick identification of the target virus and the SERS signal allows the quantitative detection of MPXV with detection limits of as low as 0.2 and 0.002 ng/ mL. Given its rapid detection ability (&lt; 20 min), high accuracy in real samples (RSD &lt; 9.89 %), and superior sensitivity than traditional AuNP-based colorimetric ICA (&gt; 500 times), the proposed assay has great potential for field application.</t>
  </si>
  <si>
    <t>[Yu, Qing; Li, Jiaxuan; Zheng, Shuai; Wang, Chongwen; Gu, Bing] Southern Med Univ, Guangdong Prov Peoples Hosp, Guangdong Acad Med Sci, Dept Clin Lab Med, Guangzhou 510000, Guangdong, Peoples R China; [Yu, Qing; Li, Jiaxuan; Xia, Xuan; Xu, Changyue; Wang, Chongwen] Anhui Agr Univ, Coll Life Sci, Hefei 230036, Peoples R China; [Wang, Chaoguang] Natl Univ Def Technol, Coll Intelligence Sci &amp; Technol, Changsha 410073, Peoples R China</t>
  </si>
  <si>
    <t>Guangdong Academy of Medical Sciences &amp; Guangdong General Hospital; Southern Medical University - China; Anhui Agricultural University; National University of Defense Technology - China</t>
  </si>
  <si>
    <t>Wang, CW; Gu, B (corresponding author), Southern Med Univ, Guangdong Prov Peoples Hosp, Guangdong Acad Med Sci, Dept Clin Lab Med, Guangzhou 510000, Guangdong, Peoples R China.;Wang, CG (corresponding author), Natl Univ Def Technol, Coll Intelligence Sci &amp; Technol, Changsha 410073, Peoples R China.</t>
  </si>
  <si>
    <t>wangchaoguang@nudt.edu.cn; wangchongwen1987@126.com; gubing@gdph.org.cn</t>
  </si>
  <si>
    <t>National Natural Science Founda-tion of China [32200076]; Natural Science Foundation of Anhui Province [2208085MB29]; Research foundation for advanced talents of Guangdong Provincial People's Hospital [KJ012021097]</t>
  </si>
  <si>
    <t>National Natural Science Founda-tion of China(National Natural Science Foundation of China (NSFC)); Natural Science Foundation of Anhui Province(Natural Science Foundation of Anhui Province); Research foundation for advanced talents of Guangdong Provincial People's Hospital</t>
  </si>
  <si>
    <t>Acknowledgements This study was supported by the National Natural Science Founda-tion of China (Grant no. 32200076) , the Natural Science Foundation of Anhui Province (Grant no. 2208085MB29) , and Research foundation for advanced talents of Guangdong Provincial People's Hospital (KJ012021097) .</t>
  </si>
  <si>
    <t>10.1016/j.jhazmat.2023.132136</t>
  </si>
  <si>
    <t>P4GI3</t>
  </si>
  <si>
    <t>WOS:001050242000001</t>
  </si>
  <si>
    <t>Abdelmonem, MG; Mohammed, MA; Twab, HA; Elmarghany, EB</t>
  </si>
  <si>
    <t>Abdelmonem, Mariam G.; Mohammed, Manal A.; Twab, Hosam Abdel; Elmarghany, Eman B.</t>
  </si>
  <si>
    <t>Serum level of galectin-9 in systemic lupus erythematosus patients with lupus nephritis: Relation to clinical characteristics and disease activity</t>
  </si>
  <si>
    <t>EGYPTIAN RHEUMATOLOGIST</t>
  </si>
  <si>
    <t>Systemic lupus erythematosus; Galectin-9; Disease activity; Lupus nephritis</t>
  </si>
  <si>
    <t>PERIPHERAL-BLOOD; INTERFERON-GAMMA; EXPRESSION; TIM-3</t>
  </si>
  <si>
    <t>Aim of the work: To assess galectin-9 (Gal-9) level in the serum of systemic lupus erythematosus (SLE) patients with and without renal involvement and clarify its relation with disease activity.Patients and methods: 50 SLE patients; 25 with lupus nephritis (LN) and 25 without as well as 25 controls were studied. Systemic Lupus International Collaborating Clinics (SLICC) renal activity score and SLE disease activity index 2000 (SLEDAI-2 K) were determined. Serum Gal-9 was measured in all participants. Results: Gal-9 level was significantly elevated in SLE patients with (16.7; 11.6-33.7 ng/ml) and without (15.9; 11.8-25 ng/ml) compared to controls (3.9; 2.8-5.4 ng/ml) (p &lt; 0.001) but was comparable between the patients groups (p = 0.83). In LN patients, serum Gal-9 and SLICC renal activity score significantly correlated (r = 0.48, p = 0.016). Serum Gal-9 significantly correlated with SLEDAI-2 K in patients with (r = 0.71, p &lt; 0.001) and without (r = 0.95, p &lt; 0.001) LN, with anti-double stranded deoxyribonucleic acid (anti-ds-DNA) titers (with r = 0.57, p &lt; 0.001 and without r = 0.79, p &lt; 0.001) and inversely with C3 (with r = -0.44, p = 0.027 and without r = -0.63, p &lt; 0.001) and C4 (with r = -0.47, p = 0.018 and without r = -0.43, p = 0.03). Gal-9 had an area under the curve (AUC) of 0.96 to distinguish SLE cases from control. However, AUC between LN group and nonnephritic SLE was 0.48. On regression, SLEDAI-2 K was the only significant factor associated with serum Gal9 (p &lt; 0.001).Conclusion: In SLE patients, significantly raised Gal-9 levels and relation with disease activity were detected indicating its clinical relevance as biomarker of disease activity and its potential value in the disease diagnosis. Its value in discriminating LN from non-nephritic SLE is limited.</t>
  </si>
  <si>
    <t>[Abdelmonem, Mariam G.] Minist Hlth &amp; Populat, Bilqas, Dakahlia Govern, Egypt; [Mohammed, Manal A.; Elmarghany, Eman B.] Mansoura Univ, Fac Med, Phys Med Rheumatol &amp; Rehabil Dept, Mansoura, Egypt; [Twab, Hosam Abdel] Mansoura Univ, Fac Med, Clin Pathol Dept, Mansoura, Egypt</t>
  </si>
  <si>
    <t>Egyptian Knowledge Bank (EKB); Ministry of Health &amp; Population - Egypt; Egyptian Knowledge Bank (EKB); Mansoura University; Egyptian Knowledge Bank (EKB); Mansoura University</t>
  </si>
  <si>
    <t>Elmarghany, EB (corresponding author), Mansoura Univ, Fac Med, Phys Med Rheumatol &amp; Rehabil Dept, Mansoura, Egypt.</t>
  </si>
  <si>
    <t>dr_emanbakr@mans.edu.eg</t>
  </si>
  <si>
    <t>1110-1164</t>
  </si>
  <si>
    <t>2090-2433</t>
  </si>
  <si>
    <t>EGYPT RHEUMATOL</t>
  </si>
  <si>
    <t>Egypt. Rheumatol.</t>
  </si>
  <si>
    <t>OCT</t>
  </si>
  <si>
    <t>10.1016/j.ejr.2023.08.001</t>
  </si>
  <si>
    <t>S4HP9</t>
  </si>
  <si>
    <t>WOS:001070797900001</t>
  </si>
  <si>
    <t>Abdi-Moghadam, Z; Darroudi, M; Mahmoudzadeh, M; Mohtashami, M; Jamal, AM; Shamloo, E; Rezaei, Z</t>
  </si>
  <si>
    <t>Abdi-Moghadam, Zohreh; Darroudi, Majid; Mahmoudzadeh, Maryam; Mohtashami, Mahnaz; Jamal, Amir Mohammad; Shamloo, Ehsan; Rezaei, Zeinab</t>
  </si>
  <si>
    <t>Functional yogurt, enriched and probiotic: A focus on human health</t>
  </si>
  <si>
    <t>CLINICAL NUTRITION ESPEN</t>
  </si>
  <si>
    <t>Yogurt; Functional foods; Probiotic; Bioactive; Health</t>
  </si>
  <si>
    <t>VITAMIN-D; FORTIFIED YOGURT; FOOD; CONSUMPTION; FORMULATION; BACTERIA; CULTURES; INDEXES; PLANT; RICH</t>
  </si>
  <si>
    <t>The food industry has always sought to produce products enriched with vitamins, probiotics, polyphenols, and other bioactive compounds to improve physiological function, enhance nutritional value, and provide health. These compounds are essential for human health, and their deficiency can lead to adverse effects. Therefore, food enrichment is an important strategy to improve the nutritional value and, in some cases, improve the quality of food. Recently, functional foods have been very popular around the world. Among food products, dairy products constitute a major part of people's diet, and due to the high consumption of dairy products, including yogurt, the enrichment of this product effectively reduces or prevents diseases associated with nutritional deficiencies. Most consumers generally accept yogurt due to its high nutritional value and low price. So, it can be considered a good candidate for enrichment with micronutrients and probiotics. In recent years, using functional foods to prevent various diseases has become a popular topic for research. In this study, the effect of fortified yogurt in preventing diseases and improving deficiencies has been investigated, and it has been proven that super healthy yogurt has a positive effect on human health. &amp; COPY; 2023 European Society for Clinical Nutrition and Metabolism. Published by Elsevier Ltd. All rights reserved.</t>
  </si>
  <si>
    <t>[Abdi-Moghadam, Zohreh] Gonabad Univ Med Sci, Fac Med, Determinants Hlth Res Ctr, Dept Food Sci Nutr &amp; Clin Biochem, Gonabad, Iran; [Darroudi, Majid] Mashhad Univ Med Sci, Nucl Med Res Ctr, Mashhad, Iran; [Mahmoudzadeh, Maryam] Tabriz Univ Med Sci, Fac Nutr &amp; Food Sci, Tabriz, Iran; [Mohtashami, Mahnaz] Islamic Azad Univ, Sch Basic Sci, Dept Biol, Neyshabur Branch, Neyshabur, Iran; [Jamal, Amir Mohammad] Gonabad Univ Med Sci, Students Res Comm, Sch Med, Dept Nutr Food Sci &amp; Clin Biochem, Gonabad, Iran; [Shamloo, Ehsan] Neyshabur Univ Med Sci, Dept Food Sci &amp; Technol, Neyshabur, Iran; [Rezaei, Zeinab] Univ Appl Sci &amp; Technol, Ctr Cheshme Noshan Khorasan Alis, Mashhad, Iran</t>
  </si>
  <si>
    <t>Mashhad University Medical Science; Tabriz University of Medical Science; Islamic Azad University</t>
  </si>
  <si>
    <t>Shamloo, E (corresponding author), Neyshabur Univ Med Sci, Dept Food Sci &amp; Technol, Neyshabur, Iran.;Rezaei, Z (corresponding author), Univ Appl Sci &amp; Technol, Ctr Cheshme Noshan Khorasan Alis, Mashhad, Iran.</t>
  </si>
  <si>
    <t>e.shamloo@yahoo.com; Rezaeizeynab91@gmail.com</t>
  </si>
  <si>
    <t>Darroudi, Majid/C-9658-2010</t>
  </si>
  <si>
    <t>Darroudi, Majid/0000-0002-2624-7242</t>
  </si>
  <si>
    <t>2405-4577</t>
  </si>
  <si>
    <t>CLIN NUTR ESPEN</t>
  </si>
  <si>
    <t>Clin. Nutr. ESPEN</t>
  </si>
  <si>
    <t>10.1016/j.clnesp.2023.08.005</t>
  </si>
  <si>
    <t>Q1FU0</t>
  </si>
  <si>
    <t>WOS:001055051700001</t>
  </si>
  <si>
    <t>Ahmad, R; Sohail, A; Altaf, U; Farooq, J; Mir, A; Aalim, M; Majeed, A; Shah, MA</t>
  </si>
  <si>
    <t>Ahmad, Reyaz; Sohail, Aamir; Altaf, Ummer; Farooq, Jaffar; Mir, Arshid; Aalim, Malik; Majeed, Asif; Shah, M. A.</t>
  </si>
  <si>
    <t>Binary nickel cobalt oxide (NixCo3-xO4) nanostructures as stable and high-energy density asymmetric supercapacitor electrode material</t>
  </si>
  <si>
    <t>Nanocomposites; Electrochemical performance; Power density; Nanorods; Supercapacitor</t>
  </si>
  <si>
    <t>HYDROTHERMAL SYNTHESIS; GRAPHENE OXIDE; NANONEEDLES; FABRICATION; NANOSHEETS; SPINEL; FOAM</t>
  </si>
  <si>
    <t>Nickel cobalt oxides are very desirable for a wide range of scientific research and practical applications due to their smooth redox activity and unquestionable parameter optimization freedom. This report examines the capacitive behaviour of hydrothermally fabricated nickel cobalt oxide nanostructures for potential application in the field of energy storage. According to the findings of our research, the morphology of the nickel-cobalt oxides is highly dependent on reaction time as well as the ratio of Ni/Co. When NiO, NixCox-3O4(I) and NixCox-3O4(II) are deposited on nickel foam, the fabricated electrodes show a specific capacitance of 291, 590, 1948 F g-1 respectively, scanned at 5 mVs  1 in an aqueous electrolyte containing 4 M KOH. The NixCox-3O4(II) electrode shows less cycle fatigue as its initial capacitance dropped by just 17% even after 10k cycles and demonstrating low impedance confirmed by electrochemical impedance spectroscopy (EIS). Moreover, the solid state asym-metric capacitor fabricated by using NixCox-3O4(II) as positive and activated carbon as negative electrode demonstrates the specific energy and power of 38 Whkg  1, 3.3 kW kg  1respectively. These remarkable elec-trochemical properties, characterized by exceptional stability and high energy density, demonstrated by the NixCox-3O4(II) based electrode unequivocally establish it as an indispensable and highly promising electrode material for utilization in electrochemical energy storage devices.</t>
  </si>
  <si>
    <t>[Ahmad, Reyaz; Sohail, Aamir; Altaf, Ummer; Mir, Arshid; Aalim, Malik; Majeed, Asif; Shah, M. A.] Natl Inst Technol Srinagar, PG Dept Phys, Special Lab Multifunct Nanomat LMN, Srinagar 190006, J&amp;K, India; [Farooq, Jaffar] Cent Univ Kashmir, Srinagar 190006, J&amp;K, India</t>
  </si>
  <si>
    <t>National Institute of Technology (NIT System); National Institute of Technology Srinagar; Central University of Kashmir</t>
  </si>
  <si>
    <t>Ahmad, R (corresponding author), Natl Inst Technol Srinagar, PG Dept Phys, Special Lab Multifunct Nanomat LMN, Srinagar 190006, J&amp;K, India.</t>
  </si>
  <si>
    <t>reyazah566@gmail.com; jaffarooq@gmail.com; arshid.jmi@gmail.com; aalimmushtaq@gmail.com; aasifmajeed45@gmail.com</t>
  </si>
  <si>
    <t>, Jaffar Farooq/0000-0002-5698-7030; ALTAF, UMMER/0000-0003-1030-9952; Majeed, Asif/0000-0002-5451-0079</t>
  </si>
  <si>
    <t>OCT 1</t>
  </si>
  <si>
    <t>10.1016/j.matchemphys.2023.128195</t>
  </si>
  <si>
    <t>P3LU8</t>
  </si>
  <si>
    <t>WOS:001049699000001</t>
  </si>
  <si>
    <t>Ahmed, M; Zafar, W; Zafar, M</t>
  </si>
  <si>
    <t>Ahmed, Muhammad; Zafar, Wirda; Zafar, Mahrukh</t>
  </si>
  <si>
    <t>Comment on: Kinesiophobia in Patients With Angina Pectoris of Coronary Artery Disease: A Cross-Sectional Survey</t>
  </si>
  <si>
    <t>[Ahmed, Muhammad] Amer Univ Carribean, Dept Med, Cupecoy, Sint Maarten; [Zafar, Wirda] Univ Med &amp; Hlth Sci St Kitts, Dept Med, Camps, St Kitts &amp; Nevi; [Zafar, Mahrukh] Univ Med &amp; Hlth Sci, Dept Med, Camps, St Kitts &amp; Nevi</t>
  </si>
  <si>
    <t>Ahmed, M (corresponding author), Amer Univ Carribean, Dept Med, Cupecoy, Sint Maarten.</t>
  </si>
  <si>
    <t>10.1016/j.cpcardiol.2023.101882</t>
  </si>
  <si>
    <t>O5CA6</t>
  </si>
  <si>
    <t>WOS:001043977400001</t>
  </si>
  <si>
    <t>Aimi, A; Di Credico, G; Gimperlein, H</t>
  </si>
  <si>
    <t>Aimi, Alessandra; Di Credico, Giulia; Gimperlein, Heiko</t>
  </si>
  <si>
    <t>Time domain boundary elements for elastodynamic contact</t>
  </si>
  <si>
    <t>COMPUTER METHODS IN APPLIED MECHANICS AND ENGINEERING</t>
  </si>
  <si>
    <t>Boundary element methods; Space-time methods; Signorini contact problem; Variational inequality; Elastodynamics</t>
  </si>
  <si>
    <t>INTEGRAL-EQUATIONS; WAVE-PROPAGATION; SPACE; FORMULATION; BEM</t>
  </si>
  <si>
    <t>This article proposes a boundary element method for the dynamic contact between a linearly elastic body and a rigid obstacle. The Signorini contact problem is formulated as a variational inequality for the Poincare-Steklov operator for the elastodynamic equations on the boundary, which is solved in a mixed formulation using boundary elements in the time domain. We obtain an a priori estimate for the resulting Galerkin approximations. Numerical experiments confirm the stability and convergence of the proposed method for the contact problem in fiat and curved two-dimensional geometries, as well as for moving obstacles. &amp; COPY; 2023 Elsevier B.V. All rights reserved.</t>
  </si>
  <si>
    <t>[Aimi, Alessandra; Di Credico, Giulia] Univ Parma, Dept Math Phys &amp; Comp Sci, Parco Area Sci 53-A, I-43124 Parma, Italy; [Di Credico, Giulia; Gimperlein, Heiko] Univ Innsbruck, Engn Math, Innsbruck, Austria</t>
  </si>
  <si>
    <t>University of Parma; University of Innsbruck</t>
  </si>
  <si>
    <t>Aimi, A (corresponding author), Univ Parma, Dept Math Phys &amp; Comp Sci, Parco Area Sci 53-A, I-43124 Parma, Italy.</t>
  </si>
  <si>
    <t>alessandra.aimi@unipr.it; giulia.dicredico@unipr.it; heiko.gimperlein@uibk.ac.at</t>
  </si>
  <si>
    <t>Gimperlein, Heiko/0000-0003-3145-3021; Aimi, Alessandra/0000-0002-4699-4261</t>
  </si>
  <si>
    <t>University of Parma, Italy; Oberwolfach Research Fellows program of Mathematisches Forschungsinstitut Oberwolfach, Germany in 2020</t>
  </si>
  <si>
    <t>This work has been partially supported by the University of Parma, Italy with the project Fil2020-Action A1 Time-domain Energetic BEM for elastodynamic problems, with advanced applications. Early stages of this research were supported through the Oberwolfach Research Fellows program of Mathematisches Forschungsinstitut Oberwolfach, Germany in 2020.</t>
  </si>
  <si>
    <t>0045-7825</t>
  </si>
  <si>
    <t>1879-2138</t>
  </si>
  <si>
    <t>COMPUT METHOD APPL M</t>
  </si>
  <si>
    <t>Comput. Meth. Appl. Mech. Eng.</t>
  </si>
  <si>
    <t>10.1016/j.cma.2023.116296</t>
  </si>
  <si>
    <t>P6NS4</t>
  </si>
  <si>
    <t>WOS:001051829800001</t>
  </si>
  <si>
    <t>Al-Jobory, AA; Ismael, AK</t>
  </si>
  <si>
    <t>Al-Jobory, Alaa A.; Ismael, Ali K.</t>
  </si>
  <si>
    <t>Controlling quantum interference in tetraphenyl-aza-BODIPYs</t>
  </si>
  <si>
    <t>CURRENT APPLIED PHYSICS</t>
  </si>
  <si>
    <t>ELECTRON-TRANSPORT; CHARGE-TRANSFER; CONDUCTANCE; DEPENDENCE; PATHWAYS</t>
  </si>
  <si>
    <t>This study presents systematic theoretical investigations employing an ab initio DFT approach combined with analysis of heuristic tight-binding models. We examine the effect of using conjugated and non-conjugated bridge on the electrical transport of tetraphenyl-aza-BODIPY derivatives. This work demonstrates that, substitution a conjugated bridging atom by non-conjugated one, causes the electrical conductance to switch from constructive quantum interference CQI to destructive DQI (on/ off). This demonstration of switching behaviour means that if molecules with alternating structures (i.e., non-/conjugated), can be deposited on a metal surface, then they form a basis for enhancing the thermovoltage in nanoscale thermoelectric nanotechnology devices.</t>
  </si>
  <si>
    <t>[Al-Jobory, Alaa A.; Ismael, Ali K.] Univ Lancaster, Phys Dept, Lancaster LA1 4YB, England; [Al-Jobory, Alaa A.] Univ Anbar, Coll Sci, Dept Phys, Anbar, Iraq; [Ismael, Ali K.] Tikrit Univ, Coll Educ Pure Sci, Dept Phys, Tikrit, Iraq</t>
  </si>
  <si>
    <t>Lancaster University; University of Anbar; University of Tikrit</t>
  </si>
  <si>
    <t>Ismael, AK (corresponding author), Univ Lancaster, Phys Dept, Lancaster LA1 4YB, England.</t>
  </si>
  <si>
    <t>k.ismael@lancaster.ac.uk</t>
  </si>
  <si>
    <t>Ismael, Ali/0000-0001-7943-3519</t>
  </si>
  <si>
    <t>Leverhulme Trust [ECF-2020-638]; European Commission FET Open projects [767187-QuIET, 766853- EFINED]; Anbar University (Iraq); Tikrit University (Iraq); Iraqi Ministry of Higher Education; [SL-20]</t>
  </si>
  <si>
    <t>Leverhulme Trust(Leverhulme Trust); European Commission FET Open projects; Anbar University (Iraq); Tikrit University (Iraq); Iraqi Ministry of Higher Education;</t>
  </si>
  <si>
    <t>This work was supported by the Leverhulme Trust for Early Career Fellowship ECF-2020-638. This work was additionally funded by the European Commission FET Open projects 767187-QuIET and 766853- EFINED. A.A. is grateful for financial assistance from Anbar University (Iraq) . A.K.I is grateful for financial assistance from Tikrit University (Iraq) , and the Iraqi Ministry of Higher Education (SL-20) .</t>
  </si>
  <si>
    <t>1567-1739</t>
  </si>
  <si>
    <t>1878-1675</t>
  </si>
  <si>
    <t>CURR APPL PHYS</t>
  </si>
  <si>
    <t>Curr. Appl. Phys.</t>
  </si>
  <si>
    <t>10.1016/j.cap.2023.06.004</t>
  </si>
  <si>
    <t>P5MR2</t>
  </si>
  <si>
    <t>WOS:001051121400001</t>
  </si>
  <si>
    <t>Al-Sanea, MM; Abdel-Maksoud, MS; El-Behairy, MF; Hamdi, A; Rahman, HU; Parambi, D; Elbargisy, RM; Mohamed, AAB</t>
  </si>
  <si>
    <t>Al-Sanea, Mohammad M.; Abdel-Maksoud, Mohammed S.; El-Behairy, Mohammed Farrag; Hamdi, Abdelrahman; Rahman, Hidayat Ur; Parambi, Della G. T.; Elbargisy, Rehab M.; Mohamed, Ahmed A. B.</t>
  </si>
  <si>
    <t>Anti-inflammatory effect of 3-fluorophenyl pyrimidinylimidazo[2,1-b] thiazole derivatives as p38 alpha inhibitors</t>
  </si>
  <si>
    <t>BIOORGANIC CHEMISTRY</t>
  </si>
  <si>
    <t>P38 alpha inhibitors; Antiinflammatory; Amide; Sulfonamide, pyrimidinylimidazo[2,1-b] thiazole</t>
  </si>
  <si>
    <t>RHEUMATOID-ARTHRITIS; NITRIC-OXIDE; PROSTAGLANDINS; INTERLEUKIN-1; ANTAGONIST; BLOCKING; RECEPTOR; DESIGN</t>
  </si>
  <si>
    <t>In the present work, the anti-inflammatory effect of 30 compounds containing 3-fluorophenyl pyrimidinylimidazo[ 2,1-b]thiazole was investigated. All final target compounds showed significant Inhibitory effect on p38 alpha. P38 alpha is considered one of the key kinases in the inflammatory process due to its regulatory effect on pro-inflammatory mediators. The final target compounds divided into four group based on the type of terminal moiety (amide and sulfonamide) and the linker between pyrimidine ring and terminal moiety (ethyl and propyl). Most compounds with terminal sulfonamide moiety and propyl linker between the sulfonamide and pyrimidine ring were the most potent among all synthesized final target compounds with sub-micromolar IC50s. Compound 24g (with p-Cl benzene sulfonamide and propyl linker) exhibited the highest activity over P38a with IC50 0.68 mu M. All final target compounds were tested for their ability to inhibit nitric oxide release and prostaglandin E2 production. Compounds having amide terminal moiety with ethyl linker showed higher inhibitory activity for nitric oxide release and compound 21d exhibited the highest activity for nitric oxide release with IC50 1.21 mu M. Compounds with terminal sulfonamide moiety and propyl linker showed the highest activity for inhibiting PGE2 production and compounds 24i and 24g had the lowest IC(50)s with value 0.87 and 0.89 mu M, respectively. Compounds 21d, 22d and 24g were tested for their ability to inhibit over expression of iNOS, COX1, and COX2. In addition the ability of compounds 21d, 22d and 24g to inhibit inflammatory cytokines were determined. Finally molecular docking of the three compounds were performed on P38a crystal structure to expect their mode of binding.</t>
  </si>
  <si>
    <t>[Al-Sanea, Mohammad M.; Parambi, Della G. T.] Jouf Univ, Coll Pharm, Dept Pharmaceut Chem, Sakaka 72341, Saudi Arabia; [Abdel-Maksoud, Mohammed S.] Natl Res Ctr ID 60014618, Pharmaceut &amp; Drug Ind Res Inst, Med &amp; Pharmaceut Chem Dept, Giza, Egypt; [El-Behairy, Mohammed Farrag] Univ Sadat City, Fac Pharm, Dept Organ &amp; Med Chem, Menoufia 32897, Egypt; [Hamdi, Abdelrahman] Mansoura Univ, Fac Pharm, Dept Pharmaceut Organ Chem, Mansoura 35516, Egypt; [Rahman, Hidayat Ur] Jouf Univ, Coll Pharm, Dept Clin Pharm, Sakaka 72341, Saudi Arabia; [Elbargisy, Rehab M.] Jouf Univ, Coll Pharm, Dept Pharmaceut, , Al-Jouf, Sakaka, Saudi Arabia; [Mohamed, Ahmed A. B.] Mansoura Univ, Fac Pharm, Dept Med Chem, Mansoura 35516, Egypt</t>
  </si>
  <si>
    <t>Al Jouf University; Egyptian Knowledge Bank (EKB); National Research Centre (NRC); Egyptian Knowledge Bank (EKB); University of Sadat City; Egyptian Knowledge Bank (EKB); Mansoura University; Al Jouf University; Al Jouf University; Egyptian Knowledge Bank (EKB); Mansoura University</t>
  </si>
  <si>
    <t>Al-Sanea, MM (corresponding author), Jouf Univ, Coll Pharm, Dept Pharmaceut Chem, Sakaka 72341, Saudi Arabia.;Abdel-Maksoud, MS (corresponding author), Natl Res Ctr ID 60014618, Pharmaceut &amp; Drug Ind Res Inst, Med &amp; Pharmaceut Chem Dept, Giza, Egypt.</t>
  </si>
  <si>
    <t>ms.abdel-maksoud@nrc.sci.eg; ph_ss@hotmail.com</t>
  </si>
  <si>
    <t>AbuBakr Mohamed Salem Ibrahim, Ahmed/AAH-1931-2019</t>
  </si>
  <si>
    <t>AbuBakr Mohamed Salem Ibrahim, Ahmed/0000-0003-3912-1021; El-Behairy, Mohammed Farrag Mohammed Ali/0000-0001-7843-1423</t>
  </si>
  <si>
    <t>Deanship of Scientific Research at Jouf University [DSR2022-RG-0146]</t>
  </si>
  <si>
    <t>Deanship of Scientific Research at Jouf University</t>
  </si>
  <si>
    <t>Acknowledgments This work was supported by the Deanship of Scientific Research at Jouf University under Grant Number [grant number DSR2022-RG-0146] .</t>
  </si>
  <si>
    <t>0045-2068</t>
  </si>
  <si>
    <t>1090-2120</t>
  </si>
  <si>
    <t>BIOORG CHEM</t>
  </si>
  <si>
    <t>Bioorganic Chem.</t>
  </si>
  <si>
    <t>10.1016/j.bioorg.2023.106716</t>
  </si>
  <si>
    <t>Biochemistry &amp; Molecular Biology; Chemistry, Organic</t>
  </si>
  <si>
    <t>Science Citation Index Expanded (SCI-EXPANDED); Index Chemicus (IC)</t>
  </si>
  <si>
    <t>Biochemistry &amp; Molecular Biology; Chemistry</t>
  </si>
  <si>
    <t>N6GW4</t>
  </si>
  <si>
    <t>WOS:001037983300001</t>
  </si>
  <si>
    <t>Ali, A; Hashem, M; Mohamed, RSA; Gabr, M; Elewa, AMT; Ahmed, MS; Abdelhady, AA</t>
  </si>
  <si>
    <t>Ali, Ahmed; Hashem, Mohamed; Mohamed, Ramadan S. A.; Gabr, Mahmoud; Elewa, Ashraf M. T.; Ahmed, Mohamed S.; Abdelhady, Ahmed A.</t>
  </si>
  <si>
    <t>The Messinian reservoir in El-Tamad oil field, Nile Delta, Egypt: Seismic interpretation and 3D modeling</t>
  </si>
  <si>
    <t>JOURNAL OF AFRICAN EARTH SCIENCES</t>
  </si>
  <si>
    <t>Qawasim formation; Seismic interpretation; Reservoir modeling; Messinian; Late miocene; Nile delta</t>
  </si>
  <si>
    <t>ORGANIC GEOCHEMISTRY; QUATERNARY SECTION; FACIES ANALYSIS; UPPER MIOCENE; NATURAL-GAS; STRATIGRAPHY; NEOGENE; BASIN; LOGS</t>
  </si>
  <si>
    <t>El-Tamad Field, the first oil discovery in the onshore Nile Delta, is one of the promising areas in the Nile Delta for oil and gas. Therefore, thirty seismic lines, core data, and real-time flowline resistivity measurements of the Messinian Qawasim Formation were analyzed to characterize and model the reservoir in El-Tamad Field. The structure model shows that there are three main faults in the investigated area; F1 fault is a major growth fault trending E-W with a downthrown to the north, F2 trending NW-SE with a downthrown northeast, and the NE-SW trending F3 fault with a downthrown southeast. The depth-structure contour map on the reservoir's top shows that there is a rollover anticline fold formed at the downthrown side of the major growth fault. The petrophysical model illustrates that effective porosity increases towards both of southeastern and southwestern parts, while water saturation decreases in the southeastern part of the field, and the net-to-gross increase towards the center. Penetrating more vertical and sidetrack wells along the line connecting wells 1, 3, and 4 in El-Tamad Field, especially in the crest of the anticline fold that was recorded in the area is highly recomended. The spatial variation of the reservoir quality was attributed to the depositional setting, where many branches of larger distributary channels (sand facies) accumulated within a muddy estuary (shale facies) on the front of a bay-head delta.</t>
  </si>
  <si>
    <t>[Ali, Ahmed; Hashem, Mohamed; Mohamed, Ramadan S. A.; Elewa, Ashraf M. T.] Minia Univ, Geol Dept, Al Minya 61519, Egypt; [Gabr, Mahmoud] British Petr Egypt, Cairo, Egypt; [Ahmed, Mohamed S.] King Saud Univ, Coll Sci, Geol &amp; Geophys Dept, Riyadh 11451, Saudi Arabia; [Abdelhady, Ahmed A.] Univ Vienna, Dept Paleontol, A-1090 Vienna, Austria</t>
  </si>
  <si>
    <t>Egyptian Knowledge Bank (EKB); Minia University; BP; Egyptian Knowledge Bank (EKB); British University in Egypt; King Saud University; University of Vienna</t>
  </si>
  <si>
    <t>Abdelhady, AA (corresponding author), Univ Vienna, Dept Paleontol, A-1090 Vienna, Austria.</t>
  </si>
  <si>
    <t>ahmed.abdelhady@mu.edu.eg</t>
  </si>
  <si>
    <t>Ali, Ahmed/AEQ-0461-2022; Ahmed, Mohamed Saad/GQP-1116-2022; Abdelhady, Ahmed/H-2144-2013</t>
  </si>
  <si>
    <t>Ali, Ahmed/0000-0003-4393-296X; Ahmed, Mohamed Saad/0000-0001-9249-6231; Abdelhady, Ahmed/0000-0003-4438-8572</t>
  </si>
  <si>
    <t>King Saud University, Riyadh, Saudi Arabia [RSP2023R455]</t>
  </si>
  <si>
    <t>This work is funded by Researchers Supporting Project number (RSP2023R455), King Saud University, Riyadh, Saudi Arabia.</t>
  </si>
  <si>
    <t>1464-343X</t>
  </si>
  <si>
    <t>1879-1956</t>
  </si>
  <si>
    <t>J AFR EARTH SCI</t>
  </si>
  <si>
    <t>J. Afr. Earth Sci.</t>
  </si>
  <si>
    <t>10.1016/j.jafrearsci.2023.105025</t>
  </si>
  <si>
    <t>R3RG7</t>
  </si>
  <si>
    <t>WOS:001063551300001</t>
  </si>
  <si>
    <t>Alomayri, T; Amir, MT; Ali, B; Raza, SS; Hamad, M</t>
  </si>
  <si>
    <t>Alomayri, Thamer; Amir, Muhammad Talha; Ali, Babar; Raza, Syed Safdar; Hamad, M.</t>
  </si>
  <si>
    <t>Mechanical, tidal erosion, and drying shrinkage behaviour of high performance seawater concrete incorporating the high volume of GGBS and polypropylene fibre</t>
  </si>
  <si>
    <t>Marine construction; Weathering resistance; Chloride permeability; Cement replacement; Fibre reinforced</t>
  </si>
  <si>
    <t>DURABILITY PROPERTIES; MICROSTRUCTURE; EMPLOYMENT; RESISTANCE; STEEL; WATER; SLAG</t>
  </si>
  <si>
    <t>Utilization of seawater as a mixing water can reduce demand for freshwater and lowers the car-bon footprint of concrete production, making it an environmentally significant solution. This study explored the effect of incorporating polypropylene fibre (PPF) and a high volume of ground granulated blast furnace slag (GGBS) (as a 50% replacement of ordinary Portalnd cement) on the strength and durability parameters of high-performance concrete (HPC). According to the results, the use of seawater has an enhancing effect on the early-stage strength of HPC made with or with-out GGBS, as it accelerates the hardening process. In long term (over 28 days), the strength prop-erties of seawater concrete produced with 100% OPC were slightly reduced as compared to corre-sponding freshwater concrete. However, for seawater mixes made with GGBS, strength properties improved with the age, and these mixes achieved high later strength than the seawater mixes made with 100% OPC. The inclusion of seawater and PPF yield a positive effect on the early-stage strength of GGBS-containing mixes. The drying shrinkage strain increased with the use of seawa-ter, and it further increased due to the incorporation of GGBS. However, PPF reinforcement dras-tically reduced the shrinkage problem of the seawater mix. The wetting-drying cycle-induced ero-sion was significantly reduced by the inclusion of both GGBS and PPF, indicating their benefit in controlling the degradation of seawater mix in a tidal environment.</t>
  </si>
  <si>
    <t>[Alomayri, Thamer] Umm Al Qura Univ, Fac Appl Sci, Dept Phys, Mecca 21955, Saudi Arabia; [Amir, Muhammad Talha] Univ Engn &amp; Technol, Dept Civil Engn, Taxila 47050, Pakistan; [Amir, Muhammad Talha] House Property &amp; Entrepreneurship HOPE, Wallayat Complex,Plaza 74, Phase 7 Bahria Town, Islamabad Capital Terr 46000, Pakistan; [Ali, Babar] COMSATS Univ Islamabad, Dept Civil Engn, Islamabad 57000, Pakistan; [Ali, Babar; Raza, Syed Safdar] Bahauddin Zakariya Univ, Dept Civil Engn, Multan 66000, Pakistan; [Hamad, M.] Al Baha Univ, Coll Engn, Dept Civil Engn, AlBaha, Saudi Arabia; [Hamad, M.] Delta Univ Sci &amp; Technol, Fac Engn, Civil Engn Dept, Belkas, Egypt</t>
  </si>
  <si>
    <t>Umm Al Qura University; University of Engineering &amp; Technology Taxila; COMSATS University Islamabad (CUI); Bahauddin Zakariya University; Al Baha University; Delta University for Science &amp; Technology</t>
  </si>
  <si>
    <t>Alomayri, T (corresponding author), Umm Al Qura Univ, Fac Appl Sci, Dept Phys, Mecca 21955, Saudi Arabia.;Amir, MT (corresponding author), Univ Engn &amp; Technol, Dept Civil Engn, Taxila 47050, Pakistan.;Raza, SS (corresponding author), Bahauddin Zakariya Univ, Dept Civil Engn, Multan 66000, Pakistan.</t>
  </si>
  <si>
    <t>tsomayri@uqu.edu.sa; ascepak@gmail.com; babar.ali@cuisahiwal.edu.pk; safdarshah91@bzu.edu.pk; m.saad@bu.edu.sa</t>
  </si>
  <si>
    <t>10.1016/j.jobe.2023.107377</t>
  </si>
  <si>
    <t>P2KR6</t>
  </si>
  <si>
    <t>WOS:001048985200001</t>
  </si>
  <si>
    <t>Alzahrani, FMA; Arshad, J; Parveen, S; ul Ain, N; Alrowaili, ZA; Anwar, M; Din, MI; Al-Buriahi, MS</t>
  </si>
  <si>
    <t>Alzahrani, Fatimah Mohammed A.; Arshad, Javaria; Parveen, Sajida; ul Ain, Noor; Alrowaili, Z. A.; Anwar, Mamoona; Din, Muhammad Imran; Al-Buriahi, M. S.</t>
  </si>
  <si>
    <t>Divalent metal Co2+ ions substituted ZnFe2O4 nanoparticles and their hybrid with carbonaceous matrix for the degradation of toxic dyes</t>
  </si>
  <si>
    <t>Zinc ferrite; Carbon nanotubes; Photocatalysis; Methyl orange</t>
  </si>
  <si>
    <t>PHOTOCATALYTIC DEGRADATION; WATER-PURIFICATION; ZNO NANOPARTICLES; TITANIUM-DIOXIDE; TIO2; CONTAMINANTS; REDUCTION</t>
  </si>
  <si>
    <t>This research is about the fabrication of zinc ferrite (ZnFe2O4, ZF), Cobalt substituted Zinc Ferrite (Zn0.6Co0.4Fe2O4, CZF) and nanocomposite of Cobalt- substituted Zinc Ferrite with CNTs (Zn0.6Co0.4Fe2O4@CNTs, CZF@CNTs). The bare (ZF) and doped (CZF) samples were fabricated through co-precipitation method while the nanocomposite (CZF@CNTs) by an ultra-sonication approach. By the help of various tools such as UV-Vis spectroscopy, FT-IR, and XRD; the characterization of these samples were taken out. The prepared materials were used as photocatalysts for environmental pollutants remediation. Photocatalytic degradation was done against colorless compound (Benzoic acid, BA) and dye (Methyl orange, MO). The % removal of MO by ZF was 50.8%, by CZF was 63.5%, and by CZF@CNTs was 75.9%. Moreover, the degradation % of BA was 44.9% by CZF@CNTs (Zn0.6Co0.4Fe2O4/CNTs). Excellent results were shown by CZF@CNTs due to its enhanced surface area. Hence, CZF@CNTs could be an outstanding material for the photocatalytic removal of various harmful environmental pollutants.</t>
  </si>
  <si>
    <t>[Alzahrani, Fatimah Mohammed A.] Princess Nourah bint Abdulrahman Univ, Coll Sci, Dept Biol, POB 84428, Riyadh 11671, Saudi Arabia; [Arshad, Javaria; Parveen, Sajida; Anwar, Mamoona] Islamia Univ Bahawalpur, Inst Chem, Baghdad Ul Jadeed Campus, Bahawalpur 63100, Pakistan; [ul Ain, Noor] Islamia Univ Bahawalpur, Inst Phys, Baghdad Ul Jadeed Campus, Bahawalpur 63100, Pakistan; [Alrowaili, Z. A.] Jouf Univ, Coll Sci, Dept Phys, POB 2014, Sakaka, Saudi Arabia; [Din, Muhammad Imran] Univ Punjab, Sch Chem, Lahore, Pakistan; [Al-Buriahi, M. S.] Sakarya Univ, Dept Phys, Sakarya, Turkiye</t>
  </si>
  <si>
    <t>Princess Nourah bint Abdulrahman University; Islamia University of Bahawalpur; Islamia University of Bahawalpur; Al Jouf University; University of Punjab; Sakarya University</t>
  </si>
  <si>
    <t>Anwar, M (corresponding author), Islamia Univ Bahawalpur, Inst Chem, Baghdad Ul Jadeed Campus, Bahawalpur 63100, Pakistan.;Din, MI (corresponding author), Univ Punjab, Sch Chem, Lahore, Pakistan.</t>
  </si>
  <si>
    <t>mamoonaanwar15896@gmail.com; imrandin2007@gmail.com</t>
  </si>
  <si>
    <t>Princess Nourah bint Abdulrahman University, Riyadh, Saudi Arabia [PNURSP2023R42]</t>
  </si>
  <si>
    <t>Princess Nourah bint Abdulrahman University, Riyadh, Saudi Arabia(Princess Nourah bint Abdulrahman University)</t>
  </si>
  <si>
    <t>The authors express their gratitude to Princess Nourah bint Abdulrahman University Researchers Supporting Project number (PNURSP2023R42) , Princess Nourah bint Abdulrahman University, Riyadh, Saudi Arabia.</t>
  </si>
  <si>
    <t>10.1016/j.mseb.2023.116718</t>
  </si>
  <si>
    <t>Q9OD3</t>
  </si>
  <si>
    <t>WOS:001060728600001</t>
  </si>
  <si>
    <t>Amasino, DR; Pace, DD; van der Weele, J</t>
  </si>
  <si>
    <t>Amasino, Dianna R.; Pace, Davide Domenico; van der Weele, Joel</t>
  </si>
  <si>
    <t>Self-serving bias in redistribution choices: Accounting for beliefs and norms</t>
  </si>
  <si>
    <t>JOURNAL OF ECONOMIC PSYCHOLOGY</t>
  </si>
  <si>
    <t>Redistribution; Self-serving bias; Fairness; Norms; Online experiments</t>
  </si>
  <si>
    <t>SOCIAL NORMS; FAIRNESS IDEALS; ALLOCATION; ATTRIBUTION; COOPERATION; FACT; LUCK</t>
  </si>
  <si>
    <t>We explore the psychological mechanisms underlying self-serving redistribution decisions in an experimental setting. This self-serving bias in redistribution has been attributed not only to self-interest, but also to constructs such as differing beliefs about the hard work or luck underlying inequality, differing fairness views, and differing perceptions of social norms. In this study, we directly measure each of these potential mechanisms and compare their mediating roles in the relationship between status and redistribution. In our experiment, participants complete real-effort tasks and then are randomly assigned a high or low pay rate per correct answer to exogenously induce (dis)advantaged status. Participants are then paired and those assigned the role of dictator decide how to divide their joint earnings. We find that advantaged dictators keep more for themselves than disadvantaged dictators and report different fairness views and beliefs about task performance, but not different perceptions of social norms. Further, only fairness views play a significant mediating role between status and allocation differences, suggesting this is the primary mechanism underlying self-serving differences in support for redistribution.</t>
  </si>
  <si>
    <t>[Amasino, Dianna R.; Pace, Davide Domenico; van der Weele, Joel] Univ Amsterdam, Amsterdam Sch Econ, CREED, Amsterdam, Netherlands; [Pace, Davide Domenico] Ludwig Maximilians Univ Munchen, CIPSM, Munich, Germany; [Pace, Davide Domenico; van der Weele, Joel] Tinbergen Inst, Amsterdam, Netherlands; [Amasino, Dianna R.] Univ Amsterdam, Amsterdam Sch Econ, Ctr Expt Econ &amp; Polit Decis Making CREED, Roetersstr 11, NL-1018 WB Amsterdam, Netherlands</t>
  </si>
  <si>
    <t>University of Amsterdam; University of Munich; Tinbergen Institute; University of Amsterdam</t>
  </si>
  <si>
    <t>Amasino, DR (corresponding author), Univ Amsterdam, Amsterdam Sch Econ, Ctr Expt Econ &amp; Polit Decis Making CREED, Roetersstr 11, NL-1018 WB Amsterdam, Netherlands.</t>
  </si>
  <si>
    <t>d.r.amasino@uva.nl</t>
  </si>
  <si>
    <t>Amasino, Dianna/0000-0001-9092-3877</t>
  </si>
  <si>
    <t>NWO, Netherlands [280092119]; Deutsche Forschungsgemeinschaft, Germany; [452-17-004]; [CRC TRR 190]</t>
  </si>
  <si>
    <t>NWO, Netherlands(Netherlands Organization for Scientific Research (NWO)Netherlands Government); Deutsche Forschungsgemeinschaft, Germany(German Research Foundation (DFG)); ;</t>
  </si>
  <si>
    <t>We thank Vinska Talita Johan, Antonia Kurz, and Cristina Figueroa for excellent research assistance, Jan Hausfeld, Kosuke Imai, Margarita Leib, Caroline Liqui Lung, Joep Sonnemans, Ivan Soraperra, Jan Stoop, and Egon Tripodi as well as seminar participants at the University of Amsterdam and the University of Pittsburgh, the ViProc conference, and the BBU flash talks workshop for very useful comments. Joel van der Weele gratefully acknowledges funding by the NWO, Netherlands in the context of VIDI grant 452-17-004. Davide Domenico Pace gratefully acknowledges financial support by Deutsche Forschungsgemeinschaft, Germany through CRC TRR 190 (project number 280092119). The data and analysis code for this project can be found at this link https://osf.io/qjy6u/files/osfstorage</t>
  </si>
  <si>
    <t>0167-4870</t>
  </si>
  <si>
    <t>1872-7719</t>
  </si>
  <si>
    <t>J ECON PSYCHOL</t>
  </si>
  <si>
    <t>J. Econ. Psychol.</t>
  </si>
  <si>
    <t>10.1016/j.joep.2023.102654</t>
  </si>
  <si>
    <t>Economics; Psychology, Multidisciplinary</t>
  </si>
  <si>
    <t>Business &amp; Economics; Psychology</t>
  </si>
  <si>
    <t>Q4WF9</t>
  </si>
  <si>
    <t>WOS:001057533300001</t>
  </si>
  <si>
    <t>Amjad, H; Zeb, MS; Khushnood, RA; Khan, N</t>
  </si>
  <si>
    <t>Amjad, Hassan; Zeb, Muhammad Shah; Khushnood, Rao Arsalan; Khan, Nangyaley</t>
  </si>
  <si>
    <t>Impacts of biomimetic self-healing of Lysinibacillus boronitolerans immobilized through recycled fine and coarse brick aggregates in concrete</t>
  </si>
  <si>
    <t>Sustainable concrete; Recycled brick aggregates; Lysinibacillus boronitolerans; Mechanical performance; Autonomous healing</t>
  </si>
  <si>
    <t>CLAY BRICK; BACTERIA; WASTE</t>
  </si>
  <si>
    <t>Recycling waste bricks for concrete is cost-effective and eco-friendly but may impact strength and durability. A promising solution is biomimetic self-healing concrete that uses bacteria to repair cracks. The efficacy of this approach is contingent upon the bacterial strain, carrier medium, medium size, and immobilization utilized. Nevertheless, it remains uncertain how carrier size affects biomimetic self-healing concrete when the same carrier substance and immobilization technique are used. This study explored using Lysinibacillus boronitolerans (LBBT) to develop biomimetic self-healing concrete using recycled fine brick aggregate (RFBA) as a carrier medium. Recycled coarse brick aggregate (RCBA) was also employed for the relative evaluation of the impact of carrier size in biocrete. Results revealed that adding LBBT to concrete through RFBA resulted in significant improvements in strength and toughness. Compressive, split tensile, and flexural strength increased by 16.2%, 17.6%, and 22.0% respectively, while compressive and flexural toughness improved by 51.0% and 27.6%. The abundant RFBA particles ensured the even distribution of LBBT throughout the mixture. RCBA immobilization facilitated self-healing, achieving 0.6 mm of crack healing with 89.7% compression strength recovery and a 26.0% healing potential. The achievement can be attributed to the macro-voids and the stiffened structure of RCBA. Additionally, forensic investigations confirm the presence of microbial induced carbonate precipitation. Thus, RFBA is a promising immobilizer for LLBT, exhibiting a greater impact on mechanical performance due to its smaller particle size. In contrast, RCBA facilitates self-healing by entrapping the biomimetic agent, despite its lower abundance.</t>
  </si>
  <si>
    <t>[Amjad, Hassan; Zeb, Muhammad Shah; Khan, Nangyaley] Natl Univ Sci &amp; Technol NUST, NUST Inst Civil Engn NICE, Sch Civil &amp; Environm Engn SCEE, H-12 Campus, Islamabad 44000, Pakistan; [Khushnood, Rao Arsalan] Politecn Torino, Dept Struct Geotech &amp; Bldg Engn, Corso Duca Abruzzi 24, I-10129 Turin, Italy; [Khushnood, Rao Arsalan] Tunneling Inst Pakistan, Shakarparian, Islamabad 44000, Pakistan</t>
  </si>
  <si>
    <t>National University of Sciences &amp; Technology - Pakistan; Polytechnic University of Turin</t>
  </si>
  <si>
    <t>Khushnood, RA (corresponding author), Politecn Torino, Dept Struct Geotech &amp; Bldg Engn, Corso Duca Abruzzi 24, I-10129 Turin, Italy.;Khushnood, RA (corresponding author), Tunneling Inst Pakistan, Shakarparian, Islamabad 44000, Pakistan.</t>
  </si>
  <si>
    <t>rao.khushnood@polito.it</t>
  </si>
  <si>
    <t>Amjad, Hassan/0000-0003-2271-9051; Khan, Nangyaley/0009-0004-4364-4030</t>
  </si>
  <si>
    <t>10.1016/j.jobe.2023.107327</t>
  </si>
  <si>
    <t>O9KZ0</t>
  </si>
  <si>
    <t>WOS:001046947900001</t>
  </si>
  <si>
    <t>Amodeo, G; Galimberti, G; Sacerdote, P; Franchi, S</t>
  </si>
  <si>
    <t>Amodeo, Giada; Galimberti, Giulia; Sacerdote, Paola; Franchi, Silvia</t>
  </si>
  <si>
    <t>Characterization of prokineticin system in Crohn's disease pathophysiology and pain, and its modulation by alcohol abuse: A preclinical study</t>
  </si>
  <si>
    <t>Prokineticin system; Pain; Inflammatory bowel disease; Crohn's disease; TNBS-mouse model; Alcohol abuse</t>
  </si>
  <si>
    <t>INFLAMMATORY RESPONSE; LYMPHATIC-SYSTEM; VISCERAL PAIN; MAST-CELLS; MODEL; IMMUNE; ANGIOGENESIS; GROWTH; BV8; SENSITIZATION</t>
  </si>
  <si>
    <t>Background: Crohn's disease-(CD) pathogenesis is still unknown and chronic pain is a frequent symptom in CDpatients. Identifying novel therapeutic targets and predisposing factors is a primary goal. In this regard, prokineticin system-(PKS) appears a promising target. Aims and methods: TNBS-model was used. DAI, abdominal and visceral pain, and muscle strength were monitored. CD-mice were sacrificed at two times (day 7 and 14 after TNBS) in order to identify PKS involvement in CD pathophysiology and pain. PKS characterization was performed in mesenteric lymph nodes-(MLN), colon, myenteric plexus-(MP), dorsal root ganglia-(DRGs) and spinal cord-(SC). Inflammation/neuroinflammation was also assessed in the same tissues. In order to evaluate alcohol abuse as a possible trigger for CD and its effect on PKS activation, naive mice were administered (oral-gavage) with ethanol for 10 consecutive days. PKS as well as inflammation/neuroinflammation were evaluated in MLN, colon and MP. Results: TNBS treated-mice showed a rapid increase in DAI, abdominal/visceral hypersensitivity and a progressive strength loss. In all tissue analysed of CD-mice, a quick and significant increase of mRNA of PKs and PKRs was observed, associated with an increase of pro-inflammatory cytokines (IL-1 &amp; beta;, IL-6 and TNF &amp; alpha;) and macrophage/glia markers (iba1, CD11b and GFAP) levels. In alcohol abuse model, ethanol induced in colon and MP a significant PKS activation accompanied by inflammation/neuroinflammation. Conclusions: We can assume that PKS may be involved in CD development and pain. Furthermore, alcohol appears to activate PKS and may be a trigger factor for CD.</t>
  </si>
  <si>
    <t>[Amodeo, Giada; Galimberti, Giulia; Sacerdote, Paola; Franchi, Silvia] Univ Milan, Dipartimento Sci Farmacolog &amp; Biomolecolari Rodolf, Via Vanvitelli 32, I-20129 Milan, Italy; [Amodeo, Giada] Via Vanvitelli 32, I-20129 Milan, Italy</t>
  </si>
  <si>
    <t>Amodeo, G (corresponding author), Via Vanvitelli 32, I-20129 Milan, Italy.</t>
  </si>
  <si>
    <t>giada.amodeo@unimi.it; giulia.galimberti@unimi.it; paola.sacerdote@unimi.it; silvia.franchi@unimi.it</t>
  </si>
  <si>
    <t>Amodeo, Giada/AAO-7684-2021</t>
  </si>
  <si>
    <t>Amodeo, Giada/0000-0002-4097-3195</t>
  </si>
  <si>
    <t>Fondazione Umberto Veronesi ETS, Milan, Italy; cycle XXXVIII of the Doctorate in Pharmacological Biomolecular Sciences, Experimental and Clinical, University of Milan, Milan, Italy</t>
  </si>
  <si>
    <t>Amodeo G. is supported by Fondazione Umberto Veronesi ETS, Milan, Italy. Galimberti G. is supported by the cycle XXXVIII of the Doctorate in Pharmacological Biomolecular Sciences, Experimental and Clinical, University of Milan, Milan, Italy.</t>
  </si>
  <si>
    <t>10.1016/j.bbadis.2023.166791</t>
  </si>
  <si>
    <t>Q4PM0</t>
  </si>
  <si>
    <t>WOS:001057356400001</t>
  </si>
  <si>
    <t>Anand, S; Sabud, S; Singh, AK; Kumar, P</t>
  </si>
  <si>
    <t>Anand, Shubham; Sabud, Subham; Singh, Amit Kumar; Kumar, Preetam</t>
  </si>
  <si>
    <t>A use-case efficient DFrFT-based index modulated-OFDM system in the presence of CFO</t>
  </si>
  <si>
    <t>AEU-INTERNATIONAL JOURNAL OF ELECTRONICS AND COMMUNICATIONS</t>
  </si>
  <si>
    <t>Carrier frequency offset; Discrete fractional Fourier transform; Intercarrier interference; Index modulation; OFDM; Rayleigh fading channel</t>
  </si>
  <si>
    <t>FRACTIONAL FOURIER-TRANSFORM; FREQUENCY OFFSET; TIME; CHANNEL</t>
  </si>
  <si>
    <t>Index modulated orthogonal frequency division multiplexing (OFDM-IM) only utilizes partial resources to transmit signals according to use case requirement, it leads to higher energy efficiency and spectral efficiency than the classical OFDM. However, in the presence of inter-carrier interference (ICI) due to carrier frequency offset (CFO), the performance of index modulated OFDM system severely deteriorates. To mitigate this issue, a novel discrete fractional Fourier transform (DFrFT) based OFDM-IM scheme over Rayleigh frequency selective fading channel is proposed in this paper. The optimum DFrFT angle (cropt) for this new scheme at various CFO values has been calculated theoretically. Incorporating these estimated cropt, the proposed system achieves a gain of 8 dB over conventional FFT-based OFDM-IM at bit error rate (BER) = 10-3 in a high normalized CFO (e) environment (e = 0.2). The system model is also verified for different user applications, i.e., high data rate and low data rate applications. Simulation and analytical results show that the proposed model has a robust and superior performance compared to the conventional FFT-based OFDM-IM, DFrFT-based OFDM, and classical OFDM. Moreover, the proposed DFrFT-OFDM-IM model achieves all these superiorities with the same complexity as the conventional FFT-based OFDM-IM system.</t>
  </si>
  <si>
    <t>[Anand, Shubham; Sabud, Subham; Singh, Amit Kumar; Kumar, Preetam] Indian Inst Technol IIT, Dept Elect Engn EE, Patna 801106, India</t>
  </si>
  <si>
    <t>Indian Institute of Technology (IIT) - Patna; Indian Institute of Technology System (IIT System); Indian Institute of Technology (IIT) - Madras</t>
  </si>
  <si>
    <t>Anand, S (corresponding author), Indian Inst Technol IIT, Dept Elect Engn EE, Patna 801106, India.</t>
  </si>
  <si>
    <t>shubham_2021ee07@iitp.ac.in</t>
  </si>
  <si>
    <t>Ministry of Electronics and Information technology (MeitY) , Government of India; [0429]</t>
  </si>
  <si>
    <t>Ministry of Electronics and Information technology (MeitY) , Government of India(Ministry of Electronics and Information Technology (MEITY), Government of India);</t>
  </si>
  <si>
    <t>Acknowledgments This work has received a grant support from Ministry of Electronics and Information technology (MeitY) , Government of India, Project no: 0429.</t>
  </si>
  <si>
    <t>1434-8411</t>
  </si>
  <si>
    <t>1618-0399</t>
  </si>
  <si>
    <t>AEU-INT J ELECTRON C</t>
  </si>
  <si>
    <t>AEU-Int. J. Electron. Commun.</t>
  </si>
  <si>
    <t>10.1016/j.aeue.2023.154756</t>
  </si>
  <si>
    <t>Engineering, Electrical &amp; Electronic; Telecommunications</t>
  </si>
  <si>
    <t>Engineering; Telecommunications</t>
  </si>
  <si>
    <t>P8XD0</t>
  </si>
  <si>
    <t>WOS:001053439600001</t>
  </si>
  <si>
    <t>Anastasiou, M; Oikonomou, E; Theofilis, P; Papamikroulis, GA; Gazouli, M; Kalogeras, K; Lygkoni, S; Pesiridis, T; Goliopoulou, A; Papatheodoridi, A; Psyrri, A; Zagouri, F; Siasos, G; Tousoulis, D</t>
  </si>
  <si>
    <t>Anastasiou, Maria; Oikonomou, Evangelos; Theofilis, Panagiotis; Papamikroulis, George Angelos; Gazouli, Maria; Kalogeras, Konstantinos; Lygkoni, Stavroula; Pesiridis, Theodoros; Goliopoulou, Athina; Papatheodoridi, Alkistis; Psyrri, Amanda; Zagouri, Flora; Siasos, Gerasimos; Tousoulis, Dimitris</t>
  </si>
  <si>
    <t>Prolonged impact of anti-cancer therapy on endothelial function and arterial stiffness in breast cancer patients</t>
  </si>
  <si>
    <t>VASCULAR PHARMACOLOGY</t>
  </si>
  <si>
    <t>Breast cancer; Anthracycline; Endothelial function; Arterial stiffness</t>
  </si>
  <si>
    <t>ANTHRACYCLINE CARDIOTOXICITY; ADJUVANT CHEMOTHERAPY; VASCULAR TOXICITY; OXIDATIVE STRESS; TRASTUZUMAB; DYSFUNCTION; ASSOCIATION; SOCIETY; RISK</t>
  </si>
  <si>
    <t>Background: Cardiotoxicity restricts anthracycline and trastuzumab treatment of Human Epidermal Growth Factor Receptor 2 positive early breast cancer. Endothelial dysfunction and arteriosclerosis are significant cardiovascular risk factors.Objectives: We studied the effect of anthracycline-based chemotherapy, with or without trastuzumab, on endothelium and arteriosclerosis in patients with breast cancer.Methods: In this case-control study, 52 women with breast cancer and 104 women without breast cancer were examined longitudinally up to 15 months following (in the breast cancer group) initiation of chemotherapy. Arterial stiffness was evaluated through pulse wave velocity (PWV), while endothelial function via flowmediated dilatation (FMD) at baseline (T0), 3 (T1), 6 (T2), and 15 (T3) months later.Results: There was no difference between subjects with breast cancer and control in PWV and FMD at baseline. Longitudinally, participants with breast cancer exhibited considerable impairment of PWV and FMD compared to the control group (p for interaction &lt;0.001 for both parameters). In breast cancer patients, there was a significant increase from T0 to T3 in PWV (7.43 &amp; PLUSMN; 1.68 m/s vs. 8.18 &amp; PLUSMN; 2.00 m/s, p = 0.01) and decrease in FMD (6.95 &amp; PLUSMN; 2.86% vs. 5.03 &amp; PLUSMN; 2.83%, p = 0.006). The addition of trastuzumab in the treatment did not have any effect on PWV (p = 0.74) or FMD (p = 0.91).Conclusions: In patients with breast cancer, there is progression of endothelial dysfunction and arteriosclerosis up to 15 months following initiation of anthracycline-based chemotherapy. Trastuzumab has no additive effect on endothelial function or arterial stiffness.</t>
  </si>
  <si>
    <t>[Anastasiou, Maria; Psyrri, Amanda] Natl &amp; Kapodistrian Univ Athens, Attikon Univ Hosp, Fac Med, Dept Internal Med,Sect Med Oncol, Athens, Greece; [Oikonomou, Evangelos; Papamikroulis, George Angelos; Kalogeras, Konstantinos; Lygkoni, Stavroula; Pesiridis, Theodoros; Goliopoulou, Athina; Siasos, Gerasimos] Natl &amp; Kapodistrian Univ Athens, Sotiria Chest Dis Hosp, Med Sch, Dept Cardiol 3, Athens, Greece; [Theofilis, Panagiotis; Tousoulis, Dimitris] Univ Athens, Hippokrat Gen Hosp, Med Sch, Cardiol Dept 1, Athens 11527, Greece; [Gazouli, Maria] Natl &amp; Kapodistrian Univ Athens, Med Sch, Dept Basic Med Sci, Lab Biol, Athens, Greece; [Papatheodoridi, Alkistis; Zagouri, Flora] Natl &amp; Kapodistrian Univ, Alexandra Hosp, Dept Clin Therapeut, Athens Sch Med, Athens 11528, Greece</t>
  </si>
  <si>
    <t>University Hospital Attikon; National &amp; Kapodistrian University of Athens; National &amp; Kapodistrian University of Athens; National &amp; Kapodistrian University of Athens; National &amp; Kapodistrian University of Athens; National &amp; Kapodistrian University of Athens; Athens Medical School; Alexandra Hospital</t>
  </si>
  <si>
    <t>Oikonomou, E (corresponding author), Natl &amp; Kapodistrian Univ Athens, Sotiria Chest Dis Hosp, Med Sch, Dept Cardiol 3, Athens, Greece.</t>
  </si>
  <si>
    <t>boikono@med.uoa.gr</t>
  </si>
  <si>
    <t>Theofilis, Panagiotis/0000-0001-9260-6306</t>
  </si>
  <si>
    <t>Hellenic Society of Medical Oncology (HeSMO),Greece [8019]; Hellenic Society of Cancer Markers and Targeted Therapy, Greece</t>
  </si>
  <si>
    <t>Hellenic Society of Medical Oncology (HeSMO),Greece; Hellenic Society of Cancer Markers and Targeted Therapy, Greece</t>
  </si>
  <si>
    <t>This study was funded by Hellenic Society of Medical Oncology (HeSMO) (Grant No.8019) , Greece and by Hellenic Society of Cancer Markers and Targeted Therapy, Greece. US: Ultrasound echocardiography, FMD: Flow mediated dilation, PWV: Pulse wave velocity.</t>
  </si>
  <si>
    <t>1537-1891</t>
  </si>
  <si>
    <t>1879-3649</t>
  </si>
  <si>
    <t>VASC PHARMACOL</t>
  </si>
  <si>
    <t>Vasc. Pharmacol.</t>
  </si>
  <si>
    <t>10.1016/j.vph.2023.107195</t>
  </si>
  <si>
    <t>O9MV7</t>
  </si>
  <si>
    <t>WOS:001046996800001</t>
  </si>
  <si>
    <t>Anvarifard, MK; Ramezani, Z</t>
  </si>
  <si>
    <t>Anvarifard, Mohammad K.; Ramezani, Zeinab</t>
  </si>
  <si>
    <t>A suggested nanoscale partially depleted SOI-MOSFET (PDSOI) by built-in tunneling diodes- improvement on short channel effects and frequency features</t>
  </si>
  <si>
    <t>PDSOI; Built-in tunneling diode; Floating body effect; Self-heating effect</t>
  </si>
  <si>
    <t>BREAKDOWN-VOLTAGE; DEVICE; PERFORMANCE</t>
  </si>
  <si>
    <t>This paper describes a new modified structure based on partially depleted silicon-on-insulator (PDSOI) MOSFETs with built-in tunneling diodes inside the buried oxide. This action will change the electric field and create a new path for the accumulated holes to be evacuated. Hence, the floating body effect (FBE), which is a very harmful event, is successfully controlled by these built-in diodes. The diodes will be formed by inserting N+ and P+ doping regions inside the buried oxide, which will provide both vertical and lateral holes for current tunneling through the channel region. Furthermore, with the introduction of the tunneling diode inside the buried oxide, the effective thermal conduction of the proposed device increases, eventually resulting in a reduction of the selfheating effect. Two parameters in the cases of reduced self-heating effect and FBE gave the suggested structure a potent capability to gain further figure of merits in the terms of subthreshold swing, leakage current, ION/IOFF, drain-induced barrier lowering (DIBL), power gains, drain-source conductance, cut-off frequency, and minimum noise figure. The device has been simulated by the ATLAS tools from the SILVACO family and compared with the conventional structure. All the obtained results displayed the privilege of the proposed device as compared to the common device.</t>
  </si>
  <si>
    <t>[Anvarifard, Mohammad K.] Univ Guilan, Fac Technol &amp; Engn, Dept Engn Sci, East Guilan, Iran; [Ramezani, Zeinab] Univ Miami, Coll Engn, Dept Elect &amp; Comp Engn, Miami, FL 33146 USA</t>
  </si>
  <si>
    <t>University of Guilan; University of Miami</t>
  </si>
  <si>
    <t>Ramezani, Z (corresponding author), Univ Miami, Coll Engn, Dept Elect &amp; Comp Engn, Miami, FL 33146 USA.</t>
  </si>
  <si>
    <t>z.ramezani@miami.edu</t>
  </si>
  <si>
    <t>10.1016/j.mseb.2023.116612</t>
  </si>
  <si>
    <t>Q8XO3</t>
  </si>
  <si>
    <t>WOS:001060296200001</t>
  </si>
  <si>
    <t>Apat, HK; Nayak, R; Sahoo, B</t>
  </si>
  <si>
    <t>Apat, Hemant Kumar; Nayak, Rashmiranjan; Sahoo, Bibhudatta</t>
  </si>
  <si>
    <t>A comprehensive review on Internet of Things application placement in Fog computing environment</t>
  </si>
  <si>
    <t>INTERNET OF THINGS</t>
  </si>
  <si>
    <t>Application placement; Edge computing; Fog computing; Internet of Things (IoT); Single and multi objective optimization; Quality of Service (QoS)</t>
  </si>
  <si>
    <t>RESOURCE-ALLOCATION; IOT APPLICATIONS; CLOUD; MODEL; EDGE; OPTIMIZATION; FRAMEWORK; INTEGRATION; ALGORITHMS; MANAGEMENT</t>
  </si>
  <si>
    <t>With the rise in Internet of Things (IoT) technology in recent years the amount of resource requirement of various IoT applications substantially increases. The data generated by various geo-distributed IoT devices is growing continuously. The existing IoT-Cloud paradigm limits the number of various emergent IoT applications as per the requirement. To utilize various IoT applications effectively and efficiently resource decentralization mechanism is a time of need. Fog computing is a novel computing approach for various IoT applications, specifically time-sensitive. Though, the resource-constrained nature of Fog devices in the fog computing model certainly fails to cater to multiple services for these IoT applications. The heterogeneity and dynamicity of the application request from the IoT devices need a quick decision regarding the placement of the application in the fog layer. Hence, optimal allocation of resources is quite essential for providing uninterrupted services to the end-users. This article comprehensively analyzes the different types of possible IoT application models and strategies for allocating resources to these applications. Since the resource allocation problem has already been proven to be a computationally NP-hard problem, finding a non-deterministic algorithm for allocating resources is our target. In this article, we have taken the IoT application placement problem in fog computing (APFC) as a single and multiple objective optimization problems. We have conducted a survey based on single and multiple objectives to address other possible issues in APFC. Finally, the challenges and promising directions for further research are presented.</t>
  </si>
  <si>
    <t>[Apat, Hemant Kumar; Sahoo, Bibhudatta] Natl Inst Technol Rourkela, Dept Comp Sci Engn, Sec 1, Rourkela 769008, Odisha, India; [Nayak, Rashmiranjan] Natl Inst Technol Rourkela, Dept Elect &amp; Commun Engn, Sec 1, Rourkela 769008, Odisha, India</t>
  </si>
  <si>
    <t>National Institute of Technology (NIT System); National Institute of Technology Rourkela; National Institute of Technology (NIT System); National Institute of Technology Rourkela</t>
  </si>
  <si>
    <t>Apat, HK (corresponding author), Natl Inst Technol Rourkela, Dept Comp Sci Engn, Sec 1, Rourkela 769008, Odisha, India.</t>
  </si>
  <si>
    <t>hemant.rimt@gmail.com; rashmiranjan.et@gmail.com; bdsahu@nitrkl.ac.in</t>
  </si>
  <si>
    <t>APAT, HEMANT KUMAR/0000-0002-6629-9362</t>
  </si>
  <si>
    <t>2543-1536</t>
  </si>
  <si>
    <t>2542-6605</t>
  </si>
  <si>
    <t>INTERNET THINGS-NETH</t>
  </si>
  <si>
    <t>Internet Things</t>
  </si>
  <si>
    <t>10.1016/j.iot.2023.100866</t>
  </si>
  <si>
    <t>Computer Science, Information Systems; Engineering, Electrical &amp; Electronic; Telecommunications</t>
  </si>
  <si>
    <t>Computer Science; Engineering; Telecommunications</t>
  </si>
  <si>
    <t>P2GL7</t>
  </si>
  <si>
    <t>WOS:001048875000001</t>
  </si>
  <si>
    <t>Araujo, ASL; Simoes, MD; Araujo, OP; Simoes, RS; Baracat, EC; Nader, HB; Soares, JM; Gomes, RCT</t>
  </si>
  <si>
    <t>Araujo, Ariadne S. L.; Simoes, Manuel de J.; Araujo Jr, Osvaldo P.; Simoes, Ricardo S.; Baracat, Edmund C.; Nader, Helena B.; Soares Jr, Jose M.; Gomes, Regina C. T.</t>
  </si>
  <si>
    <t>Hyperprolactinemia modifies extracellular matrix components associated with collagen fibrillogenesis in harderian glands of non- and pregnant female mice</t>
  </si>
  <si>
    <t>EXPERIMENTAL EYE RESEARCH</t>
  </si>
  <si>
    <t>Hyperprolactinemia; Harderian glands; Collagen; Decorin and lumican; TUNEL; Ki67</t>
  </si>
  <si>
    <t>LEUCINE-RICH PROTEOGLYCANS; PORPHYRIN BIOSYNTHESIS; LACRIMAL GLAND; DECORIN; METOCLOPRAMIDE; ORGANIZATION; PROLACTIN; PATIENT; BIOLOGY; EYE</t>
  </si>
  <si>
    <t>The harderian gland (HG) is a gland located at the base of the nictating membrane and fills the inferomedial aspect of the orbit in rodents. It is under the influence of the hypothalamic-pituitary-gonadal axis and, because of its hormone receptors, it is a target tissue for prolactin (PRL) and sex steroid hormones (estrogen and progesterone). In humans and murine, the anterior surface of the eyes is protected by a tear film synthesized by glands associated with the eye. In order to understand the endocrine changes caused by hyperprolactinemia in the glands responsible for the formation of the tear film, we used an animal model with metoclopramide-induced hyperprolactinemia (HPRL). Given the evidences that HPRL can lead to a process of cell death and tissue fibrosis, the protein expression of small leucine-rich proteoglycans (SLRPs) was analyzed through immunohistochemistry in the HG of the non-and the pregnant female mice with hyperprolactinemia. The SRLPs are related to collagen fibrillogenesis and they participate in pro-apoptotic signals. Our data revealed that high prolactin levels and changes in steroid hormones (estrogen and progesterone) can lead to an alteration in the amount of collagen, and in the structure of type I and III collagen fibers through changes in the amounts of lumican and decorin, which are responsible for collagen fibrillogenesis. This fact can lead to the impaired functioning of the HG by excessive apoptosis in the HG of the non-and the pregnant female mice with HPRL and especially in the HG of pregnancy-associated hyperprolactinemia.</t>
  </si>
  <si>
    <t>[Araujo, Ariadne S. L.; Simoes, Manuel de J.; Gomes, Regina C. T.] Univ Fed Sao Paulo, Morphol &amp; Genet Dept, UNIFESP, Sao Paulo, SP, Brazil; [Simoes, Manuel de J.; Simoes, Ricardo S.; Baracat, Edmund C.; Soares Jr, Jose M.; Gomes, Regina C. T.] Univ Sao Paulo, Obstet &amp; Gynecol Dept, FMUSP, Fac Med, Sao Paulo, SP, Brazil; [Araujo Jr, Osvaldo P.; Baracat, Edmund C.; Gomes, Regina C. T.] Univ Fed Sao Paulo, Obstet &amp; Gynecol Dept, UNIFESP, Sao Paulo, SP, Brazil; [Nader, Helena B.] Univ Fed Sao Paulo, Mol Biol Div, Dept Biochem, Sao Paulo, SP, Brazil; [Gomes, Regina C. T.] Univ Sao Paulo, Obstet &amp; Gynecol Dept, Lab Mol &amp; Struct Biol, FMUSP,Fac Med, Av Dr Arnaldo 455, BR-01246903 Sao Paulo, Brazil</t>
  </si>
  <si>
    <t>Universidade Federal de Sao Paulo (UNIFESP); Universidade de Sao Paulo; Universidade Federal de Sao Paulo (UNIFESP); Universidade Federal de Sao Paulo (UNIFESP); Universidade de Sao Paulo</t>
  </si>
  <si>
    <t>Gomes, RCT (corresponding author), Univ Sao Paulo, Obstet &amp; Gynecol Dept, Lab Mol &amp; Struct Biol, FMUSP,Fac Med, Av Dr Arnaldo 455, BR-01246903 Sao Paulo, Brazil.</t>
  </si>
  <si>
    <t>celiateixeira2000@yahoo.com.br</t>
  </si>
  <si>
    <t>Gomes, Regina C.T./G-3385-2013</t>
  </si>
  <si>
    <t>Gomes, Regina C.T./0000-0001-6657-1920</t>
  </si>
  <si>
    <t>Research Support Foundation of the State of Sao Paulo - FAPESP Brazil [11/12417-8]; Coordination for the Improvement of Higher Education Personnel (CAPES) Brazil</t>
  </si>
  <si>
    <t>Research Support Foundation of the State of Sao Paulo - FAPESP Brazil; Coordination for the Improvement of Higher Education Personnel (CAPES) Brazil(Coordenacao de Aperfeicoamento de Pessoal de Nivel Superior (CAPES))</t>
  </si>
  <si>
    <t>Research Support Foundation of the State of Sao Paulo - FAPESP Brazil grant numbers 11/12417-8 and Source of Funding: Coordination for the Improvement of Higher Education Personnel (CAPES) Brazil..</t>
  </si>
  <si>
    <t>0014-4835</t>
  </si>
  <si>
    <t>1096-0007</t>
  </si>
  <si>
    <t>EXP EYE RES</t>
  </si>
  <si>
    <t>Exp. Eye Res.</t>
  </si>
  <si>
    <t>10.1016/j.exer.2023.109612</t>
  </si>
  <si>
    <t>Ophthalmology</t>
  </si>
  <si>
    <t>R7VJ1</t>
  </si>
  <si>
    <t>WOS:001066392900001</t>
  </si>
  <si>
    <t>Araujo, TPM; de Lima Jr, DM; da Silva, ECL; Neves, MLMW; dos Santos, KC; Ferreira, MD; Monnerat, JPI; Alves, SPA; de Bessa, RJB; de Carvalho, FFR</t>
  </si>
  <si>
    <t>Araujo, Thalita Polyana Monteiro; de Lima Jr, Dorgival Morais; da Silva, Erica Carla Lopes; Neves, Maria Luciana Menezes Wanderley; dos Santos, Kelly Cristina; Ferreira, Marcelo de Andrade; Monnerat, Joao Paulo Ismerio; Alves, Susana Paula Almeida; de Bessa, Rui Jose Branquinho; de Carvalho, Francisco Fernando Ramos</t>
  </si>
  <si>
    <t>Effect of cactus species in the diets of dairy goats on feed efficiency, milk yield, and milk and cheese composition</t>
  </si>
  <si>
    <t>ANIMAL FEED SCIENCE AND TECHNOLOGY</t>
  </si>
  <si>
    <t>Cactus cladodes; Goat cheese; Fatty acids; Goat milk; Nopalea; Opuntia</t>
  </si>
  <si>
    <t>FATTY-ACID-COMPOSITION; SPINELESS CACTUS; CHEMICAL-COMPOSITION; VARIETY; SAANEN; CORN</t>
  </si>
  <si>
    <t>This study evaluated the effect of cactus species in dairy goats' diets on feed efficiency, milk yield, and milk and cheese composition. Ten Saanen dairy goats averaging 50.0 &amp; PLUSMN; 10.1 kg of body weight and 3.5 kg/day of milk were randomly assigned to treatments in a replicated 5 x 5 Latin square design, with 14 days for diet adaptation and five days for sample collection. The experi-mental diets included: control (500 g/kg of Tifton-85 hay + 500 g/kg concentrate); NC (150 g/kg of hay + 350 g/kg of Nopalea cochenillifera + 500 g/kg concentrate); NC:OS (150 g/kg of hay + 235 g/kg Nopalea cochenillifera + 115 g/kg Opuntia stricta + 500 g/kg concentrate); OS:NC (150 g/kg hay + 235 g/kg Opuntia stricta + 115 g/kg Nopalea cochenillifera + 500 g/kg concentrate); and OS (150 g/kg hay + 350 g/kg Opuntia stricta + 500 g/kg concentrate). All the treatments contained 500 g/kg of concentrate. Including cactus cladodes increased (P &lt; 0.05) the intake and digestibility of non-fibrous carbohydrates and reduced (P &lt; 0.05) the intake and digestibility of neutral detergent fiber. Furthermore, it increased (P &lt; 0.05) milk yield despite the absence of a difference in dry matter intake. The lowest (P &lt; 0.05) protein and total solids concentrations were observed in the OS treatment milk. The levels of C18:1t10 and CLA in milk were similar (P &gt; 0.05) in the control and NC diets but lower (P &lt; 0.05) for the OS diet. Cactus cladodes increased (P &lt; 0.05) the contents of medium-chain fatty acids (FA) and reduced (P &lt; 0.05) the long-chain and monounsaturated fatty acids in milk. Diets with cactus cladodes increased (P &lt; 0.05) the protein content and pH of the cheese. The cactus cladodes inclusion in the diets of lactating goats, in the proportions studied, increases milk yield and improves the composition and sensory at-tributes of coalho cheese</t>
  </si>
  <si>
    <t>[Araujo, Thalita Polyana Monteiro; da Silva, Erica Carla Lopes; Neves, Maria Luciana Menezes Wanderley; dos Santos, Kelly Cristina; Ferreira, Marcelo de Andrade; Monnerat, Joao Paulo Ismerio; de Carvalho, Francisco Fernando Ramos] Rural Fed Univ Pernambuco, Dept Anim Sci, Dom Manoel De Medeiros S-N, BR-52171900 Recife, PE, Brazil; [de Lima Jr, Dorgival Morais] Rural Fed Univ Semiarid, Francisco Mota St 572, BR-59625900 Mossoro, RN, Brazil; [Alves, Susana Paula Almeida; de Bessa, Rui Jose Branquinho] Univ Lisbon, Fac Med Vet, Ctr Invest Interdisciplinar Sanidade Anim CIISA, P-1300477 Lisbon, Portugal; [Alves, Susana Paula Almeida; de Bessa, Rui Jose Branquinho] Associate Lab Anim &amp; Vet Sci AL4AnimalS, Lisbon, Portugal</t>
  </si>
  <si>
    <t>Universidade Federal Rural de Pernambuco (UFRPE); Universidade de Lisboa</t>
  </si>
  <si>
    <t>dos Santos, KC (corresponding author), Rural Fed Univ Pernambuco, Dept Anim Sci, Dom Manoel De Medeiros S-N, BR-52171900 Recife, PE, Brazil.</t>
  </si>
  <si>
    <t>kcsantos.ks@gmail.com</t>
  </si>
  <si>
    <t>National Council of Scientific and Technological Development (CNPq); Coordination of Improvement of Higher Education Personnel (CAPES) [88887.159207/2017]; Foundation for the Support of Science and Technology of Pernambuco (FACEPE) [APQ 0425-5.04/14]</t>
  </si>
  <si>
    <t>National Council of Scientific and Technological Development (CNPq)(Conselho Nacional de Desenvolvimento Cientifico e Tecnologico (CNPQ)); Coordination of Improvement of Higher Education Personnel (CAPES)(Coordenacao de Aperfeicoamento de Pessoal de Nivel Superior (CAPES)); Foundation for the Support of Science and Technology of Pernambuco (FACEPE)</t>
  </si>
  <si>
    <t>The project was supported by the National Council of Scientific and Technological Development (CNPq) , the Coordination of Improvement of Higher Education Personnel (CAPES) process number 88887.159207/2017, and the Foundation for the Support of Science and Technology of Pernambuco (FACEPE) process number APQ 0425-5.04/14.</t>
  </si>
  <si>
    <t>0377-8401</t>
  </si>
  <si>
    <t>1873-2216</t>
  </si>
  <si>
    <t>ANIM FEED SCI TECH</t>
  </si>
  <si>
    <t>Anim. Feed Sci. Technol.</t>
  </si>
  <si>
    <t>10.1016/j.anifeedsci.2023.115755</t>
  </si>
  <si>
    <t>Agriculture, Dairy &amp; Animal Science</t>
  </si>
  <si>
    <t>R3PP4</t>
  </si>
  <si>
    <t>WOS:001063508000001</t>
  </si>
  <si>
    <t>Archontikis, OA; Millan, JG; Andruleit, H; Cros, L; Kleijne, A; Heldal, M; Doan-Nhu, H; Winter, A; Blanco-Bercial, L; Young, JR</t>
  </si>
  <si>
    <t>Archontikis, Odysseas A.; Millan, Josue G.; Andruleit, Harald; Cros, Lluisa; Kleijne, Annelies; Heldal, Mikal; Doan-Nhu, Hai; Winter, Amos; Blanco-Bercial, Leocadio; Young, Jeremy R.</t>
  </si>
  <si>
    <t>Taxonomy and morphology of Calciopappus curvus sp. nov. (Syracosphaeraceae, Prymnesiophyceae), a novel appendage-bearing coccolithophore</t>
  </si>
  <si>
    <t>PROTIST</t>
  </si>
  <si>
    <t>Biodiversity; Lower Photic Zone; Morphology; Phytoplankton; Syracosphaerales; Taxonomy</t>
  </si>
  <si>
    <t>REVISED CLASSIFICATION SCHEME; ET-SP-NOV; GALAPAGOS-ISLANDS; LIFE-CYCLE; ULTRASTRUCTURE; HOLOCOCCOLITHOPHORES; NANOPLANKTON; HAPTOPHYCEAE; INSIGHTS; SEA</t>
  </si>
  <si>
    <t>Based on scanning electron microscopy observations, a new species of the coccolithophore genus Calciopappus (Syracosphaeraceae, Prymnesiophyceae) is described from the surface waters off Bergen and from the lower photic zone of sub-tropical and tropical waters. Morphological, coccolith rim structure and biometric analyses strongly support separation of this morphotype from the two described Calciopappus species, but inclusion of it within the genus. The new form differs from the other species in being noticeably smaller and in morphostructural details of each of the three coccolith types that form the coccosphere: (1) the body coccoliths have an open central area; (2) the whorl coccoliths have a wide central opening and two thumb-like protrusions; and (3) the appendage coccoliths are curved. On this basis, the species is formally described as Calciopappus curvus sp. nov., its systematic affinity is discussed and compared with other extant coccolithophores.</t>
  </si>
  <si>
    <t>[Archontikis, Odysseas A.] Univ Oxford, Dept Earth Sci, South Parks Rd, Oxford OX1 3AN, England; [Archontikis, Odysseas A.] Nat Hist Museum, Dept Earth Sci, Cromwell Rd, London SW7 5BD, England; [Millan, Josue G.; Winter, Amos] Indiana State Univ, Dept Earth &amp; Environm Syst, Terre Haute, IN 47809 USA; [Andruleit, Harald] Bundesanstalt Geowissensch &amp; Rohstoffe BGR, Stilleweg 2, D-30655 Hannover, Germany; [Cros, Lluisa] Inst Ciencies Mar, CSIC, Passeig Maritim Barceloneta 37-49, E-08003 Barcelona, Spain; [Kleijne, Annelies] Nat Biodivers Ctr, Plankton Divers &amp; Evolut Grp, Darwinweg 2, NL-2333 CR Leiden, Netherlands; [Heldal, Mikal] Univ Bergen, Dept Biol Sci, Thorm Ohlensgate 53 A-B, N-5020 Bergen, Norway; [Doan-Nhu, Hai] Viet Nam Acad Sci &amp; Technol, Inst Oceanog, 01 Cau Da, Nha Trang, Vietnam; [Blanco-Bercial, Leocadio] Arizona State Univ, Bermuda Inst Ocean Sci, 17 Biol Stn, GE-01 St Georges, Bermuda; [Young, Jeremy R.] Univ London Univ Coll, Dept Earth Sci, London WC1E 6BT, England</t>
  </si>
  <si>
    <t>University of Oxford; Natural History Museum London; Indiana State University; Consejo Superior de Investigaciones Cientificas (CSIC); CSIC - Centro Mediterraneo de Investigaciones Marinas y Ambientales (CMIMA); CSIC - Instituto de Ciencias del Mar (ICM); Naturalis Biodiversity Center; University of Bergen; Vietnam Academy of Science &amp; Technology (VAST); Bermuda Institute of Ocean Sciences; University of London; University College London</t>
  </si>
  <si>
    <t>Archontikis, OA (corresponding author), Univ Oxford, Dept Earth Sci, South Parks Rd, Oxford OX1 3AN, England.;Archontikis, OA (corresponding author), Nat Hist Museum, Dept Earth Sci, Cromwell Rd, London SW7 5BD, England.</t>
  </si>
  <si>
    <t>odysseas.archontikis@univ.ox.ac.uk</t>
  </si>
  <si>
    <t>Doan-Nhu, Hai/ABE-5487-2020; Blanco-Bercial, Leocadio/G-5441-2013</t>
  </si>
  <si>
    <t>Doan-Nhu, Hai/0000-0003-4261-7255; Millan, Josue G/0000-0001-6257-725X; Archontikis, Odysseas A./0000-0002-0092-1980; Blanco-Bercial, Leocadio/0000-0003-0658-7183</t>
  </si>
  <si>
    <t>Coccolithophorid Evolutionary Biodiversity and Ecology Network; Bermuda Institute of Ocean Sciences (BIOS); NASA Indiana Space Grant Consortium [ERB-FRMX-CT97-0113]; MICINN (Spain); WOTRO Science for Global Development URG [80NSSC20M0121]; Viet Nam Academy of Science and Technology [RTI2018-095083-B-100]; Bermuda Atlantic Time-series Study (BATS) [W84-76]; Simons Foundation International (BIOSSCOPE) [NVCC17.02/ 22-23]; NA Foundation Katharina von Salis Graduate Fellowship [OCE-1756105, OCE-2122606]; UK Natural Environment Research Council; [NE/S007474/1]</t>
  </si>
  <si>
    <t>Coccolithophorid Evolutionary Biodiversity and Ecology Network; Bermuda Institute of Ocean Sciences (BIOS); NASA Indiana Space Grant Consortium; MICINN (Spain)(Spanish Government); WOTRO Science for Global Development URG; Viet Nam Academy of Science and Technology; Bermuda Atlantic Time-series Study (BATS); Simons Foundation International (BIOSSCOPE); NA Foundation Katharina von Salis Graduate Fellowship; UK Natural Environment Research Council(UK Research &amp; Innovation (UKRI)Natural Environment Research Council (NERC));</t>
  </si>
  <si>
    <t>We are thankful to the fellow scientists and crew of the R/V Atlantic Explorer, R/V Garcia del Cid, R/V Hesperides, R/V L'Atalante and R/V Sonne for their valuable assistance in collecting seawater samples. We gratefully acknowledge Markus Geisen, Andy Howard, Sandra Broerse, Daniel Vaulot and Laura Arin for their help in obtaining samples. Special thanks are due to Jose-Manuel Fortuno and Maximino Delgado for kindly providing the SEM image illustrated in Fig. 1A.1. We also extend our gratitude to Innes Clatworthy, Alex Ball, Jeffery Stone and Jose- Manuel Fortuno for their assistance with the SEM, and to Giles Miller and Barrett Brookes for cataloguing our material at, respectively, the Natural History Museum London, UK, and the US National Herbarium of the Smithsonian Institute. The handling editor, Wiebe H.C.F Kooistra &amp; nbsp;and the three anonymous reviewers are warmly thanked for their careful perusal of our article and the thoughtful suggestions. This study is a contribution to the EC-TMR research project CODE-NET, Coccolithophorid Evolutionary Biodiversity and Ecology Network (contract no. ERB-FRMX-CT97-0113) and the Bermuda Institute of Ocean Sciences (BIOS) Grant-in-Aid awarded to JGM. Part of this study is also a contribution to the Bermuda Biodiversity Project (BBP), Bermuda Aquarium, Museum and Zoo, Department of Environment &amp; amp; Natural Resources (special permit no. SP201201). Partial support has been provided by the NASA Indiana Space Grant Consortium (award no. 80NSSC20M0121) via a Doctoral Fellowship to JGM (US), HICCUP (RTI2018-095083-B-100) from MICINN (Spain) to LC, WOTRO Science for Global Development URG W84-76 (The Netherlands) to AK and the Viet Nam Academy of Science and Technology (grant no. NVCC17.02/ 22-23) to HDN. JGM, AW and LBB acknowledge the Bermuda Atlantic Time-series Study (BATS; NSF OCE-1756105 and OCE-2122606) and the Simons Foundation International (BIOSSCOPE). OAA acknowledges an INA Foundation Katharina von Salis Graduate Fellowship. This work was supported by the UK Natural Environment Research Council under grant no. NE/S007474/1 to OAA</t>
  </si>
  <si>
    <t>1434-4610</t>
  </si>
  <si>
    <t>1618-0941</t>
  </si>
  <si>
    <t>Protist</t>
  </si>
  <si>
    <t>10.1016/j.protis.2023.125983</t>
  </si>
  <si>
    <t>Microbiology</t>
  </si>
  <si>
    <t>Q5PX3</t>
  </si>
  <si>
    <t>WOS:001058052500001</t>
  </si>
  <si>
    <t>Arslan, A; Keskin, M; Soysal, Y</t>
  </si>
  <si>
    <t>Arslan, Aysel; Keskin, Muharrem; Soysal, Yurtsever</t>
  </si>
  <si>
    <t>Rapid and non-destructive detection of organic carrot powder adulteration using spectroscopic techniques</t>
  </si>
  <si>
    <t>JOURNAL OF FOOD COMPOSITION AND ANALYSIS</t>
  </si>
  <si>
    <t>Colorimeter; Near infrared-spectroscopy; Chemometrics; Food safety; Powder foods</t>
  </si>
  <si>
    <t>DRYING KINETICS; COLOR QUALITY; NIR</t>
  </si>
  <si>
    <t>Additives used for food adulteration are difficult to detect because they have properties similar to the samples they are added to. Organic foods have more positive effects on food safety compared to their conventional counterparts. Therefore, it is important to assess the detectability of additives that resemble the main ingredient and are used for adulteration purposes in organic powdered products. In this study, the feasibility of using a chromameter and near infrared spectroscopy (NIRS) to discriminate adulterated organic black carrot powders, which were dried by hot air (HA) and intermittent microwave (IMW), was investigated. Principal component analysis (PCA) and partial least squares regression (PLSR) were used for data analysis. The best PLSR models for estimating the adulteration level (%) were obtained using NIRS data (R2val=0.98, RMSEP=4.9%) for samples dried by HA. Furthermore, results showed that temperature or power levels applied during drying affected the efficiency of adulteration determination in samples.</t>
  </si>
  <si>
    <t>[Arslan, Aysel; Keskin, Muharrem; Soysal, Yurtsever] Hatay Mustafa Kemal Univ, Fac Agr, Dept Biosyst Engn, TR-31040 Antakya, Hatay, Turkiye; [Arslan, Aysel] Erciyes Univ, Fac Agr, Dept Biosyst Engn, TR-38039 Melikgazi, Kayseri, Turkiye</t>
  </si>
  <si>
    <t>Mustafa Kemal University; Erciyes University</t>
  </si>
  <si>
    <t>Arslan, A (corresponding author), Hatay Mustafa Kemal Univ, Fac Agr, Dept Biosyst Engn, TR-31040 Antakya, Hatay, Turkiye.</t>
  </si>
  <si>
    <t>aysel.arslan.hty@gmail.com</t>
  </si>
  <si>
    <t>ARSLAN, AYSEL/GYJ-7423-2022; Arslan, Aysel/HNP-8843-2023</t>
  </si>
  <si>
    <t>ARSLAN, AYSEL/0000-0002-0060-0263; Arslan, Aysel/0000-0002-4973-7957</t>
  </si>
  <si>
    <t>Scientific Research Department of Hatay Mustafa Kemal University [20.D.013]</t>
  </si>
  <si>
    <t>Scientific Research Department of Hatay Mustafa Kemal University</t>
  </si>
  <si>
    <t>This study is derived from the Ph.D. thesis of Dr. Aysel Arslan, entitled as The usability of color and near -infrared reflection data in the determination of adulteration in dried and powdered organic black carrot. The thesis was completed in 2021 at Hatay Mustafa Kemal University, Department of Biosystems Engineering, Graduate School of Natural Sciences. The authors grateful to Scientific Research Department of Hatay Mustafa Kemal University for providing financial support (Project no: 20.D.013) . The authors also thank to Dr. Yunus Emre Sekerli and Prof. Dr. Nafiz Celiktas , for their assistance.</t>
  </si>
  <si>
    <t>0889-1575</t>
  </si>
  <si>
    <t>1096-0481</t>
  </si>
  <si>
    <t>J FOOD COMPOS ANAL</t>
  </si>
  <si>
    <t>J. Food Compos. Anal.</t>
  </si>
  <si>
    <t>10.1016/j.jfca.2023.105572</t>
  </si>
  <si>
    <t>P8NT3</t>
  </si>
  <si>
    <t>WOS:001053189800001</t>
  </si>
  <si>
    <t>Asadzadeh, R; Nafar, M; Ahmadpoor, P; Samavat, S; Nikoueinejad, H; Hosseinzadeh, M; Mamizadeh, N; Hatami, S; Amirzargar, A</t>
  </si>
  <si>
    <t>Asadzadeh, Reza; Nafar, Mohsen; Ahmadpoor, Pedram; Samavat, Shiva; Nikoueinejad, Hassan; Hosseinzadeh, Morteza; Mamizadeh, Nahid; Hatami, Saeideh; Amirzargar, Aliakbar</t>
  </si>
  <si>
    <t>Investigating the relationship between the number and activity of natural killer cells with increased cytomegalovirus and CMV disease after kidney transplantation</t>
  </si>
  <si>
    <t>TRANSPLANT IMMUNOLOGY</t>
  </si>
  <si>
    <t>Kidney transplantation; NK-cell; Cytomegalovirus</t>
  </si>
  <si>
    <t>CD69 EXPRESSION; CYCLOSPORINE-A; T-LYMPHOCYTES; INFECTION; INHIBITION; ACTIVATION; RECEPTOR; IL-15; LOAD</t>
  </si>
  <si>
    <t>Background: Cytomegalovirus (CMV) infections caused by the cytomegalovirus are one of the most common problems in patients after kidney transplant. We examined the association of the relationship between the number and activity of natural killer cells with increased cytomegalovirus and its related disease after kidney transplantation.Material and methods: In this analytical study, 58 new transplant patients in the Labbafinejad Hospital, who did not have any evidence of CMV infection, were evaluated based on the number and percentage of CD56+/16+, CD56+/16-, and CD69+ Natural Killer (NK) cells.Results: The results of this study showed that CD16+ and CD56+ cells in the group of CMV Ag-positive patients are less than negative patients (p = 0.003) and the difference between the two groups are significant (p = 0.01). However, CD69+ cells did not differ significantly between the two groups (p = 0.1). Moreover, the absolute number of CD16+ and CD56+ cells declined significantly after infection with CMV unlike the CMV Ag - group(p = 0.003). Discussion: These results indicate that kidney transplant patients suffering from CMV infection after transplantation have a significantly reduced total number of NK cells. On the other hand, a slight decrease in the number of NK subgroups was observed with an increase in the peak serum levels of cyclosporine. As a consequence of these findings, it can be assumed that more dosage and a higher level of the drug will result in more severe immunosuppression and, consequently, increased susceptibility to CMV infections. Thus, taking the right dose of the drug would prevent viral infections and immune system from over-activation.</t>
  </si>
  <si>
    <t>[Asadzadeh, Reza; Nafar, Mohsen; Mamizadeh, Nahid] Shahid Beheshti Univ Med Sci, Chron Kidney Dis Res Ctr, Shahid Labbafinejad Med Ctr, Tehran, Iran; [Ahmadpoor, Pedram; Samavat, Shiva] Shahid Beheshti Univ Med Sci, Urol &amp; Nephrol Res Ctr, Shahid Labbafinejad Med Ctr, Tehran, Iran; [Nikoueinejad, Hassan] Baqiyatallah Univ Med Sci, Nephrol &amp; Urol Res Ctr, Tehran, Iran; [Hosseinzadeh, Morteza] Ilam Univ Med Sci, Sch Med, Dept Immunol, Ilam, Iran; [Hatami, Saeideh] Iran Univ Med Sci, Dept Tissue Engn &amp; Regenerat Med, Tehran, Iran; [Amirzargar, Aliakbar] Univ Tehran Med Sci, Sch Med, Dept Immunol, Tehran, Iran</t>
  </si>
  <si>
    <t>Shahid Beheshti University Medical Sciences; Shahid Beheshti University Medical Sciences; Baqiyatallah University of Medical Sciences (BMSU); Iran University of Medical Sciences; Tehran University of Medical Sciences</t>
  </si>
  <si>
    <t>Nafar, M (corresponding author), Shahid Beheshti Univ Med Sci, Chron Kidney Dis Res Ctr, Shahid Labbafinejad Med Ctr, Tehran, Iran.;Hatami, S (corresponding author), Iran Univ Med Sci, Dept Tissue Engn &amp; Regenerat Med, Tehran, Iran.</t>
  </si>
  <si>
    <t>asadzadeh-r@medilam.ac.ir; m.nafar.md@gmail.com; pedram.ahmadpoor@chu-nimes.fr; samavat@sbmu.ac.ir; hnikuinejad@bmsu.ac.ir; hosseinzadeh-m@medilam.ac.ir; mamizadeh-n@medilam.ac.ir; saeideh.hatami@yahoo.com; amirzara@sina.tums.ac.ir</t>
  </si>
  <si>
    <t>Samavat, Shiva/AAU-4894-2021</t>
  </si>
  <si>
    <t>Samavat, Shiva/0000-0001-6707-7844</t>
  </si>
  <si>
    <t>Urology and Nephrology Research Center, Shahid Labbafinejad Medical Center, Shahid Beheshti University of Medical Sciences [891224-6]</t>
  </si>
  <si>
    <t>Urology and Nephrology Research Center, Shahid Labbafinejad Medical Center, Shahid Beheshti University of Medical Sciences</t>
  </si>
  <si>
    <t>This research was financially supported by a grant from the Urology and Nephrology Research Center, Shahid Labbafinejad Medical Center, Shahid Beheshti University of Medical Sciences (No.891224-6) .</t>
  </si>
  <si>
    <t>0966-3274</t>
  </si>
  <si>
    <t>1878-5492</t>
  </si>
  <si>
    <t>TRANSPL IMMUNOL</t>
  </si>
  <si>
    <t>Transpl. Immunol.</t>
  </si>
  <si>
    <t>10.1016/j.trim.2023.101887</t>
  </si>
  <si>
    <t>Immunology; Transplantation</t>
  </si>
  <si>
    <t>P3CL6</t>
  </si>
  <si>
    <t>WOS:001049453100001</t>
  </si>
  <si>
    <t>Ashad-Bishop, KC; Bispo, JAB; Nahodyl, L; Balise, RR; Kobetz, EK; Bailey, ZD</t>
  </si>
  <si>
    <t>Ashad-Bishop, Kilan C.; Bispo, Jordan A. Baeker; Nahodyl, Lauren; Balise, Raymond R.; Kobetz, Erin K.; Bailey, Zinzi D.</t>
  </si>
  <si>
    <t>Hyperlocal disparities in breast, cervical, and colorectal cancer screening: An ecological study of social vulnerability in Miami-Dade county</t>
  </si>
  <si>
    <t>PREVENTIVE MEDICINE REPORTS</t>
  </si>
  <si>
    <t>Social vulnerability; Early detection of cancer; Ethnic and racial minorities; Socioeconomic factors; Residence characteristics; Health services accessibility; Healthcare disparities; Breast cancer; Cervical cancer; Colorectal cancer</t>
  </si>
  <si>
    <t>STRUCTURAL RACISM; HEALTH; NEIGHBORHOOD; IMPACT; CITIZENSHIP; ADHERENCE; LEVEL</t>
  </si>
  <si>
    <t>Neighborhoods have been identified as important determinants of health-related outcomes, but limited research has assessed the influence of neighborhood context along the cancer continuum. This study used census tractlevel data from the United States Census Bureau and Centers for Disease Control and Prevention to characterize Miami-Dade County census tracts (n = 492) into social vulnerability clusters and assess their associated breast, cervical, and colorectal cancer screening participation rates. We identified disparities by social vulnerability cluster in cancer screening participation rates. Further investigation of geographic disparities in social vulnerability and cancer screening participation could inform equity-focused cancer control efforts.</t>
  </si>
  <si>
    <t>[Ashad-Bishop, Kilan C.; Nahodyl, Lauren; Balise, Raymond R.; Kobetz, Erin K.; Bailey, Zinzi D.] Univ Miami, Miller Sch Med, Miami, FL 33136 USA; [Ashad-Bishop, Kilan C.; Nahodyl, Lauren; Balise, Raymond R.; Kobetz, Erin K.; Bailey, Zinzi D.] Univ Miami, Sylvester Comprehens Canc Ctr, Miami, FL 33136 USA; [Bispo, Jordan A. Baeker] Amer Canc Soc, Atlanta, GA 30303 USA; [Ashad-Bishop, Kilan C.] Univ Miami, Miller Sch Med, Don Soffer Clin Res Ctr, 1120 NW 14th St, Miami, FL 33136 USA</t>
  </si>
  <si>
    <t>University of Miami; University of Miami; American Cancer Society; University of Miami</t>
  </si>
  <si>
    <t>Ashad-Bishop, KC (corresponding author), Univ Miami, Miller Sch Med, Don Soffer Clin Res Ctr, 1120 NW 14th St, Miami, FL 33136 USA.</t>
  </si>
  <si>
    <t>k.ashadbishop@miami.edu</t>
  </si>
  <si>
    <t>Ashad-Bishop, Kilan/0000-0001-6846-3499</t>
  </si>
  <si>
    <t>National Institutes of Health (NIH), National Cancer Institute (NCI), Cancer Training in Disparities and Equity (C-TIDE) Program [5T32CA251064-03]</t>
  </si>
  <si>
    <t>National Institutes of Health (NIH), National Cancer Institute (NCI), Cancer Training in Disparities and Equity (C-TIDE) Program</t>
  </si>
  <si>
    <t>This work was being supported by the National Institutes of Health (NIH), National Cancer Institute (NCI), Cancer Training in Disparities and Equity (C-TIDE) Program (T32) 5T32CA251064-03 (Frank Penedo and Erin Kobetz, co-PIs).The authors declare no potential conflicts of interest.r TIDE) Program (T32) 5T32CA251064-03 (Frank Penedo and Erin Kobetz, co-PIs) .The authors declare no potential conflicts of interest.</t>
  </si>
  <si>
    <t>2211-3355</t>
  </si>
  <si>
    <t>PREV MED REP</t>
  </si>
  <si>
    <t>Prev. Med. Rep.</t>
  </si>
  <si>
    <t>10.1016/j.pmedr.2023.102371</t>
  </si>
  <si>
    <t>Public, Environmental &amp; Occupational Health</t>
  </si>
  <si>
    <t>R0MM7</t>
  </si>
  <si>
    <t>Green Published, gold</t>
  </si>
  <si>
    <t>WOS:001061369500001</t>
  </si>
  <si>
    <t>Aslan, E; Sahin, G; Goktas, A</t>
  </si>
  <si>
    <t>Aslan, Esra; Sahin, Gulsen; Goktas, Abdullah</t>
  </si>
  <si>
    <t>Facile synthesis of Sb2S3 micro-materials for highly sensitive visible light photodetectors and photocatalytic applications</t>
  </si>
  <si>
    <t>Antimony sulfide; Photodetector; Photocatalytic; Ethanolamine</t>
  </si>
  <si>
    <t>SOLAR-CELLS; FILMS; IMPACT; ARRAYS; G-C3N4</t>
  </si>
  <si>
    <t>The current study shows that by varying the amount of ethanolamine in precursor solutions, Sb2S3 structures with large sizes (up to 10 &amp; mu;m) and strong visible light photosensitivity and photocatalytic activity can be prepared. Chemicals such as ethanolamine, thiourea, 2-methoxy ethanol, and antimony (III) chloride were employed to prepare Sb2S3 micro-structures. XRD and Raman studies show that all samples crystallize in an orthorhombic crystal structure without a secondary phase. Measurements of photosensitivity in visible light reveal that the decay and rise times are around 0.4 and 0.2 s for the samples. According to the photoluminescence data, it is possible to decrease the structural defects in Sb2S3 and thereby enhance the photosensitivity up to 2600 by varying the amount of ethanolamine. On the other hand, in studies using 100-Watt visible light and 0.4 mg/ml photocatalytic Sb2S3 material, it was observed that the methylene blue solution was degraded by 95.88% within 60 min. The findings suggest that the amount of ethanolamine in the precursor is critical in the development of Sb2S3 semiconductor materials for photodetectors and photocatalytic applications.</t>
  </si>
  <si>
    <t>[Aslan, Esra; Goktas, Abdullah] Harran Univ, Fac Arts &amp; Sci, Dept Phys, TR-63290 Sanliurfa, Turkiye; [Sahin, Gulsen] Adiyaman Univ, Fac Educ, Dept Math &amp; Sci Educ, TR-02040 Adiyaman, Turkiye</t>
  </si>
  <si>
    <t>Harran University; Adiyaman University</t>
  </si>
  <si>
    <t>Aslan, E (corresponding author), Harran Univ, Fac Arts &amp; Sci, Dept Phys, TR-63290 Sanliurfa, Turkiye.</t>
  </si>
  <si>
    <t>esrapalaliaslan@gmail.com</t>
  </si>
  <si>
    <t>GÖKTAŞ, Abdullah/S-4887-2016</t>
  </si>
  <si>
    <t>GÖKTAŞ, Abdullah/0000-0001-8837-8646; Aslan, Esra/0000-0002-3987-1570</t>
  </si>
  <si>
    <t>Harran University's project; [22038]</t>
  </si>
  <si>
    <t>Harran University's project(Harran University);</t>
  </si>
  <si>
    <t>This project was funded by Harran University's project unit under project number 22038.</t>
  </si>
  <si>
    <t>10.1016/j.matchemphys.2023.128160</t>
  </si>
  <si>
    <t>P9ZB2</t>
  </si>
  <si>
    <t>WOS:001054180700001</t>
  </si>
  <si>
    <t>Ata, B; La Marca, A; Polyzos, N</t>
  </si>
  <si>
    <t>Ata, Baris; La Marca, Antonio; Polyzos, Nikolaos</t>
  </si>
  <si>
    <t>Free your patients and yourself from day 2-3: start ovarian stimulation any time in freeze-all cycles</t>
  </si>
  <si>
    <t>REPRODUCTIVE BIOMEDICINE ONLINE</t>
  </si>
  <si>
    <t>IN-VITRO FERTILIZATION; LUTEAL-PHASE; MENSTRUAL-CYCLE; IVF</t>
  </si>
  <si>
    <t>Ovarian stimulation for assisted reproductive technology is traditionally started in the early follicular phase. The essential rationale is to allow timely follicle growth and oocyte retrieval to ensure synchronization of the in-vitro cultured embryos with the receptive period of the endometrium in a fresh transfer cycle. In addition, conventional thought suggested that follicle recruitment happened only once, around menstruation. A deeper understanding of folliculogenesis, advances in cryobiology and an increasing proportion of freeze-all cycles provide a unique opportunity here. Experience from oncofertility patients as well as infertile women and oocyte donors who underwent ovarian stimulation in different phases of the menstrual cycle, dubbed 'random start' cycles, suggests that the number of oocytes collected and their reproductive potential do not depend on the time of starting ovarian stimulation, although the duration of stimulation and gonadotrophin consumption can vary slightly. It may be time to free both patients and clinics from the obsession with starting ovarian stimulation in the early follicular phase in planned freeze-all cycles. The flexibility provided by random start cycles is one aspect of individualizing treatment to patients' needs.</t>
  </si>
  <si>
    <t>[Ata, Baris] ART Fertil Clin, Dubai, U Arab Emirates; [Ata, Baris] Koc Univ, Sch Med, Dept Obstet &amp; Gynecol, Istanbul, Turkiye; [La Marca, Antonio] Univ Modena &amp; Reggio Emilia, Dept Med &amp; Surg Sci Children &amp; Adults, Modena, Italy; [Polyzos, Nikolaos] Dexeus Univ Hosp, Dept Reprod Med, Barcelona, Spain; [Polyzos, Nikolaos] Univ Ghent, Fac Med &amp; Hlth Sci, Ghent, Belgium</t>
  </si>
  <si>
    <t>Koc University; Universita di Modena e Reggio Emilia; Ghent University</t>
  </si>
  <si>
    <t>Ata, B (corresponding author), ART Fertil Clin, Dubai, U Arab Emirates.;Ata, B (corresponding author), Koc Univ, Sch Med, Dept Obstet &amp; Gynecol, Istanbul, Turkiye.</t>
  </si>
  <si>
    <t>baris.ata@artfertilityclinics.com</t>
  </si>
  <si>
    <t>Ata, Baris/0000-0003-1106-3747</t>
  </si>
  <si>
    <t>1472-6483</t>
  </si>
  <si>
    <t>1472-6491</t>
  </si>
  <si>
    <t>REPROD BIOMED ONLINE</t>
  </si>
  <si>
    <t>Reprod. Biomed. Online</t>
  </si>
  <si>
    <t>10.1016/j.rbmo.2023.103305</t>
  </si>
  <si>
    <t>Obstetrics &amp; Gynecology; Reproductive Biology</t>
  </si>
  <si>
    <t>R8TP0</t>
  </si>
  <si>
    <t>WOS:001067028100001</t>
  </si>
  <si>
    <t>Azmy, EM; Hagras, M; Ewida, MA; Doghish, AS; Khidr, EG; El-Husseiny, AA; Gomaa, MH; Refaat, HM; Ismail, NSM; Nassar, IF; Lashin, WH</t>
  </si>
  <si>
    <t>Azmy, Eman M.; Hagras, Mohamed; Ewida, Menna A.; Doghish, Ahmed S.; Khidr, Emad Gamil; El-Husseiny, Ahmed A.; Gomaa, Maher H.; Refaat, Hanan M.; Ismail, Nasser S. M.; Nassar, Ibrahim F.; Lashin, Walaa H.</t>
  </si>
  <si>
    <t>Development of pyrolo[2,3-c]pyrazole, pyrolo[2,3-d]pyrimidine and their bioisosteres as novel CDK2 inhibitors with potent in vitro apoptotic anti-proliferative activity: Synthesis, biological evaluation and molecular dynamics investigations</t>
  </si>
  <si>
    <t>Pyrolo[2; 3-c]pyrazole; 3-c]isoaxazole; 3-d]pyrimidine; Pyrolo[3; 2-c]pyridine; Indole; CDK2; Apoptosis; Molecular dynamic; 3DQSAR; ADMET</t>
  </si>
  <si>
    <t>ASSAY</t>
  </si>
  <si>
    <t>Inhibiting the CDK2/cyclin A2 enzyme has been validated in multiple clinical manifestations related to multiple types of cancer. Herein, novel series of pyrolo[2,3-c]pyrazole, pyrolo[2,3-c]isoaxazole and pyrolo[2,3-d]pyrimidine, pyrolo[3,2-c]pyridine &amp; indole based analogs were designed, synthesized and biologically evaluated for their in vitro antiproliferative activity where the obtained results revealed that most of the newly synthesized compounds showed significant cytotoxic activity towards MCF-7 (breast cancer cell lines) and HepG-2 (hepatocellular carcinoma) with IC50 ranging from 3.20 &amp; mu;M to 10.05 &amp; mu;M &amp; from 2.18 &amp; mu;M to 13.49 &amp; mu;M, respectively, compared to that of Sorafenib (IC50 9.76 &amp; 13.19 &amp; mu;M, respectively). The in vitro inhibitory profile of the most promising compounds (9, 11, 14, 15, 16, 17 and 20) towards CDK2/CyclinA2 was evaluated. Compounds 14 &amp; 15 exhibited potent inhibitory profile against CDK2 with (IC50 0.11 and 0.262 &amp; mu;M, respectively comparable to Sorafenib IC50 0.184 &amp; mu;M. Western blotting of 14 &amp; 15 at MCF-7 cell line confirmed the diminishing activity on CDK2. Furthermore, both compounds exserted a significant cell cycle arrest and apoptosis. Moreover, the normal cell line cytotoxicity for both compounds revealed low cytotoxic results in normal cells rather than cancer cells. Molecular docking and dynamic simulation validated the potentiality of the newly synthesized compounds to have high binding affinity within CDK2 binding pocket. 3DQSAR pharmacophore, in-silico ADME/TOPKAT studies and drug-likeness showed proper pharmacokinetic properties and helped in structure requirements prediction. The obtained model and pattern of substitution could be used for further development of CDK2 inhibitors.</t>
  </si>
  <si>
    <t>[Azmy, Eman M.; Lashin, Walaa H.] Ain Shams Univ, Fac Women, Chem Dept, Heliopolis, Egypt; [Hagras, Mohamed] Al Azhar Univ, Coll Pharm Boys, Dept Pharmaceut Organ Chem, Cairo, Egypt; [Ewida, Menna A.; Refaat, Hanan M.; Ismail, Nasser S. M.] Future Univ Egypt, Fac Pharm, Dept Pharmaceut Chem, Cairo 11835, Egypt; [Doghish, Ahmed S.] Badr Univ Cairo BUC, Fac Pharm, Dept Biochem, Badr City 11829, Cairo, Egypt; [Doghish, Ahmed S.; Khidr, Emad Gamil; El-Husseiny, Ahmed A.; Gomaa, Maher H.] Al Azhar Univ, Fac Pharm Boys, Biochem &amp; Mol Biol Dept, Nasr City 11231, Cairo, Egypt; [El-Husseiny, Ahmed A.] Egyptian Russian Univ, Fac Pharm, Dept Biochem, Badr City 11829, Cairo, Egypt; [Nassar, Ibrahim F.] Ain Shams Univ, Fac Spec Educ, 365 Ramsis St, Abbasiya, Cairo, Egypt</t>
  </si>
  <si>
    <t>Egyptian Knowledge Bank (EKB); Ain Shams University; Egyptian Knowledge Bank (EKB); Al Azhar University; Egyptian Knowledge Bank (EKB); Future University in Egypt; Badr University in Cairo; Egyptian Knowledge Bank (EKB); Al Azhar University; Egyptian Russian University; Egyptian Knowledge Bank (EKB); Ain Shams University</t>
  </si>
  <si>
    <t>Ismail, NSM (corresponding author), Future Univ Egypt, Fac Pharm, Dept Pharmaceut Chem, Cairo 11835, Egypt.</t>
  </si>
  <si>
    <t>Nasser.saad@fue.edu.eg</t>
  </si>
  <si>
    <t>El-Husseiny, Ahmed A./AAB-1880-2021; Doghish, Ahmed S./AAB-4004-2021</t>
  </si>
  <si>
    <t>El-Husseiny, Ahmed A./0000-0003-0153-6555; Doghish, Ahmed S./0000-0002-0136-7096; Nassar, Ibrahim/0000-0002-8123-2238</t>
  </si>
  <si>
    <t>10.1016/j.bioorg.2023.106729</t>
  </si>
  <si>
    <t>O4UG7</t>
  </si>
  <si>
    <t>WOS:001043774800001</t>
  </si>
  <si>
    <t>Bani-Hani, K; Hayajneh, KF; Jaradat, A; Shakhatreh, H</t>
  </si>
  <si>
    <t>Bani-Hani, Khaled; Hayajneh, Khaled F.; Jaradat, Abdullah; Shakhatreh, Hazim</t>
  </si>
  <si>
    <t>Energy-efficient UAV-wireless networks for data collection</t>
  </si>
  <si>
    <t>PHYSICAL COMMUNICATION</t>
  </si>
  <si>
    <t>Wireless Sensor Networks (WSN); Unmanned Aerial Vehicle (UAV); Path planning; Particle Swarm Optimization (PSO); Data collection</t>
  </si>
  <si>
    <t>UNMANNED AERIAL VEHICLES; SWARM</t>
  </si>
  <si>
    <t>In this study, a singular unmanned aerial vehicle (UAV) is utilized to gather data from a set of ground sensors in wireless networks. The main objective is to minimize the total energy consumption of the ground sensors by finding the UAV's optimal trajectory through an optimization problem. Two distinct channel models are implemented to represent the connection between the UAV and the sensors, which are compatible with fourth-generation (4G), fifth-generation (5G), and beyond 5G (B5G) systems. The optimization problem's constraints involve ensuring the quality of service (QoS) and limiting the transmitted power of each ground sensor. To solve the intractable optimization problem, three different approaches are employed to obtain the UAV's trajectory: (1) exhaustive search (ES) approach, (2) particle swarm optimization (PSO) approach, and (3) fixed placement approach. Finally, the proposed approaches' effectiveness is validated using simulation results.&amp; COPY; 2023 Elsevier B.V. All rights reserved.</t>
  </si>
  <si>
    <t>[Bani-Hani, Khaled; Hayajneh, Khaled F.; Jaradat, Abdullah; Shakhatreh, Hazim] Yarmouk Univ, Hijjawi Fac Engn Technol, Dept Telecommun Engn, Irbid 21163, Jordan</t>
  </si>
  <si>
    <t>Yarmouk University</t>
  </si>
  <si>
    <t>Hayajneh, KF (corresponding author), Yarmouk Univ, Hijjawi Fac Engn Technol, Dept Telecommun Engn, Irbid 21163, Jordan.</t>
  </si>
  <si>
    <t>2018976007@ses.yu.edu.jo; k.hayajneh@yu.edu.jo; 2017976020@ses.yu.edu.jo; hazim.s@yu.edu.jo</t>
  </si>
  <si>
    <t>Hayajneh, Khaled F./0000-0003-3213-8744</t>
  </si>
  <si>
    <t>1874-4907</t>
  </si>
  <si>
    <t>PHYS COMMUN-AMST</t>
  </si>
  <si>
    <t>Phys. Commun.</t>
  </si>
  <si>
    <t>10.1016/j.phycom.2023.102149</t>
  </si>
  <si>
    <t>P6QG5</t>
  </si>
  <si>
    <t>WOS:001051896200001</t>
  </si>
  <si>
    <t>Barriga, A; Barriga, JA; Monino, MJ; Clemente, PJ</t>
  </si>
  <si>
    <t>Barriga, Arturo; Barriga, Jose A.; Monino, Maria Jose; Clemente, Pedro J.</t>
  </si>
  <si>
    <t>IoT-based expert system for fault detection in Japanese Plum leaf-turgor pressure WSN</t>
  </si>
  <si>
    <t>Internet of things; Leaf-turgor pressure sensors; Machine learning; Precision agriculture; Sensor faults; Regional Development Fund (ERDF).</t>
  </si>
  <si>
    <t>EXTREME LEARNING-MACHINE; SENSOR; INTERNET; NETWORK; THINGS; IMPACT</t>
  </si>
  <si>
    <t>Industry 4.0 involves the digital transformation of industrial sectors. Given the current climate change scenario and the scarcity of water in semi-arid regions, this digital transformation has to take into account the sustainable use of water. In agriculture, one of the most water-intensive sectors, to optimise the use of water, precision irrigation techniques are being applied. As a result of the digital transformation of agriculture, a key aspect for the application of these precision irrigation techniques, the crop water stress, can be predicted from a Wireless Sensor Network (WSN) of leaf-turgor pressure sensors. However, these sensors often fail, introducing errors in the data, which could lead to inaccurate application of precision irrigation techniques compromising crops and yields. So, sensor fault identification is a must. Nevertheless, sensor fault identification is a tedious and costly task that requires an expert to manually review all sensors and each of their measurements over the last 24 h. In this work, with the aim of digitally transforming this task, an IoT-based expert system is proposed. By means of a novel learning model, this system is capable of identifying sensor faults with 84.2% f1-score and 0.94 AUC ROC. Note that to train this learning model, only real-world data gathered from an experimental plot has been used. In addition, the real-world application of the IoT-based expert system in this plot is shown and discussed. Furthermore, a novel methodology that summarises the main findings and techniques applied in this study is also illustrated.</t>
  </si>
  <si>
    <t>[Barriga, Arturo; Barriga, Jose A.; Clemente, Pedro J.] Univ Extremadura, Dept Comp Sci, Quercus Software Engn Grp, Ave Univ S-N, Caceres 10003, Spain; [Monino, Maria Jose] Extremadura Sci &amp; Technol Res Ctr CICYTEX, Area Agron Woody &amp; Hort Crops, Badajoz 06187, Spain</t>
  </si>
  <si>
    <t>Universidad de Extremadura</t>
  </si>
  <si>
    <t>Barriga, A (corresponding author), Univ Extremadura, Dept Comp Sci, Quercus Software Engn Grp, Ave Univ S-N, Caceres 10003, Spain.</t>
  </si>
  <si>
    <t>arturobc@unex.es; jose@unex.es; mariajose.monino@juntaex.es; pjclemente@unex.es</t>
  </si>
  <si>
    <t>Barriga, Jose A./0000-0001-8377-1860; Barriga, Arturo/0000-0001-5761-9806</t>
  </si>
  <si>
    <t>MCIN/AEI [TED2021-129194B-I00]; European Union NextGenerationEU/PRTR; Government of Extremadura; Council for Economy, Science and Digital Agenda [GR21133, IB20058]; European Regional Development Fund (ERDF)</t>
  </si>
  <si>
    <t>MCIN/AEI; European Union NextGenerationEU/PRTR(European Union (EU)); Government of Extremadura; Council for Economy, Science and Digital Agenda; European Regional Development Fund (ERDF)(European Union (EU))</t>
  </si>
  <si>
    <t>This work was funded by project TED2021-129194B-I00 funded by MCIN/AEI/10.13039/501100011033 and for European Union NextGenerationEU/PRTR; the Government of Extremadura, Council for Economy, Science and Digital Agenda under the grant GR21133 and the projects IB20058, and by the European Regional Development Fund (ERDF).</t>
  </si>
  <si>
    <t>10.1016/j.iot.2023.100829</t>
  </si>
  <si>
    <t>Q3MB3</t>
  </si>
  <si>
    <t>WOS:001056579100001</t>
  </si>
  <si>
    <t>Baylis, C; Cruickshank, CA</t>
  </si>
  <si>
    <t>Baylis, Calene; Cruickshank, Cynthia A.</t>
  </si>
  <si>
    <t>Review of bio-based phase change materials as passive thermal storage in buildings</t>
  </si>
  <si>
    <t>RENEWABLE &amp; SUSTAINABLE ENERGY REVIEWS</t>
  </si>
  <si>
    <t>Bio-based PCMs; Passive thermal storage; Low carbon buildings; Fatty acids; Coconut oil</t>
  </si>
  <si>
    <t>LATENT-HEAT STORAGE; ENERGY-STORAGE; COCONUT OIL; FATTY-ACIDS; THERMOPHYSICAL PROPERTIES; EUTECTIC MIXTURES; PCM WALL; PERFORMANCE; COMPOSITES; CONDUCTIVITY</t>
  </si>
  <si>
    <t>Phase change materials (PCMs) have the potential to significantly decrease space conditioning loads and associated carbon emissions when integrated into a building. If PCMs with low embodied carbon are utilized, emissions associated with building operation can be reduced further (when compared to market-dominating paraffinic PCMs). For these reasons, research has been emerging on bio-based PCMs, such as animal- and/or plant-based oils, fatty acids, or combinations of these, in recent years. This study provides a comprehensive review of the thermophysical properties, building integration techniques, and lifetime impacts of bio-based PCMs, including barriers limiting their usage and potential areas for future research. PCMs of different thicknesses have minimized conditioning loads most in moderate climates, compared to extreme cold or warm regions. The results of this review also show that primary use bio-based PCMs may have similar or greater lifecycle carbon emissions when compared to paraffins; however, recycled, secondary use bio-PCMs may minimize total carbon emissions and is an area that necessitates future research.</t>
  </si>
  <si>
    <t>[Baylis, Calene; Cruickshank, Cynthia A.] Carleton Univ, Ottawa, ON, Canada</t>
  </si>
  <si>
    <t>Carleton University</t>
  </si>
  <si>
    <t>Baylis, C (corresponding author), Carleton Univ, Ottawa, ON, Canada.</t>
  </si>
  <si>
    <t>calenebaylis@cmail.carleton.ca</t>
  </si>
  <si>
    <t>Baylis, Calene/0000-0003-4381-1826</t>
  </si>
  <si>
    <t>Natural Sciences and Engineering Research Council of Canada (NSERC)</t>
  </si>
  <si>
    <t>Natural Sciences and Engineering Research Council of Canada (NSERC)(Natural Sciences and Engineering Research Council of Canada (NSERC))</t>
  </si>
  <si>
    <t>The authors would like to acknowledge the Natural Sciences and Engineering Research Council of Canada (NSERC) for their support and funding of this research.</t>
  </si>
  <si>
    <t>1364-0321</t>
  </si>
  <si>
    <t>1879-0690</t>
  </si>
  <si>
    <t>RENEW SUST ENERG REV</t>
  </si>
  <si>
    <t>Renew. Sust. Energ. Rev.</t>
  </si>
  <si>
    <t>10.1016/j.rser.2023.113690</t>
  </si>
  <si>
    <t>S3XB5</t>
  </si>
  <si>
    <t>WOS:001070521800001</t>
  </si>
  <si>
    <t>Beirami, P; Derakhshanfard, F; Gharbani, P; Amirkhani, L</t>
  </si>
  <si>
    <t>Beirami, Peyman; Derakhshanfard, Fahimeh; Gharbani, Parvin; Amirkhani, Leila</t>
  </si>
  <si>
    <t>Visible-light photocatalytic removal of betamethasone using heterogeneous CdSe/Bi2MoO6/g-C3N5 nanophotocatalyst: Synthesis, characterization, Thermodynamic and kinetics analysis</t>
  </si>
  <si>
    <t>Kinetic; Visible light; Response Surface Methodology; Thermodynamic; Scavengers</t>
  </si>
  <si>
    <t>NANOCOMPOSITE; ADSORBENT; MECHANISM; WATER</t>
  </si>
  <si>
    <t>Betamethasone was detected with high frequency in water supply systems which can be explained by its low degradability and hydrophilic characteristics. The aim of this research was to synthesize a new CdSe/Bi2MoO6/ g-C3N5 nano photocatalyst and investigate its efficiency in the photocatalytic removal of betamethasone from aqueous solutions. The prepared nano photocatalyst was characterized using XRD, FESEM, TEM, EDS, and Dot mapping. The effect of betamethasone concentration (20-100 mg/L), nano photocatalyst dosage (0.01-0.0.05 mg/50 mL), pH (2-10), and irradiation time (10-50 min.) as independent variables were optimized using central composite design. The values of F (207.40) and p (&lt;0.0001) confirmed the significance of the model. The predicted maximum removal of betamethasone was found 77.7 % at optimum conditions (betamethasone con-centration = 70 mg/L, photocatalyst dosage = 0.03 mg/50 mL, Time = 24 min. and pH = 3) with the error of 0.87 % by validation experiment. The results of scavengers showed that center dot O-2(-) has the greatest effect on beta-methasone removal and the prepared photocatalyst has potential application after five consecutive cycles. To study the kinetics and thermodynamics of photocatalytic removal of betamethasone, the Langmuir-Hinshelwood, and the Eyring models were employed. Results revealed the process was endothermic and endergonic (Delta H(sic) = 11.12 kJ mol(-1) and Delta S(sic) =-240.27 J K-1mol(-1)) and followed the pseudo-first-order kinetics model (k = 0.054 min(-1)). The results demonstrate that the prepared nanocomposite is an excellent nano photocatalyst for the efficient removal of betamethasone.</t>
  </si>
  <si>
    <t>[Beirami, Peyman; Derakhshanfard, Fahimeh; Amirkhani, Leila] Islamic Azad Univ, Dept Chem Engn, Ahar Branch, Ahar, Iran; [Gharbani, Parvin] Islamic Azad Univ, Dept Chem, Ahar Branch, Ahar, Iran; [Gharbani, Parvin] Islamic Azad Univ, Ind Nanotechnol Res Ctr, Tabriz Branch, Tabriz, Iran</t>
  </si>
  <si>
    <t>Islamic Azad University; Islamic Azad University; Islamic Azad University</t>
  </si>
  <si>
    <t>Gharbani, P (corresponding author), Islamic Azad Univ, Dept Chem, Ahar Branch, Ahar, Iran.;Gharbani, P (corresponding author), Islamic Azad Univ, Ind Nanotechnol Res Ctr, Tabriz Branch, Tabriz, Iran.</t>
  </si>
  <si>
    <t>parvin.gharbani@iau.ac.ir</t>
  </si>
  <si>
    <t>10.1016/j.jphotochem.2023.114910</t>
  </si>
  <si>
    <t>Q8DN6</t>
  </si>
  <si>
    <t>WOS:001059774400001</t>
  </si>
  <si>
    <t>Benito, GV; Cerdeirina, AS; Bugarin-Diz, A</t>
  </si>
  <si>
    <t>Benito, Gael Velasco; Cerdeirina, Alejandro Sobrino; Bugarin-Diz, Alberto</t>
  </si>
  <si>
    <t>An empirically supported approach to the treatment of imprecision in vague reasoning</t>
  </si>
  <si>
    <t>INTERNATIONAL JOURNAL OF APPROXIMATE REASONING</t>
  </si>
  <si>
    <t>Linguistic vagueness; Computing with Approximate reasoning</t>
  </si>
  <si>
    <t>FUZZY PROLOG; LANGUAGE; LOGIC; SEMANTICS; CONSENSUS</t>
  </si>
  <si>
    <t>The aim of this paper is to propose a new approach for the automatic treatment of linguistic vagueness. Our motivation is the feeling that most existing approaches dealing with linguistic information are based on converting vague meaning into crisp meaning using some conversions to precise measurements. As a result, existing approaches are adequate and easy to implement, but do not closely model the human thought process. To help alleviate this deficiency, we propose the use of linguistic relations to provide a natural language interface to an end user. We show a possible linguistic Prolog model based on an extension of the syntactic unification algorithm using synonymy and antonymy, as well as the extension of the resolution principle. Our approach does not aim to provide a well-founded formal semantics for such a linguistic Prolog, but a simple model supported by two experiments focused on the use of vague language, both of them executed in Spanish (an analysis of the data of the first experiment it is also available in that language at [1]). Thus, the purpose of this paper is to contribute to the mechanization of approximate reasoning by being respectful of the semantics of the vague terms involved in it; i.e., by paying attention to how they are evaluated by linguistic users under experimentation. &amp; COPY; 2023 The Author(s). Published by Elsevier Inc. This is an open access article under the CC BY license (http://creativecommons .org /licenses /by /4 .0/).</t>
  </si>
  <si>
    <t>[Benito, Gael Velasco; Cerdeirina, Alejandro Sobrino] Univ Santiago de Compostela, Dept Philosophy &amp; Anthropol, Santiago De Compostela, Spain; [Bugarin-Diz, Alberto] Univ Santiago de Compostela, Dept Matemat, CITMAGA, Santiago De Compostela 15782, Spain</t>
  </si>
  <si>
    <t>Universidade de Santiago de Compostela; Universidade de Santiago de Compostela</t>
  </si>
  <si>
    <t>Benito, GV; Cerdeirina, AS (corresponding author), Univ Santiago de Compostela, Dept Philosophy &amp; Anthropol, Santiago De Compostela, Spain.</t>
  </si>
  <si>
    <t>gael.velasco@gmail.com; alejandro.sobrino@usc.es</t>
  </si>
  <si>
    <t>Spanish Ministry for Science, Innovation and Universities [PDC2021-121072-C21, ED431C2022/19]; Galician Ministry of Culture, Education, Professional Training, and University [ED431G2019/04]; European Regional Development Fund (ERDF/FEDER program); [PID2020-112623GB-I00]</t>
  </si>
  <si>
    <t>Spanish Ministry for Science, Innovation and Universities(Spanish Government); Galician Ministry of Culture, Education, Professional Training, and University; European Regional Development Fund (ERDF/FEDER program)(European Union (EU)Marie Curie Actions);</t>
  </si>
  <si>
    <t>This research was funded by the Spanish Ministry for Science, Innovation and Universities (grants PID2020-112623GB-I00, and PDC2021-121072-C21) and the Galician Ministry of Culture, Education, Professional Training, and University (grants ED431C2022/19 and ED431G2019/04) . All grants were co-funded by the European Regional Development Fund (ERDF/FEDER program) .</t>
  </si>
  <si>
    <t>0888-613X</t>
  </si>
  <si>
    <t>1873-4731</t>
  </si>
  <si>
    <t>INT J APPROX REASON</t>
  </si>
  <si>
    <t>Int. J. Approx. Reasoning</t>
  </si>
  <si>
    <t>10.1016/j.ijar.2023.108995</t>
  </si>
  <si>
    <t>Q7RB4</t>
  </si>
  <si>
    <t>WOS:001059448000001</t>
  </si>
  <si>
    <t>Bertozo, LD; Tutone, M; Pastrello, B; da Silva, LC; Culletta, G; Almerico, AM; Ximenes, VF</t>
  </si>
  <si>
    <t>Bertozo, Luiza de Carvalho; Tutone, Marco; Pastrello, Bruna; da Silva-Filho, Luiz Carlos; Culletta, Giulia; Almerico, Anna Maria; Ximenes, Valdecir Farias</t>
  </si>
  <si>
    <t>Aminoquinolines: Fluorescent sensors to DNA - A minor groove probe. Experimental and in silico studies</t>
  </si>
  <si>
    <t>Aminoquinolines; DNA; Minor Groove; Fluorescence; Molecular Dynamics</t>
  </si>
  <si>
    <t>CALF-THYMUS DNA; MOLECULAR-STRUCTURE; BINDING; MECHANISM; DYES; INTERCALATOR; REPAIR; DAMAGE; DRUGS; MODE</t>
  </si>
  <si>
    <t>An aminoquinoline (AQ4) was developed and proven to be a new and efficient DNA minor groove fluorescent probe. The specificity for DNA minor groove was attested by comparing it with well-established DNA probes such as Hoechst stain, acridine orange, and ethidium bromide. AQ4 was similar to the Hoechst stain, a classic minor groove probe, and opposite to acridine orange and ethidium bromide, the typical intercalating probes. An advantage of AQ4 to the Hoechst stain was the higher fluorescent signal-to-noise ratio (+DNA/-DNA). The interaction with DNA leads to an exclusive fluorescent band centered at 590 nm. The red-shifted fluorescent band is associated with a new absorption band (490 nm), revealing a ground-state complex formation. The complexation was also evidenced by circular dichroism, anisotropy, and fluorescence lifetime. The complex AQ4DNA was pH dependent, being favored in an acidic medium. This feature was related to the preferential interaction with a protonated form of AQ4, i.e., AQ4(H+), revealing the role of electrostatic forces, which was corroborated by the strong dependence on the ionic strength of the medium and, particularly, on magnesium ions. The complexes were studied by docking and molecular dynamics and confirmed the stability of AQ4(H+). Additionally, 500 ns simulations were performed by adding salts. The presence of the salts leads to the loss of the binding of AQ4(H+) after 52 ns (NaCl) and 142 ns (MgCl2). Experimental and in silico outcomes showed the advantages of the aminoquinoline over the commercial DNA minor groove stain, the Hoechst dye. Hence, we propose its further application in cell-based assays.</t>
  </si>
  <si>
    <t>[Bertozo, Luiza de Carvalho; Pastrello, Bruna; da Silva-Filho, Luiz Carlos; Ximenes, Valdecir Farias] UNESP Univ Estadual Paulista, Fac Ciencias, Dept Quim, Bauru, SP, Brazil; [Tutone, Marco; Culletta, Giulia; Almerico, Anna Maria] Univ Palermo, Dipartimento Sci &amp; Tecnol Biol Chim &amp; Farmaceut, Palermo, Italy</t>
  </si>
  <si>
    <t>Universidade Estadual Paulista; University of Palermo</t>
  </si>
  <si>
    <t>Ximenes, VF (corresponding author), UNESP Univ Estadual Paulista, Fac Ciencias, Dept Quim, Bauru, SP, Brazil.</t>
  </si>
  <si>
    <t>valdecir.ximenes@unesp.br</t>
  </si>
  <si>
    <t>Culletta, Giulia/0000-0001-9564-3962</t>
  </si>
  <si>
    <t>National Council for Scientific and Technological Development (CNPq) [163201/2020-0, 465637/2014-0]; National Institute of Science and Technology - INCT BioNat [2019/18445-5]; State of Sao Paulo Research Foundation (FAPESP); [302121/2022-6]</t>
  </si>
  <si>
    <t>National Council for Scientific and Technological Development (CNPq)(Conselho Nacional de Desenvolvimento Cientifico e Tecnologico (CNPQ)); National Institute of Science and Technology - INCT BioNat; State of Sao Paulo Research Foundation (FAPESP)(Fundacao de Amparo a Pesquisa do Estado de Sao Paulo (FAPESP));</t>
  </si>
  <si>
    <t>The authors gratefully acknowledge financial support from the National Council for Scientific and Technological Development (CNPq, #302121/2022-6, #163201/2020-0; National Institute of Science and Technology - INCT BioNat (#465637/2014-0) and the State of Sao Paulo Research Foundation (FAPESP, #2019/18445-5).</t>
  </si>
  <si>
    <t>10.1016/j.jphotochem.2023.114944</t>
  </si>
  <si>
    <t>Q6DZ9</t>
  </si>
  <si>
    <t>WOS:001058421700001</t>
  </si>
  <si>
    <t>Bhambhani, T; Farinato, RS; Somasundaran, P; Nagaraj, DR</t>
  </si>
  <si>
    <t>Bhambhani, Tarun; Farinato, Raymond S.; Somasundaran, P.; Nagaraj, D. R.</t>
  </si>
  <si>
    <t>Effect of platy gangue minerals in sulfide flotation: Part 2: Mechanisms</t>
  </si>
  <si>
    <t>Sulfide flotation; Entrainment; Aspect ratio; Mica transport</t>
  </si>
  <si>
    <t>WATER RECOVERY; ENTRAINMENT; BEHAVIOR; DRAINAGE; SHAPE</t>
  </si>
  <si>
    <t>The presence of the usually unwanted, hydrophilic ore particles (gangue) in a mineral flotation froth plays a critical role. While they reduce the grade of the concentrate, they are also an important influence on the dynamical structure of the froth and its ability to transport value particles into the launder for ultimate recovery. This paper discusses how the shape and size of these gangue particles affect their transport through the froth zone under conditions typical of commercial sulfide flotation, but without hydrophobic ore particles present.Advective transport of gangue particles via entrainment depends on slurry drag due to the upward motion of air bubbles and the drainage effects of gravity on the liquid and solid phases confined in the network of fluid channels in the froth. In a companion paper (Bhambhani et al., 2023a) a significant increase in gangue transport rates through the froth zone was observed when a copper sulfide ore was mixed with platy mica (higher aspect ratio) compared to when the same ore was mixed with globular (lower aspect ratio) silica. It was hypothesized that this increased upwards transport rate was related to the greater upward drag experienced by the platy mica particles as compared to the lower aspect-ratio silica particles of comparable size. This hypothesis was tested by conducting froth sampling experiments, reported here, under increased upward drag conditions for the suspension and thus increased upward advective forces on the particles. It was observed that the entrainment vs particle size curves shifted upwards for the coarser sizes for both mica and silica. This was unexpected. It was additionally hypothesized that as the particle size approached the size of the channels (Plateau borders), through which settling particles must pass if they are to move downward, the particles become more confined and on average experience less downward motion. Platy mica particles of a certain sieve size are more susceptible to confinement in the channels than their lower aspect-ratio counterparts due to their reduced mass per particle. This was suggested from froth sampling experiments where drag and drainage were balanced in one case, and more drag dominated in the other.</t>
  </si>
  <si>
    <t>[Bhambhani, Tarun] Technol Solut, Stamford, CT 06902 USA; [Bhambhani, Tarun; Farinato, Raymond S.; Somasundaran, P.; Nagaraj, D. R.] Columbia Univ, Earth &amp; Environm Engn Dept, New York, NY USA</t>
  </si>
  <si>
    <t>Columbia University</t>
  </si>
  <si>
    <t>Bhambhani, T (corresponding author), Technol Solut, Stamford, CT 06902 USA.</t>
  </si>
  <si>
    <t>National Science Foundation [IIP-0749461]</t>
  </si>
  <si>
    <t>The authors thank the National Science Foundation (Grant #: IIP-0749461) for their support for this research work. The authors would also like to thank the management of Solvay Inc. for supporting the publication of this work.</t>
  </si>
  <si>
    <t>10.1016/j.mineng.2023.108180</t>
  </si>
  <si>
    <t>O9EI9</t>
  </si>
  <si>
    <t>WOS:001046774800001</t>
  </si>
  <si>
    <t>Bisht, LS; Tiwari, G</t>
  </si>
  <si>
    <t>Bisht, Laxman Singh; Tiwari, Geetam</t>
  </si>
  <si>
    <t>Identification of road traffic crashes hotspots on an intercity expressway in India using geospatial techniques</t>
  </si>
  <si>
    <t>IATSS RESEARCH</t>
  </si>
  <si>
    <t>Blackspots; Geostatistics; LMICs; Network kernel density estimation; Road safety; Spatial analysis</t>
  </si>
  <si>
    <t>KERNEL DENSITY-ESTIMATION; SPATIAL-ANALYSIS; ACCIDENTS; AUTOCORRELATION; LOCATIONS; SAFETY; MODELS</t>
  </si>
  <si>
    <t>Ascertaining the underlying pattern of road traffic crashes (RTCs) and identifying hotspots is essential for improving safety on the road network. Researchers have employed various statistical modelling and spatial methods to predict crash frequency and identify their hotspots on the road network. In India, the road network length has been increasing, especially the expressway network length. The increase in the network length has also increased RTCs. Hence, it is essential to assess the crash pattern and identify hotspots on the intercity expressways in India. This study aims to identify the fatal crash hotspots on the selected intercity expressway using geospatial methods. First, in this study, hotspot sections were identified using ordinary kriging (OK) and, kernel density estimation (KDE), network kernel density estimation (NKDE) methods. Next, the employed techniques were compared to know their predictive effectiveness in identifying the hotspots. The study used the fatal crash data from August 2012 to October 2018 for the selected 165 km intercity expressway. Outcomes of the geospatial methods revealed some of the common hotspots are identified by both methods. The comparative analysis indicated that the NKDE method is more effective in identifying the hotspots in smaller segments than the other two methods. Consequently, this research's outcomes would facilitate intercity expressway-owning agencies to select a practical and readily applicable hotspot identification methodology in LMICs.</t>
  </si>
  <si>
    <t>[Bisht, Laxman Singh; Tiwari, Geetam] Indian Inst Technol Delhi, Transportat Res &amp; Injury Prevent Ctr, TRIP Ctr, New Delhi 110016, India</t>
  </si>
  <si>
    <t>Bisht, LS (corresponding author), Indian Inst Technol Delhi, Transportat Res &amp; Injury Prevent Ctr, TRIP Ctr, New Delhi 110016, India.</t>
  </si>
  <si>
    <t>l.s.bisht@tudelft.nl</t>
  </si>
  <si>
    <t>0386-1112</t>
  </si>
  <si>
    <t>2210-4240</t>
  </si>
  <si>
    <t>IATSS RES</t>
  </si>
  <si>
    <t>IATSS Res.</t>
  </si>
  <si>
    <t>10.1016/j.iatssr.2023.07.003</t>
  </si>
  <si>
    <t>Transportation</t>
  </si>
  <si>
    <t>P7GR4</t>
  </si>
  <si>
    <t>WOS:001052326900001</t>
  </si>
  <si>
    <t>Bjornoy, I; Rustoen, T; Mesina, RS; Hofso, K</t>
  </si>
  <si>
    <t>Bjornoy, Ingrid; Rustoen, Tone; Mesina, Renato Santiago, Jr.; Hofso, Kristin</t>
  </si>
  <si>
    <t>Anxiety and depression in intensive care patients six months after admission to an intensive care unit: A cohort study</t>
  </si>
  <si>
    <t>Anxiety; Critically ill patient; Depression; Intensive Care Unit; PICS</t>
  </si>
  <si>
    <t>QUALITY-OF-LIFE; HOSPITAL ANXIETY; CRITICAL ILLNESS; POSTTRAUMATIC STRESS; AFTER-DISCHARGE; SURVIVORS; SYMPTOMS; MORBIDITY; SCALE</t>
  </si>
  <si>
    <t>Objectives: To measure the prevalence of anxiety and depression in intensive care patients six months after admission to an intensive care unit and to investigate which variables are associated with anxiety and depression at six months. Research methodology: In this cohort study, patient-reported outcome measures were collected as soon as possible upon admission and at six months. Two logistic regression models were performed to examine variables associated with reporting anxiety and depression above &gt;= 8 at six months. Setting: Patients were recruited from six intensive care units in two Norwegian hospitals between 2018 and 2020. Main outcome measures: The Hospital Anxiety and Depression Scale. Results: A total of 145 patients was included in the study. The patients reported a prevalence of 18.6% (n = 27) and 12.4% (n = 18) of anxiety and depression, respectively. Higher baseline anxiety scores were associated with both higher odds of reporting anxiety and depression above &gt;= 8. Younger age was associated with higher odds of reporting anxiety, and being female was associated with lower odds of reporting depression. Conclusion: Several intensive care survivors reported having symptoms of anxiety and depression six months after admission to the intensive care unit. Younger age, and higher anxiety scores at baseline were variables associated with higher odds of reporting symptoms of either anxiety or depression, while being female was associated with a lower odds of reporting depression. Implications for clinical practice: Screening patients for anxiety and depression may help to identify vulnerable patients. Structured follow-ups with intensive care nurses in an outpatient setting may be useful to help patients to work through some of the experiences from the intensive care unit.</t>
  </si>
  <si>
    <t>[Bjornoy, Ingrid; Hofso, Kristin] Lovisenberg Diaconal Univ Coll, Dept Postgrad Studies, Lovisenberg Gt 15b, N-0456 Oslo, Norway; [Bjornoy, Ingrid; Hofso, Kristin] Oslo Univ Hosp, Div Emergencies &amp; Crit Care, Dept Postoperat &amp; Intens Care Nursing, POB 4950 Nydalen, N-0424 Oslo, Norway; [Rustoen, Tone; Mesina, Renato Santiago, Jr.; Hofso, Kristin] Oslo Univ Hosp, Div Emergencies &amp; Crit Care, Dept Res &amp; Dev, POB 4950 Nydalen, N-0424 Oslo, Norway; [Rustoen, Tone] Univ Oslo, Fac Med, Inst Hlth &amp; Soc, POB 1078 Blindern, NO-0316 Oslo, Norway</t>
  </si>
  <si>
    <t>Lovisenberg Diaconal University College; University of Oslo; University of Oslo; University of Oslo</t>
  </si>
  <si>
    <t>Hofso, K (corresponding author), Lovisenberg Diaconal Univ Coll, Dept Postgrad Studies, Lovisenberg Gt 15b, N-0456 Oslo, Norway.;Hofso, K (corresponding author), Oslo Univ Hosp, Div Emergencies &amp; Crit Care, Dept Postoperat &amp; Intens Care Nursing, POB 4950 Nydalen, N-0424 Oslo, Norway.;Hofso, K (corresponding author), Oslo Univ Hosp, Div Emergencies &amp; Crit Care, Dept Res &amp; Dev, POB 4950 Nydalen, N-0424 Oslo, Norway.</t>
  </si>
  <si>
    <t>ingridb_25@hotmail.com; tone.rustoen@medisin.uio.no; renmes@ous-hf.no; kristin.hofso@ldh.no</t>
  </si>
  <si>
    <t>Southern and Eastern Norway Regional Health Authority</t>
  </si>
  <si>
    <t>We acknowledge Research Director and Professor Anners Lerdal at Lovisenberg Diaconal Hospital and University of Oslo for his involveoment in designing this study. We acknowledge Southern and Eastern Norway Regional Health Authority for funding the main study, and therefor made the present study possible to conduct.</t>
  </si>
  <si>
    <t>10.1016/j.iccn.2023.103473</t>
  </si>
  <si>
    <t>M1CS2</t>
  </si>
  <si>
    <t>WOS:001027604200001</t>
  </si>
  <si>
    <t>Bossavit, B; Arnedillo-Sanchez, I</t>
  </si>
  <si>
    <t>Bossavit, Benoit; Arnedillo-Sanchez, Inmaculada</t>
  </si>
  <si>
    <t>Motion-based technology to support motor skills screening in developing children: A scoping review</t>
  </si>
  <si>
    <t>COMPUTER METHODS AND PROGRAMS IN BIOMEDICINE</t>
  </si>
  <si>
    <t>Motor skills; Developing Children; Motor development; Screening; Motion-based technology</t>
  </si>
  <si>
    <t>ACTIVE VIDEO GAMES; DEVELOPMENTAL COORDINATION DISORDER; VIRTUAL-REALITY SYSTEM; PHYSICAL-ACTIVITY; CEREBRAL-PALSY; ENERGY-EXPENDITURE; EARLY INTERVENTION; UPPER-LIMB; WII FIT; PERCEIVED COMPETENCE</t>
  </si>
  <si>
    <t>Background: Acquiring motor skills is fundamental for children's development since it is linked to cognitive development. However, access to early detection of motor development delays is limited. Aim: This review explores the use and potential of motion-based technology (MBT) as a complement to support and increase access to motor screening in developing children.Methods: Six databases were searched following the PRISMA guidelines to search, select, and assess relevant works where MBT recognised the execution of children's motor skills.Results: 164 studies were analysed to understand the type of MBT used, the motor skills detected, the purpose of using MBT and the age group targeted.Conclusions: There is a gap in the literature aiming to integrate MBT in motor skills development screening and assessment processes. Depth sensors are the prevailing technology offering the largest detection range for chil-dren from age 2. Nonetheless, the motor skills detected by MBT represent about half of the motor skills usually observed to screen and assess motor development. Overall, research in this field is underexplored. The use of multimodal approaches, combining various motion-based sensors, may support professionals in the health domain and increase access to early detection programmes.</t>
  </si>
  <si>
    <t>[Bossavit, Benoit; Arnedillo-Sanchez, Inmaculada] Trinity Coll Dublin, Sch Comp Sci &amp; Stat, Dublin, Ireland; [Bossavit, Benoit] Univ Malaga, Sch Comp Sci &amp; Programming Languages, Malaga, Spain</t>
  </si>
  <si>
    <t>Trinity College Dublin; Universidad de Malaga</t>
  </si>
  <si>
    <t>Bossavit, B (corresponding author), Trinity Coll Dublin, Sch Comp Sci &amp; Stat, Dublin, Ireland.</t>
  </si>
  <si>
    <t>benoit.bossavit@uma.es</t>
  </si>
  <si>
    <t>Arnedillo-Sanchez, Inmaculada/0000-0002-8749-9611</t>
  </si>
  <si>
    <t>EU H2020; [713654]</t>
  </si>
  <si>
    <t>EU H2020(Horizon 2020);</t>
  </si>
  <si>
    <t>Benoit Bossavit receives funding from the EU H2020 under the Marie Sk l odowska-Curie Career-FIT fellowship (Co-fund grant No. 713654) . Funding for open access charge: Universidad de Malaga/CBUA.</t>
  </si>
  <si>
    <t>0169-2607</t>
  </si>
  <si>
    <t>1872-7565</t>
  </si>
  <si>
    <t>COMPUT METH PROG BIO</t>
  </si>
  <si>
    <t>Comput. Meth. Programs Biomed.</t>
  </si>
  <si>
    <t>10.1016/j.cmpb.2023.107715</t>
  </si>
  <si>
    <t>Computer Science, Interdisciplinary Applications; Computer Science, Theory &amp; Methods; Engineering, Biomedical; Medical Informatics</t>
  </si>
  <si>
    <t>Computer Science; Engineering; Medical Informatics</t>
  </si>
  <si>
    <t>Q0RP6</t>
  </si>
  <si>
    <t>WOS:001054676800001</t>
  </si>
  <si>
    <t>Brassel, S; Al Taie, A; Steuten, L</t>
  </si>
  <si>
    <t>Brassel, Simon; Al Taie, Amer; Steuten, Lotte</t>
  </si>
  <si>
    <t>Value assessment of antimicrobials using the STEDI framework - How steady is the outcome?</t>
  </si>
  <si>
    <t>HEALTH POLICY</t>
  </si>
  <si>
    <t>AMR; Broader value of antibiotics; STEDI</t>
  </si>
  <si>
    <t>MULTIDRUG-RESISTANT BACTERIA</t>
  </si>
  <si>
    <t>Antimicrobial resistance (AMR) is one of the major threats to global population health, and the antimicrobial market requires substantial reimbursement reform and/or significant financial incentives to function properly. To address these challenges, England piloted a new health technology evaluation process in conjunction with a new payment model in 2019. The value assessment was performed using a dedicated broader value framework for antibiotics for the first time. This so-called STEDI framework is an acronym based on the five value elements it covers (Spectrum, Transmission, Enablement, Diversity, and Insurance value). Learnings from the pilot show that there are important considerations when implementing this value framework: The STEDI value profile of an antibiotic strongly depends on the local context and is impacted by trade-offs between individual value elements. Decision makers should therefore act carefully when applying STEDI to avoid distorting the overall evaluation result. Considering the STEDI value profile of an antibiotic is an important part of its value assessment as it allows for distinguishing between higher-and lower-value products. However, given the complexities surrounding its value assessment, further research must be undertaken to improve the overall STEDI evaluation process.</t>
  </si>
  <si>
    <t>[Brassel, Simon; Steuten, Lotte] Off Hlth Econ, 2nd Floor Goldings House,2 Hays Lane, London SE1 2HB, England; [Al Taie, Amer] Pfizer R&amp;D UK Ltd, Walton Oaks, Dorking Rd, Tadworth KT20 7NS, England; [Brassel, Simon] OHE, 2nd Floor,Goldings House,Hays Galleria 2 Hays Lane, London SE1 2HB, England</t>
  </si>
  <si>
    <t>Pfizer</t>
  </si>
  <si>
    <t>Brassel, S (corresponding author), OHE, 2nd Floor,Goldings House,Hays Galleria 2 Hays Lane, London SE1 2HB, England.</t>
  </si>
  <si>
    <t>sbrassel@ohe.org</t>
  </si>
  <si>
    <t>Pfizer Inc.</t>
  </si>
  <si>
    <t>Pfizer Inc.(Pfizer)</t>
  </si>
  <si>
    <t>This work was supported by funding from Pfizer Inc.</t>
  </si>
  <si>
    <t>0168-8510</t>
  </si>
  <si>
    <t>1872-6054</t>
  </si>
  <si>
    <t>Health Policy</t>
  </si>
  <si>
    <t>10.1016/j.healthpol.2023.104892</t>
  </si>
  <si>
    <t>Health Care Sciences &amp; Services; Health Policy &amp; Services</t>
  </si>
  <si>
    <t>Health Care Sciences &amp; Services</t>
  </si>
  <si>
    <t>S1TH4</t>
  </si>
  <si>
    <t>WOS:001069060700001</t>
  </si>
  <si>
    <t>Breda-Yepes, M; Rodriguez-Hernandez, LA; Gomez-Figueroa, E; Mondragon-Soto, MG; Arellano-Flores, G; Hernandez-Hernandez, A; Rodriguez-Rubio, HA; Martinez, P; Reyes-Moreno, I; Alvaro-Heredia, JA; Aceves, GAG; Villanueva-Castro, E; Sangrador-Deitos, MV; Alonso-Vanegas, M; Guerrero-Juarez, V; Gonzalez-Aguilar, A</t>
  </si>
  <si>
    <t>Breda-Yepes, Michele; Rodriguez-Hernandez, Luis A.; Gomez-Figueroa, Enrique; Mondragon-Soto, Michel G.; Arellano-Flores, Gerardo; Hernandez-Hernandez, Alan; Rodriguez-Rubio, Hector A.; Martinez, Pablo; Reyes-Moreno, Ignacio; Alvaro-Heredia, Juan A.; Aceves, Guillermo A. Gutierrez; Villanueva-Castro, Eliezer; Sangrador-Deitos, Marcos, V; Alonso-Vanegas, Mario; Guerrero-Juarez, Vicente; Gonzalez-Aguilar, Alberto</t>
  </si>
  <si>
    <t>Relative cerebral blood volume as response predictor in the treatment of recurrent glioblastoma with anti-angiogenic therapy</t>
  </si>
  <si>
    <t>CLINICAL NEUROLOGY AND NEUROSURGERY</t>
  </si>
  <si>
    <t>Antiangiogenics; Glioblastoma; Bevacizumab; Relative cerebral blood volume and; antiangiogenics</t>
  </si>
  <si>
    <t>CONTRAST MRI MEASURES; ANTIANGIOGENIC THERAPY; TUMOR ANGIOGENESIS; RADIATION NECROSIS; IMAGING BIOMARKER; PERFUSION MRI; BRAIN-TUMOR; BEVACIZUMAB; GLIOMAS; SURVIVAL</t>
  </si>
  <si>
    <t>Background: Glioblastoma is one of the most common brain tumors in adult populations, usually carrying a poor prognosis. While several studies have researched the impact of anti-angiogenic therapies, especially anti-VEFG treatments in glioblastoma, few have attempted to assess its progress using imaging studies.Purpose: We attempted to analyze whether relative cerebral blood volume (rCBV) from dynamic susceptibility-weighted contrast-enhanced MRI (DSC-MRI) could predict response in patients with glioblastoma undergoing Bevacizumab (BVZ) treatment.Methods: We performed a retrospective study evaluating patients with recurrent glioblastoma receiving anti-angiogenic therapy with BVZ between 2012 and 2017 in our institution. Patients were scheduled for routine MRIs at baseline and first-month follow-up visits. Studies were processed for DSC-MRI, cT1, and FLAIR images, from which relative cerebral blood volume measurements were obtained. We assessed patient response using the Response Assessment in Neuro-Oncology (RANO) working group criteria and overall survival.Results: 40 patients were included in the study and were classified as Bevacizumab responders and non-responders. The average rCBV before treatment was 4.5 for both groups, and average rCBV was 2.5 for re-sponders and 5.4 for non-responders. ROC curve set a cutoff point of 3.7 for rCBV predictive of response to BVZ. Cox Multivariate analysis only showed rCBV as a predictive factor of OS.Conclusion: A statistically significant difference was found in rCBV between patients who responded and those who did not respond to BVZ treatment. rCBV may be a low-cost and effective marker to assess response to Bevacizumab treatment in GBM.</t>
  </si>
  <si>
    <t>[Breda-Yepes, Michele; Rodriguez-Hernandez, Luis A.; Gomez-Figueroa, Enrique; Mondragon-Soto, Michel G.; Arellano-Flores, Gerardo; Hernandez-Hernandez, Alan; Rodriguez-Rubio, Hector A.; Martinez, Pablo; Alvaro-Heredia, Juan A.; Villanueva-Castro, Eliezer; Sangrador-Deitos, Marcos, V; Alonso-Vanegas, Mario] Natl Inst Neurol &amp; Neurosurg, Dept Neurosurg, Mexico City, Mexico; [Reyes-Moreno, Ignacio; Gonzalez-Aguilar, Alberto] Amer British Cowdray ABC Med Ctr, Mexico City, Mexico; [Aceves, Guillermo A. Gutierrez; Gonzalez-Aguilar, Alberto] Natl Inst Neurol &amp; Neurosurg, Dept Neurooncol, Mexico City, Mexico; [Guerrero-Juarez, Vicente; Gonzalez-Aguilar, Alberto] Natl Inst Neurol &amp; Neurosurg, Emergency Dept, Mexico City, Mexico; [Gonzalez-Aguilar, Alberto] Natl Inst Neurol &amp; Neurosurg, Dept Neurooncol, Insurgentes Sur 3877, Mexico City 14263, Mexico</t>
  </si>
  <si>
    <t>Gonzalez-Aguilar, A (corresponding author), Natl Inst Neurol &amp; Neurosurg, Dept Neurooncol, Insurgentes Sur 3877, Mexico City 14263, Mexico.</t>
  </si>
  <si>
    <t>synapseinstitute.initiative@gmail.com</t>
  </si>
  <si>
    <t>Rodriguez-Rubio, Hector A./0000-0001-7639-6919; Gonzalez Aguilar, Alberto/0000-0001-8916-6258</t>
  </si>
  <si>
    <t>0303-8467</t>
  </si>
  <si>
    <t>1872-6968</t>
  </si>
  <si>
    <t>CLIN NEUROL NEUROSUR</t>
  </si>
  <si>
    <t>Clin. Neurol. Neurosurg.</t>
  </si>
  <si>
    <t>10.1016/j.clineuro.2023.107904</t>
  </si>
  <si>
    <t>Clinical Neurology; Surgery</t>
  </si>
  <si>
    <t>Neurosciences &amp; Neurology; Surgery</t>
  </si>
  <si>
    <t>P0LD2</t>
  </si>
  <si>
    <t>WOS:001047632500001</t>
  </si>
  <si>
    <t>Burrows, RM; Garzon-Garcia, A; Burton, J; Lewis, SE; Gruber, RK; Brodie, JE; Burford, MA</t>
  </si>
  <si>
    <t>Burrows, Ryan M.; Garzon-Garcia, Alexandra; Burton, Joanne; Lewis, Stephen E.; Gruber, Renee K.; Brodie, Jon E.; Burford, Michele A.</t>
  </si>
  <si>
    <t>Factors affecting broadscale variation in nearshore water-column organic carbon concentrations along the Great Barrier Reef</t>
  </si>
  <si>
    <t>Water quality; Organic matter; Phytoplankton; Sediment; River plumes; Great Barrier Reef</t>
  </si>
  <si>
    <t>COASTAL WATERS; CONTINENTAL-SHELF; PHYTOPLANKTON RESPONSES; COMMUNITY STRUCTURE; FINE SEDIMENT; CHLOROPHYLL-A; FLOOD PLUME; CORAL-REEFS; MATTER; OCEAN</t>
  </si>
  <si>
    <t>Organic carbon is a key energy source in marine food-webs, but elevated concentrations can have negative ecological impacts. We used 12 years of marine physiochemical, climate, and near-surface sea and meteorological condition data to investigate broadscale correlates and potential drivers of variability in dissolved and particulate organic carbon (DOC and POC, respectively) concentrations in coastal waters of the Great Barrier Reef (GBR), Australia. DOC concentrations were higher when salinity was lower, when the Southern Oscillation Index was more positive, and at times of greater northward wind speeds. POC concentrations were higher in shallower waters and were positively correlated with total suspended solids and chlorophyll a concentrations. Latitude was important for structuring variation in organic carbon concentrations, likely reflecting terrestrial material from rivers and broader marine processes. We conclude that variability in broadscale patterns of DOC concentrations in GBR coastal waters is likely most sensitive to material discharge from rivers as well as oceanographic and climatic processes and forcing. Variability in broadscale patterns of POC concentrations in coastal waters of the GBR is likely most affected by sediment resuspension and phytoplankton biomass accumulation.&amp; COPY; 2023 Elsevier B.V. All rights reserved.</t>
  </si>
  <si>
    <t>[Burrows, Ryan M.] Univ Melbourne, Sch Agr Food &amp; Ecosyst Sci, Burnley Campus, Richmond, Vic 3121, Australia; [Burrows, Ryan M.; Garzon-Garcia, Alexandra; Burton, Joanne; Burford, Michele A.] Griffith Univ, Australian Rivers Inst, Brisbane, Qld, Australia; [Garzon-Garcia, Alexandra; Burton, Joanne] Queensland Govt, Dept Environm &amp; Sci, Brisbane, Qld, Australia; [Lewis, Stephen E.] James Cook Univ, Ctr Trop Water &amp; Aquat Ecosyst Res, Townsville, Australia; [Gruber, Renee K.] Australian Inst Marine Sci, Townsville 4810, Australia; [Burford, Michele A.] Griffith Univ, Sch Environm &amp; Sci, Brisbane, Australia</t>
  </si>
  <si>
    <t>University of Melbourne; Griffith University; James Cook University; Australian Institute of Marine Science; Griffith University</t>
  </si>
  <si>
    <t>Burrows, RM (corresponding author), Univ Melbourne, Sch Agr Food &amp; Ecosyst Sci, Burnley Campus, Richmond, Vic 3121, Australia.</t>
  </si>
  <si>
    <t>ryan.burrows@unimelb.edu.au</t>
  </si>
  <si>
    <t>Lewis, Stephen/P-7205-2016; Burford, Michele/A-3138-2012</t>
  </si>
  <si>
    <t>Lewis, Stephen/0000-0002-6929-6626; Burford, Michele/0000-0002-1076-6144</t>
  </si>
  <si>
    <t>10.1016/j.rsma.2023.103032</t>
  </si>
  <si>
    <t>Q2SW9</t>
  </si>
  <si>
    <t>WOS:001056075600001</t>
  </si>
  <si>
    <t>Cai, QQ; Li, Y; Zhang, Y; Xu, H; Wang, LF; Tian, JX; Zhang, FB; Yang, HJ</t>
  </si>
  <si>
    <t>Cai, Qingqing; Li, Yu; Zhang, Yi; Xu, He; Wang, Lifang; Tian, Jixiang; Zhang, Fangbo; Yang, Hongjun</t>
  </si>
  <si>
    <t>Xinshubao tablet ameliorates myocardial injury against heart failure via the DCN/PPARa/PGC-1a/P300 pathway</t>
  </si>
  <si>
    <t>BIOMEDICINE &amp; PHARMACOTHERAPY</t>
  </si>
  <si>
    <t>Xinshubao tablet; Heart failure; Myocardial injury; Oxygen-glucose deprivation; DCN/PPAR &amp; alpha;/PGC-1 &amp; alpha;/P300 pathway</t>
  </si>
  <si>
    <t>OXIDATIVE STRESS; DECORIN; PATHOPHYSIOLOGY; INFLAMMATION; INFARCTION; AUTOPHAGY; PROTECTS; DISEASE; COMPLEX; MARKERS</t>
  </si>
  <si>
    <t>Heart failure (HF) is a complex clinical syndrome with impaired ventricular ability due to structural or functional cardiac disorders. A traditional Chinese formula named Xinshubao tablet (XSB) is reported to protect cardiomyocytes and decrease the risk of HF clinically; however, the underlying mechanism of XSB on decreasing HF risk is not elucidated yet. Therefore, our study aimed to investigate the therapeutic efficacy and underlying mechanism of XSB by using HF model rats and H9c2 cells with oxygen glucose deprivation. Echocardiographic and pathological features of animal experiment showed that XSB treatment effectively improved cardiac function and ameliorated myocardial injury after 4 weeks of treatment. Cellular experiments indicated that XSB pre-treatment significantly inhibited apoptosis and increased mitochondrial energy metabolism. Furthermore, in vivo and in vitro experiments both demonstrated that XSB suppressed oxidative stress and inflammatory response. Our results further revealed that the potential protective mechanism of XSB was closely associated with the DCN/ PPARa/PGC-1a/P300 signaling pathway. Our findings provide novel mechanistic insights for HF treatment and a pharmacological basis for the therapeutic application of XSB against cardiovascular disorders.</t>
  </si>
  <si>
    <t>[Cai, Qingqing; Li, Yu; Zhang, Yi; Xu, He; Wang, Lifang; Tian, Jixiang; Zhang, Fangbo] China Acad Chinese Med Sci, Inst Chinese Mat Med, Beijing 100700, Peoples R China; [Cai, Qingqing] Tianjin Univ Tradit Chinese Med, Tianjin 301617, Peoples R China; [Yang, Hongjun] China Acad Chinese Med Sci, Beijing 100700, Peoples R China</t>
  </si>
  <si>
    <t>Institute of Chinese Materia Medica, CACMS; China Academy of Chinese Medical Sciences; Tianjin University of Traditional Chinese Medicine; China Academy of Chinese Medical Sciences</t>
  </si>
  <si>
    <t>Zhang, FB (corresponding author), China Acad Chinese Med Sci, Inst Chinese Mat Med, Beijing 100700, Peoples R China.;Yang, HJ (corresponding author), China Acad Chinese Med Sci, Beijing 100700, Peoples R China.</t>
  </si>
  <si>
    <t>fbzhang@icmm.ac.cn; hjyang@icmm.ac.cn</t>
  </si>
  <si>
    <t>Science and Technology Innovation Project of China Academy of Chinese Medical Sciences [CI2021B017]</t>
  </si>
  <si>
    <t>Science and Technology Innovation Project of China Academy of Chinese Medical Sciences</t>
  </si>
  <si>
    <t>This work was supported by Science and Technology Innovation Project of China Academy of Chinese Medical Sciences (No. CI2021B017) .</t>
  </si>
  <si>
    <t>0753-3322</t>
  </si>
  <si>
    <t>1950-6007</t>
  </si>
  <si>
    <t>BIOMED PHARMACOTHER</t>
  </si>
  <si>
    <t>Biomed. Pharmacother.</t>
  </si>
  <si>
    <t>10.1016/j.biopha.2023.115285</t>
  </si>
  <si>
    <t>R5KN1</t>
  </si>
  <si>
    <t>WOS:001064739400001</t>
  </si>
  <si>
    <t>Cao, ZY; Wu, CQ; Hong, H; Huang, PY; Zhou, C; Guan, XJ; Wu, HT; Duanmu, XJ; Xu, XJ; Zhang, MM</t>
  </si>
  <si>
    <t>Cao, Zhengye; Wu, Chenqing; Hong, Hui; Huang, Peiyu; Zhou, Cheng; Guan, Xiaojun; Wu, Haoting; Duanmu, Xiaojie; Xu, Xiaojun; Zhang, Minming</t>
  </si>
  <si>
    <t>Predictability of inter-regional cerebral perfusion similarity on dopamine responsiveness and the moderation role of cognition in PD patients</t>
  </si>
  <si>
    <t>NEUROIMAGE</t>
  </si>
  <si>
    <t>Parkinson's disease; Arterial spin labeling; Cerebral blood flow; Dopamine responsiveness; Cognition</t>
  </si>
  <si>
    <t>IDIOPATHIC PARKINSONS-DISEASE; IMPAIRMENT; MOTOR; DEMENTIA; ASSOCIATION; SEVERITY; SYMPTOMS; DISORDER</t>
  </si>
  <si>
    <t>Background: Large heterogeneity can be found in dopamine responsiveness of patients with Parkinson's disease (PD). Instantly and objectively understanding dopamine responsiveness of patients may help clinical practice. Purpose: This PD study explored the predictability of off-state inter-regional cerebral blood flow (CBF) perfusion similarity on patient's dopamine responsiveness and tested whether the predictive power could be moderated by patient's cognitive status.Materials and method: The PD cohort with 192 patients (containing off state and on state (PD-off and PD-on)) and the normal control (NC) cohort with 92 subjects were included. The intra-individual CBF relative variation networks were constructed and compared between PD-off and PD-on, PD-off and NC to identify the alterations caused by dopamine depletion. Based on that, regression analysis of off-state inter-regional CBF perfusion similarity on patient's dopamine responsiveness was performed. Finally, moderation analysis was conducted to test the moderation role of cognition on the regression model.Results: In the PD-off cohort, a total of 82 edges in the network were identified that affected by dopamine depletion. Offstate inter-regional CBF perfusion similarity was found that had a significant influence on patient's dopamine responsiveness. Cognitive status was validated that positively moderated the relationship between off -state inter-regional CBF perfusion similarity and dopamine responsiveness.Conclusion: Dopamine responsiveness of PD patient could be predicted by off-state inter-regional CBF perfusion similarity. Patient's cognitive status might have a positive moderation effect on his/her dopamine</t>
  </si>
  <si>
    <t>[Cao, Zhengye; Wu, Chenqing; Hong, Hui; Huang, Peiyu; Zhou, Cheng; Guan, Xiaojun; Wu, Haoting; Duanmu, Xiaojie; Xu, Xiaojun; Zhang, Minming] Zhejiang Univ, Affiliated Hosp 2, Dept Radiol, Sch Med, Hangzhou 310009, Zhejiang, Peoples R China</t>
  </si>
  <si>
    <t>Zhang, MM (corresponding author), Zhejiang Univ, Affiliated Hosp 2, Dept Radiol, Sch Med, Hangzhou 310009, Zhejiang, Peoples R China.</t>
  </si>
  <si>
    <t>zhangminming@zju.edu.cn</t>
  </si>
  <si>
    <t>Zhang, Minming/0000-0003-0145-7558</t>
  </si>
  <si>
    <t>National Natural Science Foundation of China [82271935, 82171888, 82001767]</t>
  </si>
  <si>
    <t>This work was supported by the National Natural Science Foundation of China (Grant Nos. 82271935, 82171888, 82001767) .</t>
  </si>
  <si>
    <t>1053-8119</t>
  </si>
  <si>
    <t>1095-9572</t>
  </si>
  <si>
    <t>Neuroimage</t>
  </si>
  <si>
    <t>10.1016/j.neuroimage.2023.120305</t>
  </si>
  <si>
    <t>Neurosciences; Neuroimaging; Radiology, Nuclear Medicine &amp; Medical Imaging</t>
  </si>
  <si>
    <t>Neurosciences &amp; Neurology; Radiology, Nuclear Medicine &amp; Medical Imaging</t>
  </si>
  <si>
    <t>R6NO6</t>
  </si>
  <si>
    <t>WOS:001065506100001</t>
  </si>
  <si>
    <t>Capaldi, L; Sansoz, F</t>
  </si>
  <si>
    <t>Capaldi, Luc; Sansoz, Frederic</t>
  </si>
  <si>
    <t>High-temperature active oxidation of nanocrystalline silicon-carbide: A reactive force-field molecular dynamics study</t>
  </si>
  <si>
    <t>Nanocrystalline; Silicon-carbide ceramic; Oxidation kinetics; Passive-to-active oxidation mechanisms</t>
  </si>
  <si>
    <t>PERCENT SIC OXIDATION; INDUCED EMBRITTLEMENT; ZRB2-SIC COMPOSITES; FIBER; REAXFF; BEHAVIOR; OXYGEN; SIMULATIONS; STABILITY; CERAMICS</t>
  </si>
  <si>
    <t>Flexible woven SiC ceramics are prone to accelerated fiber embrittlement under high temperature oxidation in dynamic oxygen environments. The nanocrystalline structure of the constituent fibers impacts the reaction kinetics and phase transformations during active oxidation. However, fundamental understanding and quantifi-cation of grain boundary effects on oxidation behavior in nanocrystalline SiC remain elusive when temperatures exceed 1500 K. This study deploys large-scale molecular dynamics simulations with a reactive force-field to elucidate the complex roles of atomic oxygen reservoir conditions and grain size on oxidation kinetics and the nature of oxides produced in both monocrystalline and nanocrystalline 3C-SiC between 1100 K and 2000 K. The simulations with dynamically replenished oxygen provide good agreement with oxidation kinetics and activation energies for the monocrystalline Si(100) and C(100) orientations published in the available literature. This study reveals that, by contrast, nanocrystalline SiC samples exhibit two distinct oxidation kinetics with a transition point at 1500 K due to surface melting, which is supported by experimental evidence. The introduction of a grain-boundary network produces a two-fold decrease in oxidation activation energies compared to mono-crystalline SiC below 1500 K. Above 1500 K, however, the activation energies rise substantially due to the formation of a liquid Si phase at the SiC/Si oxide interface. It is shown that the stability of the interfacial liquid phase is promoted by incoherent grain boundaries in the crystalline SiC. These findings are important for the deployment of nanocrystalline SiC fibers in advanced thermal protection systems for high-temperature applications.</t>
  </si>
  <si>
    <t>[Capaldi, Luc; Sansoz, Frederic] Univ Vermont, Dept Mech Engn, 33 Colchester Ave, Burlington, VT 05405 USA; [Sansoz, Frederic] Univ Vermont, Mat Sci Program, Burlington, VT 05405 USA</t>
  </si>
  <si>
    <t>University of Vermont; University of Vermont</t>
  </si>
  <si>
    <t>Sansoz, F (corresponding author), Univ Vermont, Dept Mech Engn, 33 Colchester Ave, Burlington, VT 05405 USA.</t>
  </si>
  <si>
    <t>frederic.sansoz@uvm.edu</t>
  </si>
  <si>
    <t>U.S. Department of Energy (DOE) [DE-SC0020054]; National Science Foundation (NSF) [ACI-1548562]; National Energy Research Scientific Computing Center (NERSC); U.S. DOE Office of Science [DE-AC02-05CH11231]; NSF MRI [1828371]; NSF Graduate Research Fellowship Program [DGE-1845298]; Vermont Space Grant Consortium [29907]; Department of Mechanical Engineering at the University of Vermont; U.S. Department of Energy (DOE) [DE-SC0020054] Funding Source: U.S. Department of Energy (DOE)</t>
  </si>
  <si>
    <t>U.S. Department of Energy (DOE)(United States Department of Energy (DOE)); National Science Foundation (NSF)(National Science Foundation (NSF)); National Energy Research Scientific Computing Center (NERSC); U.S. DOE Office of Science(United States Department of Energy (DOE)); NSF MRI(National Science Foundation (NSF)NSF - Office of the Director (OD)); NSF Graduate Research Fellowship Program(National Science Foundation (NSF)); Vermont Space Grant Consortium; Department of Mechanical Engineering at the University of Vermont; U.S. Department of Energy (DOE)(United States Department of Energy (DOE))</t>
  </si>
  <si>
    <t>We thank Drs. Jason Meyers and Rodrigo Penide-Fernandez for helpful discussion at the initial stage of this research. This research received support by the U.S. Department of Energy (DOE) under grant No. DE-SC0020054 and used computational resources from the Extreme Science and Engineering Discovery Environment (XSEDE) supported by the National Science Foundation (NSF) under grant no. ACI-1548562 and the National Energy Research Scientific Computing Center (NERSC) , a U.S. DOE Office of Science User Facility operated under contract no. DE-AC02-05CH11231. The field-emission SEM and EDS spectrometer were acquired through NSF MRI grant no. 1828371. LC gratefully acknowledges support from the NSF Graduate Research Fellowship Program under grant No. DGE-1845298, the Vermont Space Grant Consortium under award No. 29907 and the Department of Mechanical Engineering at the University of Vermont.</t>
  </si>
  <si>
    <t>10.1016/j.actamat.2023.119229</t>
  </si>
  <si>
    <t>Q9VF2</t>
  </si>
  <si>
    <t>WOS:001060914300001</t>
  </si>
  <si>
    <t>Capar, N; Yola, BB; Polat, I; Bekerecioglu, S; Atar, N; Yola, ML</t>
  </si>
  <si>
    <t>Capar, Nesrin; Yola, Bahar Bankoglu; Polat, Ilknur; Bekerecioglu, Sena; Atar, Necip; Yola, Mehmet Lutfi</t>
  </si>
  <si>
    <t>A zearalenone detection based on molecularly imprinted surface plasmon resonance sensor including sulfur-doped g-C3N4/Bi2S3 nanocomposite</t>
  </si>
  <si>
    <t>MICROCHEMICAL JOURNAL</t>
  </si>
  <si>
    <t>Zearalenone; Surface plasmon resonance; Molecularly imprinting; Nanocomposite; Food analysis</t>
  </si>
  <si>
    <t>MYCOTOXINS; PERFORMANCE; OXIDATION</t>
  </si>
  <si>
    <t>In present work, a zearalenone detection based on molecularly imprinted surface plasmon resonance (SPR) sensor including sulfur-doped g-C3N4/Bi2S3 (S-g-C3N4/Bi2S3) nanocomposite was presented for selective determination of zearalenone (ZEA) in rice grain samples. After S-g-C3N4/Bi2S3 nanocomposite was synthesized by calcination method with high purity and in accordance with green chemistry, ZEA imprinted SPR chip based on S-g-C3N4/Bi2S3 was prepared in presence of methacryloylamidoglutamicacid (MAGA) as monomer, ethylene glycol dimethacrylate (EGDMA) as cross linker, N,N &amp; PRIME;-azobisisobutyronitrile (AIBN) as initiator and ZEA as target molecule by using UV polymerization. Then, the spectroscopic, microscopic and electrochemical methods were used for the characterizations of the nanocomposite and the proposed ZEA imprinted SPR chip based on S-gC3N4/Bi2S3. The SPR sensor showed a linearity towards ZEA in range of 1.0 - 10.0 ng/L with a detection limit (LOD) of 0.33 ng/L. Thus, the developed sensor's high repeatability, stability, reproducibility and selectivity provided reliable ZEA determination in rice grain samples, ensuring safe food consumption.</t>
  </si>
  <si>
    <t>[Capar, Nesrin; Polat, Ilknur; Yola, Mehmet Lutfi] Hasan Kalyoncu Univ, Fac Hlth Sci, Dept Nutr &amp; Dietet, Gaziantep, Turkiye; [Yola, Bahar Bankoglu] Gaziantep Islam Sci &amp; Technol Univ, Fac Engn &amp; Nat Sci, Dept Engn Basic Sci, Gaziantep, Turkiye; [Atar, Necip] Pamukkale Univ, Fac Engn, Dept Chem Engn, Denizli, Turkiye</t>
  </si>
  <si>
    <t>Hasan Kalyoncu University; Pamukkale University</t>
  </si>
  <si>
    <t>Yola, ML (corresponding author), Hasan Kalyoncu Univ, Fac Hlth Sci, Dept Nutr &amp; Dietet, Gaziantep, Turkiye.</t>
  </si>
  <si>
    <t>mlutfi.yola@hku.edu.tr</t>
  </si>
  <si>
    <t>0026-265X</t>
  </si>
  <si>
    <t>1095-9149</t>
  </si>
  <si>
    <t>MICROCHEM J</t>
  </si>
  <si>
    <t>Microchem J.</t>
  </si>
  <si>
    <t>10.1016/j.microc.2023.109141</t>
  </si>
  <si>
    <t>P6YS6</t>
  </si>
  <si>
    <t>WOS:001052116600001</t>
  </si>
  <si>
    <t>Carvalho, RPR; de Carvalho, IR; da Costa, RV; Guimaraes-Ervilha, LO; Machado-Neves, M</t>
  </si>
  <si>
    <t>Carvalho, Renner Philipe Rodrigues; de Carvalho, Isadora Ribeiro; da Costa, Rosiany Vieira; Guimaraes-Ervilha, Luiz Otavio; Machado-Neves, Mariana</t>
  </si>
  <si>
    <t>The effects of eugenol on histological, enzymatic, and oxidative parameters in the major salivary glands and pancreas of healthy male Wistar rats</t>
  </si>
  <si>
    <t>ARCHIVES OF ORAL BIOLOGY</t>
  </si>
  <si>
    <t>Parotid gland; Submandibular gland; Clove; Oxidative stress; Histomorphometry</t>
  </si>
  <si>
    <t>INDUCED LIPID-PEROXIDATION; IN-VITRO; ADENOSINE-TRIPHOSPHATASE; INHIBITION; ANTIOXIDANT; DAMAGE; SERUM; INFLAMMATION; ACTIVATION; MECHANISM</t>
  </si>
  <si>
    <t>Objective: We evaluated the effects of eugenol on histological, enzymatic, and oxidative parameters in the pancreas, parotid, submandibular, and sublingual glands of healthy male rats. Design: Twenty-four adult Wistar rats were assigned into four groups (n = 6/group). Control rats received 2% Tween-20 (eugenol vehicle), whereas the other animals received 10, 20, and 40 mg kg-1 eugenol through gavage daily for 60 d. Major salivary and pancreatic glands were weighed and preserved fixed for microscopic analysis and frozen for in vitro assays. Results: Eugenol did not alter glands' weight and serum amylase activity regardless of the concentration. The highest dose of eugenol caused an increase in pancreatic amylase activity and a reduction of lipase activity from serum and pancreas. Eugenol at 40 mg kg � 1 diminished the activity of SOD and FRAP in the submandibular gland and CAT and FRAP in the sublingual gland. However, it did not exert any effect on GST regardless of the gland. Additionally, 40 mg kg � 1 eugenol increased MDA levels in pancreatic, parotid, and submandibular glands and NO levels in the sublingual. The concentrations of eugenol induced distinct responses in the glands regarding the activity of Na+/K+, Mg2+, and total ATPase activity. They also affected histomorphometrical and histochemistrical parameters in the submandibular gland only. Conclusions: Results indicated that 40 mg kg � 1 eugenol altered most of the biochemical and oxidatived parameters of digestive glands. Only submandibular glands presented histological changes after eugenol exposure suggesting potential implications for its function.</t>
  </si>
  <si>
    <t>[Carvalho, Renner Philipe Rodrigues; da Costa, Rosiany Vieira; Guimaraes-Ervilha, Luiz Otavio; Machado-Neves, Mariana] Univ Fed Vicosa, Dept Biol Geral, Vicosa, MG, Brazil; [Machado-Neves, Mariana] Univ Fed Vicosa, Dept Biol Geral, Campus Univ,Ave PH Rolfs, S-N, BR-36570900 Vicosa, MG, Brazil</t>
  </si>
  <si>
    <t>Universidade Federal de Vicosa; Universidade Federal de Vicosa</t>
  </si>
  <si>
    <t>Machado-Neves, M (corresponding author), Univ Fed Vicosa, Dept Biol Geral, Campus Univ,Ave PH Rolfs, S-N, BR-36570900 Vicosa, MG, Brazil.</t>
  </si>
  <si>
    <t>mariana.mneves@ufv.br</t>
  </si>
  <si>
    <t>NEVES, MARIANA MACHADO/B-8833-2015</t>
  </si>
  <si>
    <t>NEVES, MARIANA MACHADO/0000-0002-7416-3529</t>
  </si>
  <si>
    <t>Fundacao de Amparo a~Pesquisa do Estado de Minas Gerais [PPM-00621-18]; Conselho Nacional de Desenvolvimento Cientifico e Tecnologico [420077/2018-9, 313524/2021-1]; Coordenacao de Aperfeicoamento de Pessoal de Nivel Superior -Brasil [88887.509899/2020-00]</t>
  </si>
  <si>
    <t>Fundacao de Amparo a~Pesquisa do Estado de Minas Gerais(Fundacao de Amparo a Pesquisa do Estado de Minas Gerais (FAPEMIG)); Conselho Nacional de Desenvolvimento Cientifico e Tecnologico(Conselho Nacional de Desenvolvimento Cientifico e Tecnologico (CNPQ)); Coordenacao de Aperfeicoamento de Pessoal de Nivel Superior -Brasil(Coordenacao de Aperfeicoamento de Pessoal de Nivel Superior (CAPES))</t>
  </si>
  <si>
    <t>This work was supported by Fundacao de Amparo a &amp; nbsp;Pesquisa do Estado de Minas Gerais (grant number PPM-00621-18 to M.M.-N.); Conselho Nacional de Desenvolvimento Cientifico e Tecnologico (grant number 420077/2018-9 and 313524/2021-1 to M.M.-N.) and Coordenacao de Aperfeicoamento de Pessoal de Nivel Superior -Brasil (PhD fellowship to R.P.R.C, process number: 88887.509899/2020-00).</t>
  </si>
  <si>
    <t>0003-9969</t>
  </si>
  <si>
    <t>1879-1506</t>
  </si>
  <si>
    <t>ARCH ORAL BIOL</t>
  </si>
  <si>
    <t>Arch. Oral Biol.</t>
  </si>
  <si>
    <t>10.1016/j.archoralbio.2023.105764</t>
  </si>
  <si>
    <t>O4TH1</t>
  </si>
  <si>
    <t>WOS:001043749200001</t>
  </si>
  <si>
    <t>Castillo-Aguirre, AA; Sanabria-Espanol, E; Maldonado, M; Esteso, MA</t>
  </si>
  <si>
    <t>Castillo-Aguirre, Alver A.; Sanabria-Espanol, Edilma; Maldonado, Mauricio; Esteso, Miguel A.</t>
  </si>
  <si>
    <t>DMSO-controlled self-assembly of supramolecular structures of aryl-resorcinarenes</t>
  </si>
  <si>
    <t>Aryl-resorcinarenes; Molecular aggregates; Molecular interactions; Crown-type conformer; Chair-type conformer</t>
  </si>
  <si>
    <t>HEXAMERIC CAPSULES; BINDING-PROPERTIES; C-METHYL; GUEST; WATER; HOST; NMR; TETRAMETHOXYRESORCINARENE; ENCAPSULATION; RECOGNITION</t>
  </si>
  <si>
    <t>Molecular interactions of the chair and crown conformers of tetra(4-hydroxyphenyl)calix[4]resorcinarene and tetra(4-methoxyphenyl)calix[4]resorcinarene with several solvents such as isopropanol, ethanol, methanol, dimethylsulfoxide, acetone and acetonitrile were studied. For this, the calix[4]resorcinarenes were synthesized by direct reaction between resorcinol and the corresponding aromatic aldehyde using HCl as catalyst; the conformers obtained were separated and analyzed via FT-IR, MS and NMR spectroscopies. The results of the UV-Vis study showed that the crown-type conformer of tetra(4-hydroxyphenyl)calix[4]resorcinarene forms aggregates that depend on the solvent, while the chair-type conformer does not exhibit the same behavior. A comparative study of the interactions of the crown and chair conformers of tetra(4-methoxyphenyl)calix[4]resorcinarene in these solvents showed that, as occurred in the case of the chair-type conformer of tetra(4-hydroxyphenyl)calix[4] resorcinarene, the two mentioned conformers do not form molecular aggregates either. These observations suggest that for the formation of these molecular aggregates it is essential that in the crown-type conformation the hydroxyl groups on the lower rim are available. This conclusion was supported by COSY spectrum and the calculation of some geometric parameters of the macrocycle using the Winmostar software. In addition to the above, it was also concluded that the nature of the solvent plays a very relevant role in this process of aggregate formation.</t>
  </si>
  <si>
    <t>[Castillo-Aguirre, Alver A.; Maldonado, Mauricio] Univ Nacl Colombia, Fac Ciencias, Dept Quim, Carrera 30 45-03, Bogota, Colombia; [Sanabria-Espanol, Edilma] Univ Manuela Beltran, Grp GICRIM, Programa Invest Criminal, Ave Circunvalar 60-00, Bogota 111321, Colombia; [Esteso, Miguel A.] Univ Catolica Avila, Fac Hlth Sci, Calle Canteros S N, Avila 05005, Spain; [Esteso, Miguel A.] Univ Alcala, UD Quim Fis, Alcala De Henares 28805, Madrid, Spain</t>
  </si>
  <si>
    <t>Universidad Nacional de Colombia; Universidad Manuela Beltran - UMB; Universidad de Alcala</t>
  </si>
  <si>
    <t>Maldonado, M (corresponding author), Univ Nacl Colombia, Fac Ciencias, Dept Quim, Carrera 30 45-03, Bogota, Colombia.;Esteso, MA (corresponding author), Univ Catolica Avila, Fac Hlth Sci, Calle Canteros S N, Avila 05005, Spain.</t>
  </si>
  <si>
    <t>mmaldonadov@unal.edu.co; mangel.esteso@ucavila.es</t>
  </si>
  <si>
    <t>Castillo Aguirre, Alver Alex/HKO-4161-2023</t>
  </si>
  <si>
    <t>Castillo Aguirre, Alver Alex/0000-0002-2000-109X</t>
  </si>
  <si>
    <t>10.1016/j.molliq.2023.122703</t>
  </si>
  <si>
    <t>P7ML5</t>
  </si>
  <si>
    <t>WOS:001052477400001</t>
  </si>
  <si>
    <t>Cavalheri, PS; Machado, BS; da Silva, TF; de Oliveira, KRW; Magalha, FJC; Nazario, CE; Cavalcante, RP; de Oliveira, SC; Machulek, A</t>
  </si>
  <si>
    <t>Cavalheri, Priscila Sabioni; Machado, Beatriz Santos; da Silva, Thalita Ferreira; de Oliveira, Karla Regina Warszawski; Magalha, Fernando Jorge Correa; Nazario, Carlos Eduardo; Cavalcante, Rodrigo Pereira; de Oliveira, Silvio Cesar; Machulek, Amilcar</t>
  </si>
  <si>
    <t>Ketoprofen and diclofenac removal and toxicity abatement in a real scale sewage treatment Plant by photo-Fenton Process with design of experiments</t>
  </si>
  <si>
    <t>JOURNAL OF ENVIRONMENTAL CHEMICAL ENGINEERING</t>
  </si>
  <si>
    <t>Emerging contaminants; Factorial experimental design; Advanced oxidation processes; Toxicity</t>
  </si>
  <si>
    <t>ADVANCED OXIDATION; DEGRADATION; WATER; PHARMACEUTICALS; PHENOL; IDENTIFICATION; PHOTODEGRADATION; MITOXANTRONE; PRODUCTS; MIXTURE</t>
  </si>
  <si>
    <t>The disposal of effluent and sludge containing emerging contaminants (ECs) are the main problems associated with most traditional treatment methods. Non-steroidal anti- inflammatory drugs (NSAIDs) require more complete treatments integrated with conventional processes to enable circular economy and the water-energy-food (WEF) nexus. Different options to traditional technologies have been employed in the treatment of effluents, such as advanced oxidation processes (AOPs). However, few studies use real scales integrated with existing technologies. This work evaluated the use of AOPs for the degradation of ketoprofen (KET), diclofenac (DCF), and the DCF+KET mixture in an anaerobic effluent matrix, post-treated by an Upflow Anaerobic Sludge Blanket Reactor (UASB) in a real-scale Sewage Treatment Plant (STP). A Factorial Experimental Design was proposed and after 2 h of treatment the efficiency was evaluated by the decrease in total organic carbon (TOC), decrease of drugs concentration, physicochemical and ecotoxicity parameters. As a result, the photo-Fenton process showed greater efficiency in the degradation of KET (97.2% &amp; PLUSMN; 1.6), DCF (72.7% &amp; PLUSMN; 4.9), and the mixture of the two drugs DCF+KET (66.0% &amp; PLUSMN; 2.5), improved the quality of the effluent in the removal of COD, BOD, and turbidity, and reduced toxicity in tests performed with Artemia sp. and Lactuca sativa. The integration between AOPs and UASB as a sewage treatment technology widely used as primary and secondary treatment, allowed to optimize the sewage treatment system for an ideal arrangement. As a consequence, it possesses the capacity to eliminate conventional organic matter and efficiently degrade emerging pollutants.</t>
  </si>
  <si>
    <t>[Cavalheri, Priscila Sabioni; da Silva, Thalita Ferreira; de Oliveira, Karla Regina Warszawski; de Oliveira, Silvio Cesar; Machulek, Amilcar] Univ Fed Mato Grosso do Sul, Inst Chem, Av Senador Filinto Muller 1555, BR-79074460 Campo Grande, MS, Brazil; [Cavalheri, Priscila Sabioni; Machado, Beatriz Santos] Univ Catolica Dom Bosco, Dept Sanit &amp; Environm Engn, Agrosantech Agrotechnol Oriented Sustainable Sanit, Av Tamandare,6000, Campo Grande, MS, Brazil; [Magalha, Fernando Jorge Correa] Univ Fed Rio Grande do Sul, Inst Hydraul Res, Av Bento Goncalves,9500, Porto Alegre, RS, Brazil; [Cavalcante, Rodrigo Pereira] Univ Estadual Campinas, Sch Technol, Av Paschoal Marmo,1888, Limeira, SP, Brazil</t>
  </si>
  <si>
    <t>Universidade Federal de Mato Grosso do Sul; Universidade Catolica Dom Bosco (UCDB); Universidade Federal do Rio Grande do Sul; Universidade Estadual de Campinas</t>
  </si>
  <si>
    <t>Machulek, A (corresponding author), Univ Fed Mato Grosso do Sul, Inst Chem, Av Senador Filinto Muller 1555, BR-79074460 Campo Grande, MS, Brazil.</t>
  </si>
  <si>
    <t>machulekjr@gmail.com</t>
  </si>
  <si>
    <t>Magalhães Filho, Fernando Jorge Corrêa/M-8015-2017</t>
  </si>
  <si>
    <t>Magalhães Filho, Fernando Jorge Corrêa/0000-0001-5447-0137</t>
  </si>
  <si>
    <t>Conselho Nacional de Desenvolvimento Cientifico e Tecnologico (CNPq); Coordenacao, de Aperfeicoamento de Pessoal de Nivel Superior (CAPES) [001]; Fundacao de Apoio ao Desenvolvimento do Ensino, Ciencia e Tecnologia do Estado de Mato Grosso do Sul (FUNDECT)</t>
  </si>
  <si>
    <t>Conselho Nacional de Desenvolvimento Cientifico e Tecnologico (CNPq)(Conselho Nacional de Desenvolvimento Cientifico e Tecnologico (CNPQ)); Coordenacao, de Aperfeicoamento de Pessoal de Nivel Superior (CAPES)(Coordenacao de Aperfeicoamento de Pessoal de Nivel Superior (CAPES)); Fundacao de Apoio ao Desenvolvimento do Ensino, Ciencia e Tecnologia do Estado de Mato Grosso do Sul (FUNDECT)(Fundacao de Apoio ao Desenvolvimento do Ensino Ciencia e Tecnologia do Estado de Mato Grosso do Sul (FUNDECT MS))</t>
  </si>
  <si>
    <t>The authors wish to thank the Brazilian funding agencies Conselho Nacional de Desenvolvimento Cientifico e Tecnologico (CNPq) Coordenacao, de Aperfeicoamento de Pessoal de Nivel Superior (CAPES-Codigo de Financiamento 001) , and Fundacao de Apoio ao Desenvolvimento do Ensino, Ciencia e Tecnologia do Estado de Mato Grosso do Sul (FUNDECT).</t>
  </si>
  <si>
    <t>2213-2929</t>
  </si>
  <si>
    <t>2213-3437</t>
  </si>
  <si>
    <t>J ENVIRON CHEM ENG</t>
  </si>
  <si>
    <t>J. Environ. Chem. Eng.</t>
  </si>
  <si>
    <t>10.1016/j.jece.2023.110699</t>
  </si>
  <si>
    <t>Engineering, Environmental; Engineering, Chemical</t>
  </si>
  <si>
    <t>Q7DR2</t>
  </si>
  <si>
    <t>WOS:001059096200001</t>
  </si>
  <si>
    <t>Cha, JM; Park, SE; Kim, EJ; Seo, SH; Cho, KM; Kwon, SJ; Lee, MH; Son, HS</t>
  </si>
  <si>
    <t>Cha, Jeongmin; Park, Seong-Eun; Kim, Eun-Ju; Seo, Seung-Ho; Cho, Kwang-Moon; Kwon, Sun Jae; Lee, Mee-Hyun; Son, Hong-Seok</t>
  </si>
  <si>
    <t>Effects of saccharification agents on the microbial and metabolic profiles of Korean rice wine (makgeolli)</t>
  </si>
  <si>
    <t>Makgeolli; Rice wine; Saccharification agent; Koji; Nuruk; Lactic acid bacteria</t>
  </si>
  <si>
    <t>ENZYME-ACTIVITY; FERMENTATION; DIVERSITY; FUNGAL; KOJI; COMMUNITY; NURUK</t>
  </si>
  <si>
    <t>To brew rice wine, a saccharification agent is critical to provide sugars necessary for yeast to ferment alcohol. Nuruk, a traditional Korean saccharification agent, contains saccharification enzymes and various microorganisms, including fungi and lactic acid bacteria (LAB). To investigate the effect of saccharification agents on Korean rice wine (makgeolli), we analyzed makgeolli brewed with different saccharification agents, such as koji and nuruk. In contrast to koji makgeolli, nuruk makgeolli had a distinct microbial profile with higher proportion of LAB. Comparing the microbial profiles of the saccharification agents and makgeolli revealed that the dominant microorganisms in the makgeolli were possibly derived from the saccharification agents. Several metabolites also exhibited distinct profiles depending on the saccharification agent generating the total metabolic profile difference of makgeolli samples. Collectively, the saccharification agent could provide dominant microorganisms in the makgeolli microbiota, leading to a distinct microbial and metabolic profile of makgeolli depending on its type.</t>
  </si>
  <si>
    <t>[Cha, Jeongmin; Park, Seong-Eun; Kim, Eun-Ju; Son, Hong-Seok] Korea Univ, Coll Life Sci &amp; Biotechnol, Dept Biotechnol, Seoul 02841, South Korea; [Seo, Seung-Ho] Sonlab Inc, Seoul 02841, South Korea; [Cho, Kwang-Moon; Kwon, Sun Jae] AccuGene Inc, Incheon 21999, South Korea; [Lee, Mee-Hyun] Dongshin Univ, Coll Korean Med, Naju 58245, South Korea</t>
  </si>
  <si>
    <t>Korea University; Dongshin University</t>
  </si>
  <si>
    <t>Son, HS (corresponding author), Korea Univ, Coll Life Sci &amp; Biotechnol, Dept Biotechnol, Seoul 02841, South Korea.</t>
  </si>
  <si>
    <t>sonhs@korea.ac.kr</t>
  </si>
  <si>
    <t>Park, Seong-Eun/0000-0002-1021-1309</t>
  </si>
  <si>
    <t>National Research Foundation of Korea (NRF) - Ministry of Science and ICT; Korea University Grant; Institute of Biomedical Science and Food Safety, CJ -Korea University Food Safety Hall at Korea University, Republic of Korea; [2022R1A5A2029546]</t>
  </si>
  <si>
    <t>National Research Foundation of Korea (NRF) - Ministry of Science and ICT(National Research Foundation of KoreaMinistry of Science, ICT &amp; Future Planning, Republic of Korea); Korea University Grant; Institute of Biomedical Science and Food Safety, CJ -Korea University Food Safety Hall at Korea University, Republic of Korea;</t>
  </si>
  <si>
    <t>This work was supported by the National Research Foundation of Korea (NRF) , funded by the Ministry of Science and ICT (No. 2022R1A5A2029546) , a Korea University Grant, and the Institute of Biomedical Science and Food Safety, CJ -Korea University Food Safety Hall at Korea University, Republic of Korea.</t>
  </si>
  <si>
    <t>10.1016/j.foodres.2023.113367</t>
  </si>
  <si>
    <t>Q7PT5</t>
  </si>
  <si>
    <t>WOS:001059414000001</t>
  </si>
  <si>
    <t>Chan, AHE; Chaisiri, K; Dusitsittipon, S; Jakkul, W; Charoennitiwat, V; Komalamisra, C; Thaenkham, U</t>
  </si>
  <si>
    <t>Chan, Abigail Hui En; Chaisiri, Kittipong; Dusitsittipon, Sirilak; Jakkul, Wallop; Charoennitiwat, Vachirapong; Komalamisra, Chalit; Thaenkham, Urusa</t>
  </si>
  <si>
    <t>Mitochondrial ribosomal genes as novel genetic markers for discrimination of closely related species in the Angiostrongylus cantonensis lineage (vol 211, 105645, 2020)</t>
  </si>
  <si>
    <t>ACTA TROPICA</t>
  </si>
  <si>
    <t>[Chan, Abigail Hui En; Chaisiri, Kittipong; Jakkul, Wallop; Charoennitiwat, Vachirapong; Thaenkham, Urusa] Mahidol Univ, Fac Trop Med, Dept Helminthol, Bangkok, Thailand; [Dusitsittipon, Sirilak] Mahidol Univ, Fac Publ Hlth, Dept Parasitol &amp; Entomol, Bangkok, Thailand; [Komalamisra, Chalit] Mahidol Univ, Fac Trop Med, Mahidol Bangkok Sch Trop Med Mahidol BSTM, Bangkok, Thailand</t>
  </si>
  <si>
    <t>Mahidol University; Mahidol University; Mahidol University</t>
  </si>
  <si>
    <t>Chan, AHE; Thaenkham, U (corresponding author), Mahidol Univ, Fac Trop Med, Dept Helminthol, Bangkok, Thailand.</t>
  </si>
  <si>
    <t>abigail.cha@mahidol.edu; urusa.tha@mahidol.edu</t>
  </si>
  <si>
    <t>0001-706X</t>
  </si>
  <si>
    <t>1873-6254</t>
  </si>
  <si>
    <t>ACTA TROP</t>
  </si>
  <si>
    <t>Acta Trop.</t>
  </si>
  <si>
    <t>10.1016/j.actatropica.2023.106997</t>
  </si>
  <si>
    <t>Parasitology; Tropical Medicine</t>
  </si>
  <si>
    <t>R6UO8</t>
  </si>
  <si>
    <t>WOS:001065689900001</t>
  </si>
  <si>
    <t>Chen, A; Ju, CS; Mackenzie, IS; MacDonald, TM; Struthers, AD; Wei, L; Man, KKC</t>
  </si>
  <si>
    <t>Chen, Anthony; Ju, Chengsheng; Mackenzie, Isla S.; MacDonald, Thomas M.; Struthers, Allan D.; Wei, Li; Man, Kenneth K. C.</t>
  </si>
  <si>
    <t>Impact of beta-blockers on mortality and cardiovascular disease outcomes in patients with obstructive sleep apnoea: a population-based cohort study in target trial emulation framework</t>
  </si>
  <si>
    <t>LANCET REGIONAL HEALTH-EUROPE</t>
  </si>
  <si>
    <t>Beta-blocker; Obstructive sleep apnoea; Cohort study; Trial emulation</t>
  </si>
  <si>
    <t>CARDIAC-ARRHYTHMIAS; HEART-DISEASE; PREVALENCE; THERAPY; HYPERTENSION; BRADYCARDIA; HAZARDS</t>
  </si>
  <si>
    <t>Background There is no real-world evidence regarding the association between beta-blocker use and mortality or cardiovascular outcomes in patients with obstructive sleep apnoea (OSA). We aimed to investigate the impact of beta-blocker use on all-cause mortality and cardiovascular diseases (CVDs) in patients with OSA. Methods We conducted a target trial emulation study of 37,581 patients with newly diagnosed OSA from 1st January 2000 to 30th November 2021 using the IMRD-UK database (formerly known as the THIN database). We compared the treatment strategies of initiating beta-blocker treatment within one year versus non-beta-blocker treatment through the method of clone-censor-weight. Covariates, including patients' demographics, lifestyle, comorbidities, and recent medications, were measured and controlled. Patients were followed up for all-cause mortality or composite CVD outcomes (angina, myocardial infarction, stroke/transient ischaemic attack, heart failure, or atrial fibrillation). We estimated the five-year absolute risks, risk differences and risk ratio with 95% confidence intervals (CIs) with standardised, weighted pooled logistic regression, which is a discrete-time hazard model for survival analysis. Several sensitivity analyses were performed, including multiple imputation addressing the missing data. Findings The median follow-up time was 4.1 (interquartile range, 1.9-7.8) years. The five-year absolute risk of all cause mortality and CVD outcomes were 4.9% (95% CI, 3.8-6.0) and 13.0% (95% CI, 11.4-15.0) among betablocker users, and 4.0% (95% CI, 3.8-4.2) and 9.4% (95% CI, 9.1-9.7) among non-beta-blocker users, respectively. The five-year absolute risk difference and risk ratio between the two groups for all-cause mortality and CVD outcomes were 0.9% (95% CI, -0.2 to 2.1) and 1.22 (95% CI, 0.96-1.54), and 3.5% (95% CI, 2.1-5.5) and 1.37 (95% CI, 1.22-1.62), respectively. Findings were consistent across the sensitivity analyses. Interpretation Beta-blocker treatment was associated with an increased risk of CVD and a trend for an increased risk of mortality among patients with OSA. Further studies are needed to confirm our findings.</t>
  </si>
  <si>
    <t>[Chen, Anthony; Ju, Chengsheng; Wei, Li; Man, Kenneth K. C.] UCL, Res Dept Practice &amp; Policy, Sch Pharm, Mezzanine Floor,BMA House,Tavistock Sq, London WC1H 9JP, England; [Chen, Anthony] Univ Nottingham, Fac Med &amp; Hlth Sci, Nottingham City Hosp, Clin Sci Bldg,Hucknall Rd, Nottingham NG5 1PB, England; [Mackenzie, Isla S.; MacDonald, Thomas M.; Struthers, Allan D.] Univ Dundee, Ninewells Hosp &amp; Med Sch, Div Mol &amp; Clin Med, Dundee DD1 9SY, Scotland; [Wei, Li; Man, Kenneth K. C.] Hong Kong Sci Pk, Lab Data Discovery Hlth D 2 4H, Hong Kong, Peoples R China; [Wei, Li; Man, Kenneth K. C.] Univ Coll London Hosp NHS Fdn Trust, Ctr Med Optimisat Res &amp; Educ, London, England; [Man, Kenneth K. C.] Univ Hong Kong, LKS Fac Med, Ctr Safe Medicat Practice &amp; Res, Dept Pharmacol &amp; Pharm, Hong Kong, Peoples R China; [Man, Kenneth K. C.] UCL, Res Dept Practice &amp; Policy, Sch Pharm, Mezzanine Floor,BMA House,Tavistock Sq, London WC1H 9JP, England</t>
  </si>
  <si>
    <t>University of London; University College London; University of London School of Pharmacy; University of Nottingham; Nottingham University Hospital NHS Trust; Nottingham City Hospital; University of Dundee; University College London Hospitals NHS Foundation Trust; University of London; University College London; University of Hong Kong; University of London; University College London; University of London School of Pharmacy</t>
  </si>
  <si>
    <t>Man, KKC (corresponding author), UCL, Res Dept Practice &amp; Policy, Sch Pharm, Mezzanine Floor,BMA House,Tavistock Sq, London WC1H 9JP, England.;Man, KKC (corresponding author), UCL, Res Dept Practice &amp; Policy, Sch Pharm, Mezzanine Floor,BMA House,Tavistock Sq, London WC1H 9JP, England.</t>
  </si>
  <si>
    <t>kenneth.man@ucl.ac.uk</t>
  </si>
  <si>
    <t>Mackenzie, Isla/0000-0002-3680-7127; Ju, Chengsheng/0000-0001-7860-6262; MacDonald, Thomas/0000-0001-5189-6669</t>
  </si>
  <si>
    <t>Innovation and Technology Commission of the Hong Kong Special Administration Region Government</t>
  </si>
  <si>
    <t>Funding Innovation and Technology Commission of the Hong Kong Special Administration Region Government.</t>
  </si>
  <si>
    <t>2666-7762</t>
  </si>
  <si>
    <t>LANCET REG HEALTH-EU</t>
  </si>
  <si>
    <t>Lancet Reg. Health-Eur.</t>
  </si>
  <si>
    <t>10.1016/j.lanepe.2023.100715</t>
  </si>
  <si>
    <t>Health Care Sciences &amp; Services; Public, Environmental &amp; Occupational Health</t>
  </si>
  <si>
    <t>R9AV7</t>
  </si>
  <si>
    <t>WOS:001067217100001</t>
  </si>
  <si>
    <t>Chen, CJ; Su, MN; Wang, YH; Zhu, RH</t>
  </si>
  <si>
    <t>Chen, Chun-Jun; Su, Mei-Ni; Wang, Yu-Hang; Zhu, Rong-Hua</t>
  </si>
  <si>
    <t>Experimental and numerical investigations of crack growth of hot-rolled steel Q420C using cohesive zone model</t>
  </si>
  <si>
    <t>THEORETICAL AND APPLIED FRACTURE MECHANICS</t>
  </si>
  <si>
    <t>Cyclic cohesive zone model; Fracture toughness; Load ratio effect; Linear scaling method; Q420C steel; Simulation</t>
  </si>
  <si>
    <t>LOADING CONDITIONS; FATIGUE; PROPAGATION; COMPOSITES; SIMULATION; PREDICTION; INITIATION</t>
  </si>
  <si>
    <t>In this paper, the application problem of cyclic cohesive zone models at different load ratios is thoroughly studied based on test data of hot-rolled steel Q420C. Firstly, the fracture toughness of Q420C steel was measured and load-crack mouth opening displacement (F-CMOD) curves were recorded. Secondly, with the help of F-CMOD curves, a comparative study of monotonic cohesive zone models was performed to calibrate model parameters. Finally, cyclic cohesive zone models with different unloading-reloading paths were used to simulate the highcycle fatigue crack growth behaviour of Q420C steel, and their performances were compared. Research results show that plane stress assumption is more sensible when the finite element model is simplified from 3D to 2D. Rather than the conditional fracture toughness KQ, the elastic-plastic fracture toughness CTOD should be used to calculate the fracture energy of the monotonic cohesive zone model. Both cyclic cohesive zone models show good robustness towards the mesh size. When the linear scaling method is used to reduce simulation time, the cyclic cohesive zone model with an unloading-reloading path passing through the origin of coordinates is the better choice. To improve the simulation accuracy of cyclic cohesive zone models at different load ratios, the load ratio must be incorporated in the damage evolution law, and a linear relationship between accumulated cohesive length &amp; delta; n-ary sumation and load ratio R was proposed for engineering applications.</t>
  </si>
  <si>
    <t>[Chen, Chun-Jun; Wang, Yu-Hang] Chongqing Univ, Sch Civil Engn, Chongqing, Peoples R China; [Su, Mei-Ni] Univ Manchester, Dept Mech Aerosp &amp; Civil Engn, Manchester, England; [Zhu, Rong-Hua] Yangjiang Offshore Wind Energy Lab, Yangjiang 529533, Guangdong, Peoples R China</t>
  </si>
  <si>
    <t>Chongqing University; University of Manchester</t>
  </si>
  <si>
    <t>Wang, YH (corresponding author), Chongqing Univ, Sch Civil Engn, Chongqing, Peoples R China.</t>
  </si>
  <si>
    <t>wangyuhang@cqu.edu.cn</t>
  </si>
  <si>
    <t>Wang, Yu/T-9234-2017</t>
  </si>
  <si>
    <t>Wang, Yu/0000-0001-7288-9150</t>
  </si>
  <si>
    <t>National Natural Science Foundation of China [2022CDJQY-009]; Fundamental Research Funds for the Central Universities; [52278144]</t>
  </si>
  <si>
    <t>National Natural Science Foundation of China(National Natural Science Foundation of China (NSFC)); Fundamental Research Funds for the Central Universities(Fundamental Research Funds for the Central Universities);</t>
  </si>
  <si>
    <t>The authors would like to acknowledge the support of the National Natural Science Foundation of China 52278144 and Fundamental Research Funds for the Central Universities 2022CDJQY-009.</t>
  </si>
  <si>
    <t>0167-8442</t>
  </si>
  <si>
    <t>1872-7638</t>
  </si>
  <si>
    <t>THEOR APPL FRACT MEC</t>
  </si>
  <si>
    <t>Theor. Appl. Fract. Mech.</t>
  </si>
  <si>
    <t>10.1016/j.tafmec.2023.104036</t>
  </si>
  <si>
    <t>Q0SY4</t>
  </si>
  <si>
    <t>WOS:001054712600001</t>
  </si>
  <si>
    <t>Chen, J; Jin, X; Li, L; Dai, CL; Zhao, G</t>
  </si>
  <si>
    <t>Chen, Jia; Jin, Xiao; Li, Lin; Dai, Caili; Zhao, Guang</t>
  </si>
  <si>
    <t>Construction and performance evaluation of novel compound oil displacement system for enhanced oil recovery</t>
  </si>
  <si>
    <t>Compound oil displacement system; Interfacial tension; Wettability alteration; Oil film peeling; Enhanced oil recovery</t>
  </si>
  <si>
    <t>WETTABILITY ALTERATION; INTERFACIAL-TENSION; SYNERGISTIC INTERACTION; NONIONIC SURFACTANTS; BINARY-MIXTURES; ADSORPTION; REDUCTION; BEHAVIOR; ENERGY; IFT</t>
  </si>
  <si>
    <t>Conventional methods of flooding leave behind a significant amount of oil films that adhere to the rock surfaces. Developing novel compound oil displacement system to achieve efficient oil film peeling and migration is of great significance for further enhanced oil recovery. Herein, a novel compound oil displacement system was developed through optimization experiments using a binary surfactant mixture composed of SDBS and BS-18, along with a wetting regulator known as CAS. The minimum interfacial tension attained of compound oil displacement system was 0.0042 mN/m, indicating an ultra-low level. Meanwhile, the compound system could alter the rock surface wettability from oleophilic to strong hydrophilic, with the underwater oil contact angle substantially increasing from 18 degrees to 123.1 degrees. The compound system demonstrated remarkable stability at high water salinity (60000 ppm) and high temperature (90 degrees C). The surface strong hydrophilicity contributed to the excellent oil film peeling performance of compound system, leading to an 89.14% reduction in the oil film area within 12 h. The superior ability in interfacial tension reduction and wettability alteration of the compound system facilitated the peeling off and migrating out process of the residual oil film, and impressive enhanced oil recovery of 18.68% was achieved compared to that of the surfactant mixture SDBS/BS-18 (7.23%) and wetting regulator CAS (7.64%). It is believed that the outcomes of this work provide valuable insights into the design and optimization of effective oil displacement systems for residual oil development.</t>
  </si>
  <si>
    <t>[Chen, Jia; Jin, Xiao; Li, Lin; Dai, Caili; Zhao, Guang] China Univ Petr East China, Shandong Key Lab Oilfield Chem, Dept Petr Engn, Qingdao 266580, Peoples R China; [Chen, Jia; Jin, Xiao; Li, Lin; Dai, Caili; Zhao, Guang] China Univ Petr East China, Key Lab Unconvent Oil &amp; Gas Dev, Minist Educ, Qingdao 266580, Peoples R China</t>
  </si>
  <si>
    <t>Dai, CL; Zhao, G (corresponding author), China Univ Petr East China, Shandong Key Lab Oilfield Chem, Dept Petr Engn, Qingdao 266580, Peoples R China.;Dai, CL; Zhao, G (corresponding author), China Univ Petr East China, Key Lab Unconvent Oil &amp; Gas Dev, Minist Educ, Qingdao 266580, Peoples R China.</t>
  </si>
  <si>
    <t>daicl@upc.edu.cn; zhaoguang@upc.edu.cn</t>
  </si>
  <si>
    <t>National Key Research and Development Program of China [5207040347]; National Natural Science Foundation of China; [2019YFA0708700]</t>
  </si>
  <si>
    <t>National Key Research and Development Program of China; National Natural Science Foundation of China(National Natural Science Foundation of China (NSFC));</t>
  </si>
  <si>
    <t>Acknowledgements This study is financially supported by the National Key Research and Development Program of China (NO. 2019YFA0708700) , the National Natural Science Foundation of China (5207040347) .</t>
  </si>
  <si>
    <t>10.1016/j.molliq.2023.122618</t>
  </si>
  <si>
    <t>Q2LB7</t>
  </si>
  <si>
    <t>WOS:001055872100001</t>
  </si>
  <si>
    <t>Chen, L; Geng, J; Guo, Z; Huang, XJ</t>
  </si>
  <si>
    <t>Chen, Li; Geng, Jing; Guo, Zheng; Huang, Xing-Jiu</t>
  </si>
  <si>
    <t>Polyoxometalates-based functional materials in chemiresistive gas sensors and electrochemical sensors</t>
  </si>
  <si>
    <t>TRAC-TRENDS IN ANALYTICAL CHEMISTRY</t>
  </si>
  <si>
    <t>Polyoxometalates; Sensing systems; Volatile organic compounds; Humidity; Ions; Biomolecules</t>
  </si>
  <si>
    <t>REDUCED GRAPHENE OXIDE; METAL-ORGANIC FRAMEWORKS; ROOM-TEMPERATURE; ELECTROCATALYTIC PROPERTIES; SENSITIVE DETERMINATION; HYDROGEN-PEROXIDE; CARBON NANOTUBES; AU NANOPARTICLES; BUILDING-BLOCKS; HEAVY-METALS</t>
  </si>
  <si>
    <t>The construction of chemiresistive gas sensors and electrochemical sensors for various application scenarios has greatly facilitated human progress and altered the course of history. Sensitive material design is crucial but difficult since it affects the sensitivity, detection limit, and selectivity of the various sensing systems. POMs with distinctive physical and chemical properties have been frequently used to construct functional materials in sensing systems. Particularly, the large-scale electron delocalization of POMs cluster-based constructions with natural nanometer size enables incomparable catalytic properties in efficient sensing. This review focuses on the design and synthesis of POMs-based functional materials in accordance with the remarkable properties of POMs for various sensing application scenarios, such as VOC sensing, humidity sensing, and the electrochemical sensing of inorganic anions/heavy metal cations, and biomolecules. Moreover, the relationship between the properties of POMs and various sensing mechanisms is emphatically discussed.</t>
  </si>
  <si>
    <t>[Chen, Li; Geng, Jing; Guo, Zheng; Huang, Xing-Jiu] Anhui Univ, Inst Phys Sci &amp; Informat Technol, Hefei 230601, Peoples R China; [Chen, Li; Geng, Jing; Guo, Zheng; Huang, Xing-Jiu] Anhui Univ, Informat Mat &amp; Intelligent Sensing Lab Anhui Prov, Hefei 230601, Peoples R China; [Huang, Xing-Jiu] Chinese Acad Sci, Key Lab Environm Opt &amp; Technol, Hefei 230031, Peoples R China; [Huang, Xing-Jiu] Chinese Acad Sci, Inst Solid State Phys, Environm Mat &amp; Pollut Control Lab, HFIPS, Hefei 230031, Peoples R China</t>
  </si>
  <si>
    <t>Anhui University; Anhui University; Chinese Academy of Sciences; Chinese Academy of Sciences; Hefei Institutes of Physical Science, CAS</t>
  </si>
  <si>
    <t>Chen, L; Guo, Z; Huang, XJ (corresponding author), Anhui Univ, Inst Phys Sci &amp; Informat Technol, Hefei 230601, Peoples R China.</t>
  </si>
  <si>
    <t>lichen@ahu.edu.cn; zhguo@ahu.edu.cn; xingjiuhuang@iim.ac.cn</t>
  </si>
  <si>
    <t>National Key R&amp;D Program of China [2021YFB3201401]; National Natural Science Foundation of China [61774159, 22001001]; Anhui Provincial Natural Science Foundation [2008085QF320]</t>
  </si>
  <si>
    <t>National Key R&amp;D Program of China; National Natural Science Foundation of China(National Natural Science Foundation of China (NSFC)); Anhui Provincial Natural Science Foundation(Natural Science Foundation of Anhui Province)</t>
  </si>
  <si>
    <t>This work was supported by the National Key R&amp;D Program of China (2021YFB3201401) , the National Natural Science Foundation of China (61774159 and 22001001) , and Anhui Provincial Natural Science Foundation (2008085QF320) .</t>
  </si>
  <si>
    <t>0165-9936</t>
  </si>
  <si>
    <t>1879-3142</t>
  </si>
  <si>
    <t>TRAC-TREND ANAL CHEM</t>
  </si>
  <si>
    <t>Trac-Trends Anal. Chem.</t>
  </si>
  <si>
    <t>10.1016/j.trac.2023.117233</t>
  </si>
  <si>
    <t>R6XL1</t>
  </si>
  <si>
    <t>WOS:001065764200001</t>
  </si>
  <si>
    <t>Chen, SL; Hsieh, SM; Ta, TQ</t>
  </si>
  <si>
    <t>Chen, Shyh-Leh; Hsieh, Sheng-Min; Ta, Thanh-Quan</t>
  </si>
  <si>
    <t>Iterative learning contouring control for five-axis machine tools and industrial robots*</t>
  </si>
  <si>
    <t>MECHATRONICS</t>
  </si>
  <si>
    <t>Contouring control; Five-axis machine tool; Industrial robot; Contour error; Orientation error</t>
  </si>
  <si>
    <t>ERROR ESTIMATION; PRECISION; SYSTEMS; COMPENSATION</t>
  </si>
  <si>
    <t>The five-axis machine tool and industrial robot are two important systems in modern manufacturing systems. For accurate machining, the contouring control of these systems is essential. However, it is seldom studied in the literature. This is because of the unique features of such multi-axis motion systems: (1) they involve complicated kinematics; (2) not only contour error, but also orientation error should be minimized for the contouring control. In this paper, the iterative learning contouring control (ILCC) algorithm proposed previously by the authors will be applied to both the 5-axis machine tool and industrial robot. The control objective of the ILCC is the equivalent contour error, whose reduction is equivalent to the reduction of both contour error and orientation error. Moreover, the equivalent contour error can be easily constructed in the machine axis coordinates. Experiments on a commercial 5-axis machine tool and an industrial robot are conducted. It is found that either for the 5-axis machine tool or for the industrial robot, both the contour error and orientation error can monotonically converge almost at each time step, and the RMS contour error and orientation error can be reduced more than 90% after several learning iterations. The experimental results confirm the effectiveness of the proposed ILCC on the contouring control of both 5-axis machine tool and industrial robot.</t>
  </si>
  <si>
    <t>[Chen, Shyh-Leh] Natl Chung Cheng Univ, Dept Mech Engn, Chiayi 621, Taiwan; Natl Chung Cheng Univ, Adv Inst Mfg High tech Innovat, Chiayi 621, Taiwan</t>
  </si>
  <si>
    <t>National Chung Cheng University; National Chung Cheng University</t>
  </si>
  <si>
    <t>Chen, SL (corresponding author), Natl Chung Cheng Univ, Dept Mech Engn, Chiayi 621, Taiwan.</t>
  </si>
  <si>
    <t>imeslc@ccu.edu.tw</t>
  </si>
  <si>
    <t>Advanced Institute of Manufacturing with High-tech Innovations (AIM-HI) from The Featured Areas Research Center Program within the framework of the Higher Education Sprout Project - Ministry of Education (MOE) in Taiwan; Ministry of Science and Technology, Taiwan [MOST 110-2218-E-194-009, MOST110-2218-E-194-008, MOST 110-2634-F-194-003]</t>
  </si>
  <si>
    <t>Advanced Institute of Manufacturing with High-tech Innovations (AIM-HI) from The Featured Areas Research Center Program within the framework of the Higher Education Sprout Project - Ministry of Education (MOE) in Taiwan; Ministry of Science and Technology, Taiwan(Ministry of Science and Technology, Taiwan)</t>
  </si>
  <si>
    <t>This work was supported in part by the Advanced Institute of Manufacturing with High-tech Innovations (AIM-HI) from The Featured Areas Research Center Program within the framework of the Higher Education Sprout Project by the Ministry of Education (MOE) in Taiwan and was also supported in part by the Ministry of Science and Technology, Taiwan, under Grants MOST 110-2218-E-194-009, MOST110-2218-E-194-008, and MOST 110-2634-F-194-003.</t>
  </si>
  <si>
    <t>0957-4158</t>
  </si>
  <si>
    <t>Mechatronics</t>
  </si>
  <si>
    <t>10.1016/j.mechatronics.2023.103030</t>
  </si>
  <si>
    <t>Automation &amp; Control Systems; Engineering, Electrical &amp; Electronic; Engineering, Mechanical; Robotics</t>
  </si>
  <si>
    <t>Automation &amp; Control Systems; Engineering; Robotics</t>
  </si>
  <si>
    <t>O9HF5</t>
  </si>
  <si>
    <t>WOS:001046850000001</t>
  </si>
  <si>
    <t>Chen, XF; Wang, HY; Cao, L; Ming, H; Liu, JH</t>
  </si>
  <si>
    <t>Chen, Xuefang; Wang, Hongying; Cao, Lang; Ming, Hai; Liu, Jianghai</t>
  </si>
  <si>
    <t>Optimization design of carbon additive in cathodes and regulation mechanism of capacitor battery performance</t>
  </si>
  <si>
    <t>Capacitor battery; Capacitive carbon; Oxygen-containing functional groups; Size control; Rate capability</t>
  </si>
  <si>
    <t>ACTIVATED CARBON; NITROGEN</t>
  </si>
  <si>
    <t>Li-ion batteries exhibit high energy density, while supercapacitors demonstrate high power density and long cycle life. A series of unimpeachable studies show that adding capacitive carbon to cathodes can construct a new type of capacitor batteries to greatly improve the rate capability and cycle life of Li-ion batteries without significantly reducing the energy density, so as to realize the technology integration of capacitor and battery. In this paper, with the aim of preparing high performance cathode material for capacitor battery, the cathode material with high speed electron, ion channels and high specific power and capacity is constructed by controlling the surface functional group of carbon additives, particle size and the characteristics of ion electron transport. The results show that although the presence of oxygen-containing functional groups on the surface of capacitive carbon can improve the capacity of capacitive carbon itself, it has adverse effects on the rate capability of cathode material of Li-ion batteries, and the more the oxygen content, the greater the internal resistance of the hybrid electrode, and the worse the electrochemical stability of the electrolyte. The size matching between the capacitive carbon particles and the cathode material can not only ensure good electron close contact and vibration density, but also the appropriate size of carbon additives can alleviate the volume expansion of the cathode electrode to enhance the cycle stability.</t>
  </si>
  <si>
    <t>[Chen, Xuefang; Wang, Hongying; Cao, Lang; Ming, Hai; Liu, Jianghai] Res Inst Chem Def, State Key Lab NBC Protect Civilian, Beijing 102205, Peoples R China</t>
  </si>
  <si>
    <t>Research Institute of Chemical Defense - China</t>
  </si>
  <si>
    <t>Ming, H; Liu, JH (corresponding author), Res Inst Chem Def, State Key Lab NBC Protect Civilian, Beijing 102205, Peoples R China.</t>
  </si>
  <si>
    <t>hai.mingenergy@hotmail.com; hot37@sina.com</t>
  </si>
  <si>
    <t>10.1016/j.electacta.2023.142902</t>
  </si>
  <si>
    <t>P5MD7</t>
  </si>
  <si>
    <t>WOS:001051107900001</t>
  </si>
  <si>
    <t>Chen, ZX; Hu, LM</t>
  </si>
  <si>
    <t>Chen, Zhixin; Hu, Liming</t>
  </si>
  <si>
    <t>Adsorption behavior of benzene on clay mineral surfaces at different temperatures and air humidity based on molecular simulation</t>
  </si>
  <si>
    <t>APPLIED CLAY SCIENCE</t>
  </si>
  <si>
    <t>Benzene; Clay minerals; Adsorption; Grand Monte Carlo method; Air humidity</t>
  </si>
  <si>
    <t>VOLATILE ORGANIC-COMPOUNDS; VAPOR-PHASE SORPTION; KAOLINITE; SOILS; WATER; MECHANISM; MONTMORILLONITE; HYDRATION; MOISTURE; MODEL</t>
  </si>
  <si>
    <t>Benzene poses a severe threat to human health due to its prevalence and carcinogenicity. The adsorption behavior of benzene on clay mineral surfaces is significant to its migration and retention in soils. Therefore, it is crucial to understand the mechanism of benzene adsorption behavior under different environmental conditions. In this study, a series of Grand Monte Carlo (GCMC) simulations were performed to obtain benzene isotherms on clay under various temperatures and air humidity. The adsorption mechanisms were investigated via analysis of the distribution of interaction energy, density, and orientation of adsorbed benzene and water. Results show that benzene form multiple layers on mineral surfaces, and surfaces have a great impact on the first layer of adsorbed benzene. The impedance effect of temperature on benzene adsorption is attributed to the temperature-dependent chemical potential of benzene, but not the interaction between benzene and surfaces, which is slightly temperature-reliant. Humidity shows different inhibition effects on benzene adsorption due to different surface hydration behavior and competitive adsorption between water and benzene. Benzene tends to be adsorbed on hollow sites on kaolinite surfaces, which is the same as water. The surface cations on montmorillonite and mica are significant to benzene and water adsorption, and their density distribution causes different competitive adsorption behavior.</t>
  </si>
  <si>
    <t>[Chen, Zhixin; Hu, Liming] Tsinghua Univ, Dept Hydraul Engn, State Key Lab Hydrosci &amp; Engn, Key Lab Hydrosphere Sci Minist Water Resources, Beijing, Peoples R China</t>
  </si>
  <si>
    <t>Hu, LM (corresponding author), Tsinghua Univ, Dept Hydraul Engn, State Key Lab Hydrosci &amp; Engn, Key Lab Hydrosphere Sci Minist Water Resources, Beijing, Peoples R China.</t>
  </si>
  <si>
    <t>gehu@tsinghua.edu.cn</t>
  </si>
  <si>
    <t>National Key Research and Development Program of China [2020YFC1806502]; National Natural Science Foundation of China [51979144]; Center of High-Performance Computing, Tsinghua University</t>
  </si>
  <si>
    <t>National Key Research and Development Program of China; National Natural Science Foundation of China(National Natural Science Foundation of China (NSFC)); Center of High-Performance Computing, Tsinghua University</t>
  </si>
  <si>
    <t>This work was supported by the National Key Research and Development Program of China (2020YFC1806502) and the National Natural Science Foundation of China (51979144). The molecular simulation in this study was supported by the Center of High-Performance Computing, Tsinghua University.</t>
  </si>
  <si>
    <t>0169-1317</t>
  </si>
  <si>
    <t>1872-9053</t>
  </si>
  <si>
    <t>APPL CLAY SCI</t>
  </si>
  <si>
    <t>Appl. Clay Sci.</t>
  </si>
  <si>
    <t>10.1016/j.clay.2023.107068</t>
  </si>
  <si>
    <t>Chemistry, Physical; Materials Science, Multidisciplinary; Mineralogy</t>
  </si>
  <si>
    <t>Chemistry; Materials Science; Mineralogy</t>
  </si>
  <si>
    <t>O4QG6</t>
  </si>
  <si>
    <t>WOS:001043670600001</t>
  </si>
  <si>
    <t>Cheng, J; Chen, HM; Chen, X; Cai, XX; Lin, R; Xiong, CH; You, LJ; Wang, SY</t>
  </si>
  <si>
    <t>Cheng, Jing; Chen, Huimin; Chen, Xu; Cai, Xixi; Lin, Rong; Xiong, Caihua; You, Lijun; Wang, Shaoyun</t>
  </si>
  <si>
    <t>Microbial foaming-based porous conductive hydrogel: Novel breathable strain sensor with low-temperature tolerance and degradability</t>
  </si>
  <si>
    <t>APPLIED MATERIALS TODAY</t>
  </si>
  <si>
    <t>Keyords; Breathability Low-temperature tolerance Porous hydrogel Strain sensor ogradability</t>
  </si>
  <si>
    <t>CARBON</t>
  </si>
  <si>
    <t>Flexible, breathable, low-temperature tolerant, and degradable strain sensors have attracted substantial attention for varied applications in interactive wearable devices, artificial prosthetics, and intelligent robots. Herein, a novel breathable, low-temperature tolerant, degradable, and sensitive strain sensor is developed by microbial fermentation technology. The resulting strain sensor exhibited excellent gas permeability, about 13 times higher than that of unfermented hydrogel, reliable low-temperature resistance down to -20 degrees C, and robust degradability in water about 96 h. The strain sensor possessed good linearity (a correlation coefficient of 0.994) in an ultrawide sensing range (up to 200%), ultralow-detection limit (0.05%), fast response and recovery (36 ms), and high reproducibility (1000 cycles). Attributed to these tremendous strain sensing performances, the strain sensor is able to accurately monitor both subtle physiological activities and large human motions. Furthermore, these strain sensors can assemble into a 3D array for sensing tactile signals and mapping spatial stress distribution. This strain sensor also can apply to human-computer interaction to react the wrist movement. Sensors with breathability, low-temperature tolerance, and degradability in this work are expected to play a role in the preparation of various breathable strain sensors.</t>
  </si>
  <si>
    <t>[Cheng, Jing; Chen, Huimin; Cai, Xixi; Lin, Rong; You, Lijun; Wang, Shaoyun] Fuzhou Univ, Coll Chem Engn, Fuzhou 350108, Peoples R China; [Cheng, Jing; Chen, Huimin; Cai, Xixi; Lin, Rong; You, Lijun; Wang, Shaoyun] Fuzhou Univ, Coll Biol Sci &amp; Engn, Fuzhou 350108, Peoples R China; [Chen, Xu; Xiong, Caihua] Huazhong Univ Sci &amp; Technol, Sch Mech Sci &amp; Engn, Wuhan 430074, Peoples R China</t>
  </si>
  <si>
    <t>Fuzhou University; Fuzhou University; Huazhong University of Science &amp; Technology</t>
  </si>
  <si>
    <t>You, LJ; Wang, SY (corresponding author), Fuzhou Univ, Coll Chem Engn, Fuzhou 350108, Peoples R China.;You, LJ; Wang, SY (corresponding author), Fuzhou Univ, Coll Biol Sci &amp; Engn, Fuzhou 350108, Peoples R China.</t>
  </si>
  <si>
    <t>ibptylj@fzu.edu.cn; shywang@fzu.edu.cn</t>
  </si>
  <si>
    <t>National Natural Science Foundation of China [52027806]</t>
  </si>
  <si>
    <t>This work was supported by the National Natural Science Foundation of China (No. 52027806).</t>
  </si>
  <si>
    <t>2352-9407</t>
  </si>
  <si>
    <t>APPL MATER TODAY</t>
  </si>
  <si>
    <t>Appl. Mater. Today</t>
  </si>
  <si>
    <t>10.1016/j.apmt.2023.101898</t>
  </si>
  <si>
    <t>R2WE6</t>
  </si>
  <si>
    <t>WOS:001062996700001</t>
  </si>
  <si>
    <t>Chetverikov, YO; Bykov, AA; Krotov, AV; Mistonov, AA; Murashev, MM; Smirnov, IV; Tarnavich, VV</t>
  </si>
  <si>
    <t>Chetverikov, Yu. O.; Bykov, A. A.; Krotov, A. V.; Mistonov, A. A.; Murashev, M. M.; Smirnov, I. V.; Tarnavich, V. V.</t>
  </si>
  <si>
    <t>Boron-containing plastic composites as neutron shielding material for additive manufacturing processes</t>
  </si>
  <si>
    <t>Neutron shielding; Boron nitride; Amorphous boron; Composites; ABS; PETG</t>
  </si>
  <si>
    <t>NITRIDE</t>
  </si>
  <si>
    <t>A study of samples of shielding materials which exploit plastic as the basis of neutron absorbing composite with 25%-37% weight boron-containing powder has been provided. Composite samples were prepared by fused filament fabrication (FFF). Acrylonitrile butadiene styrene (ABS) and polyethylene terephthalate glycol (PETG) plastics were used as the polymer matrix material, while boron nitride powder and amorphous boron powder were used as boron-containing fillers. According to measurements of the neutron transmission on the monochromatic beam of the IR-8 reactor (main monochromatic neutron beam line -2.4 &amp; ANGS;), the use of boron as a filler in the plastic provides a decrease in the penetration depth of neutrons by 56%-78%: from 3.0 mm for a sample of plastic without filler to 0.65 mm for a sample with amorphous boron powder. Tensile and bending mechanical tests showed that the addition of boron-containing powder leads to development of brittleness of composite materials. The boron-containing samples experienced a 40%-55% of strength decrease and the failure of samples occurred without plastic deformation, while in ABS and PETG samples the plastic deformation takes up a significant portion of the test diagram.</t>
  </si>
  <si>
    <t>[Chetverikov, Yu. O.; Bykov, A. A.; Tarnavich, V. V.] Petersburg Nucl Phys Inst, Gatchina 188300, Russia; [Krotov, A. V.] OOO RAD, Vsevolozhsk 188640, Russia; [Mistonov, A. A.; Smirnov, I. V.] St Petersburg Univ, St Petersburg 199034, Russia; [Murashev, M. M.] NRC Kurchatov Inst, Kurchatov Complex Synchrotron &amp; Neutron Invest, Moscow 123182, Russia</t>
  </si>
  <si>
    <t>National Research Centre - Kurchatov Institute; Petersburg Nuclear Physics Institute; Saint Petersburg State University; National Research Centre - Kurchatov Institute</t>
  </si>
  <si>
    <t>Chetverikov, YO (corresponding author), Petersburg Nucl Phys Inst, Gatchina 188300, Russia.</t>
  </si>
  <si>
    <t>chetverikov_yo@pnpi.nrcki.ru</t>
  </si>
  <si>
    <t>Russian Science Foundation; [22-29-01186]</t>
  </si>
  <si>
    <t>Russian Science Foundation(Russian Science Foundation (RSF));</t>
  </si>
  <si>
    <t>The work was supported financially by the Russian Science Foundation (Project No 22-29-01186 Development and research of composite materials with improved radiation protection characteristics). The authors are grateful to B. Abdurakhimov for performing the test measurements at a radial white beam of the neutron tomography station of the WWR-SM reactor of the Institute of Nuclear Physics of Academy of Sciences of the Republic of Uzbekistan (Tashkent). and the discussion of results obtained. We are also grateful to the employees of Center for Extreme States of Materials and Constructions (ESMC) of the Research Park of Saint Petersburg University for performing mechanical tests.</t>
  </si>
  <si>
    <t>10.1016/j.nima.2023.168406</t>
  </si>
  <si>
    <t>Q5ML5</t>
  </si>
  <si>
    <t>WOS:001057961400001</t>
  </si>
  <si>
    <t>Chithaluru, P; Al-Turjman, F; Stephan, T; Kumar, M; Kumar, S</t>
  </si>
  <si>
    <t>Chithaluru, Premkumar; Al-Turjman, Fadi; Stephan, Thompson; Kumar, Manoj; Kumar, Sunil</t>
  </si>
  <si>
    <t>An Optimized Bio-inspired Localization Routing Technique for Sustainable IIoT Networks &amp; Green Cities</t>
  </si>
  <si>
    <t>IIoT; Sustainable; ICSO; PSO; Localization; Bio-inspired; Green cities</t>
  </si>
  <si>
    <t>ENERGY-EFFICIENT; ALGORITHM; HYBRID</t>
  </si>
  <si>
    <t>The industrial Internet of Things (IIoTs) network life is shortened due to sensor node (SN) energy limitations and computational capability. As a result, optimum node location estimation and efficient energy usage are two critical IIoT requirements. This work reduces energy consumption by performing node localization and cluster-based routing using an improved evolutionary algorithm called Cat Swarm Optimization (CSO). First, the CSO method is used to optimize the bio-inspired node's location. Second, to conserve SN energy in the IIoT network, a cluster-based routing technique is used. The objective function is defined as minimizing the average distance between the cluster and its SNs while selecting the most energy-efficient Cluster Head (CH). In terms of fitness value, the Improved CSO (ICSO) algorithm outperforms the Particle Swarm Optimization (PSO) algorithm. In this paper, real-time test-bed analysis was used to investigate the performance of both node localization and energy-efficient clustering. When it comes to achieving sustainable IIoT and green cities, the findings show that ICSO outperforms in terms of convergence rate and network lifetime.</t>
  </si>
  <si>
    <t>[Chithaluru, Premkumar] Chaitanya Bharathi Inst Technol, Dept Comp Sci &amp; Engn, Hyderabad 500075, India; [Al-Turjman, Fadi] Univ Kyrenia, Fac Engn, Res Ctr AI &amp; IoT, Mersin 10, Karakum, Turkiye; [Al-Turjman, Fadi] Near East Univ, AI &amp; Robot Inst, Artificial Intelligence Engn Dept, Mersin 10, Istanbul, Turkiye; [Stephan, Thompson] MS Ramaiah Univ Appl Sci, Fac Engn &amp; Technol, Dept Comp Sci &amp; Engn, Bangalore 560054, Karnataka, India; [Kumar, Manoj] Univ Wollongong Dubai, Sch Comp Sci, FEIS, Dubai Knowledge Pk, Dubai, U Arab Emirates; [Kumar, Manoj] Middle East Univ, MEU Res Unit, Amman 11831, Jordan; [Kumar, Sunil] Univ Petr &amp; Energy Studies UPES, Sch Comp Sci, Dept Cybernet, Dehra Dun 248007, India</t>
  </si>
  <si>
    <t>Chaitanya Bharathi Institute of Technology; Near East University; M. S. Ramaiah University of Applied Sciences; University of Wollongong; Middle East University; University of Petroleum &amp; Energy Studies (UPES)</t>
  </si>
  <si>
    <t>Stephan, T (corresponding author), MS Ramaiah Univ Appl Sci, Fac Engn &amp; Technol, Dept Comp Sci &amp; Engn, Bangalore 560054, Karnataka, India.</t>
  </si>
  <si>
    <t>bharathkumar30@gmail.com; fadi.alturjman@neu.edu.tr; thompsoncse@gmail.com; wss.manojkumar@gmail.com; drskumar.cs@gmail.com</t>
  </si>
  <si>
    <t>10.1016/j.scs.2023.104722</t>
  </si>
  <si>
    <t>O9XC4</t>
  </si>
  <si>
    <t>WOS:001047264000001</t>
  </si>
  <si>
    <t>Cho, KYJ; Kim, J; Kim, KD; Park, S; Kim, J; Yun, JHY; Ahn, Y; Oh, SY; Lee, SM; Seo, JB; Kim, N</t>
  </si>
  <si>
    <t>Cho, Kyungjin; Kim, Jeeyoung; Kim, Ki Duk; Park, Seungju; Kim, Junsik; Yun, Jihye; Ahn, Yura; Oh, Sang Young; Lee, Sang Min; Seo, Joon Beom; Kim, Namkug</t>
  </si>
  <si>
    <t>MuSiC-ViT: A multi-task Siamese convolutional vision transformer for differentiating change from no-change in follow-up chest radiographs</t>
  </si>
  <si>
    <t>MEDICAL IMAGE ANALYSIS</t>
  </si>
  <si>
    <t>CNNs meet vision transformers; Follow-up chest radiographs; Multi-task learning; Vision transformer; Siamese network</t>
  </si>
  <si>
    <t>X-RAY; SEGMENTATION; COVID-19; CLASSIFICATION</t>
  </si>
  <si>
    <t>A major responsibility of radiologists in routine clinical practice is to read follow-up chest radiographs (CXRs) to identify changes in a patient's condition. Diagnosing meaningful changes in follow-up CXRs is challenging because radiologists must differentiate disease changes from natural or benign variations. Here, we suggest using a multi-task Siamese convolutional vision transformer (MuSiC-ViT) with an anatomy-matching module (AMM) to mimic the radiologist's cognitive process for differentiating baseline change from no-change. MuSiC-ViT uses the convolutional neural networks (CNNs) meet vision transformers model that combines CNN and transformer architecture. It has three major components: a Siamese network architecture, an AMM, and multi-task learning. Because the input is a pair of CXRs, a Siamese network was adopted for the encoder. The AMM is an attention module that focuses on related regions in the CXR pairs. To mimic a radiologist's cognitive process, MuSiC-ViT was trained using multi-task learning, normal/abnormal and change/no-change classification, and anatomymatching. Among 406 K CXRs studied, 88 K change and 115 K no-change pairs were acquired for the training dataset. The internal validation dataset consisted of 1,620 pairs. To demonstrate the robustness of MuSiC-ViT, we verified the results with two other validation datasets. MuSiC-ViT respectively achieved accuracies and area under the receiver operating characteristic curves of 0.728 and 0.797 on the internal validation dataset, 0.614 and 0.784 on the first external validation dataset, and 0.745 and 0.858 on a second temporally separated validation dataset. All code is available at https://github.com/chokyungjin/MuSiC-ViT.</t>
  </si>
  <si>
    <t>[Cho, Kyungjin; Kim, Jeeyoung; Kim, Junsik] Univ Ulsan, Asan Med Inst Convergence Sci &amp; Technol, Coll Med, Asan Med Ctr,Dept Biomed Engn, Seoul, South Korea; [Kim, Ki Duk] Univ Ulsan, Asan Med Ctr, Dept Convergence Med, Coll Med, Seoul, South Korea; [Park, Seungju] Korea Univ, Coll Hlth Sci, Dept Biomed Engn, Seoul, South Korea; [Yun, Jihye; Oh, Sang Young; Seo, Joon Beom] Univ Ulsan, Asan Med Ctr, Dept Radiol, Coll Med, Seoul, South Korea; [Ahn, Yura] Univ Ulsan, Asan Med Ctr, Dept Radiol &amp; Res Radiol, Coll Med, Seoul, South Korea; [Lee, Sang Min] Univ Ulsan, Asan Med Ctr, Dept Radiol, Coll Med, Seoul, South Korea; [Kim, Namkug] Univ Ulsan, Asan Med Ctr, Dept Convergence Med, Coll Med, Seoul, South Korea</t>
  </si>
  <si>
    <t>University of Ulsan; Asan Medical Center; University of Ulsan; Asan Medical Center; Korea University; University of Ulsan; Asan Medical Center; University of Ulsan; Asan Medical Center; University of Ulsan; Asan Medical Center; University of Ulsan; Asan Medical Center</t>
  </si>
  <si>
    <t>Seo, JB (corresponding author), Univ Ulsan, Asan Med Ctr, Dept Radiol, Coll Med, Seoul, South Korea.;Kim, N (corresponding author), Univ Ulsan, Asan Med Ctr, Dept Convergence Med, Coll Med, Seoul, South Korea.</t>
  </si>
  <si>
    <t>joonbeom.seo@gmail.com; namkugkim@gmail.com</t>
  </si>
  <si>
    <t>Kim, Junsik/0000-0003-1672-1737; Seo, Joon Beom/0000-0003-0271-7884; Lee, Sang Min/0000-0001-7627-2000; Cho, Kyungjin/0000-0002-8111-5058; Park, Seungjoo/0000-0002-5944-6344</t>
  </si>
  <si>
    <t>Korea Health Technology R amp; D Project through the Korea Health Industry Development Institute; Ministry of Health and Welfare [HI18C0022, HI18C2383]; Institute of Information and Communications Technology Planning and Evaluation - Republic of Korea [1711134538, 20210003930012002]</t>
  </si>
  <si>
    <t>Korea Health Technology R amp; D Project through the Korea Health Industry Development Institute; Ministry of Health and Welfare(Ministry of Health, Labour and Welfare, Japan); Institute of Information and Communications Technology Planning and Evaluation - Republic of Korea</t>
  </si>
  <si>
    <t>This work was supported by grants from the Korea Health Technology R &amp; amp; D Project through the Korea Health Industry Development Institute, funded by the Ministry of Health and Welfare (HI18C0022, HI18C2383) and by an Institute of Information and Communications Technology Planning and Evaluation grant funded by the Republic of Korea (1711134538, 20210003930012002) . We thank Sojin Moon for designing the figures for this study. The authors are grateful to Dong Yeong Kim, MD, and Suiji Lee, MD, for participating as human readers.</t>
  </si>
  <si>
    <t>1361-8415</t>
  </si>
  <si>
    <t>1361-8423</t>
  </si>
  <si>
    <t>MED IMAGE ANAL</t>
  </si>
  <si>
    <t>Med. Image Anal.</t>
  </si>
  <si>
    <t>10.1016/j.media.2023.102894</t>
  </si>
  <si>
    <t>Computer Science, Artificial Intelligence; Computer Science, Interdisciplinary Applications; Engineering, Biomedical; Radiology, Nuclear Medicine &amp; Medical Imaging</t>
  </si>
  <si>
    <t>Computer Science; Engineering; Radiology, Nuclear Medicine &amp; Medical Imaging</t>
  </si>
  <si>
    <t>R0LE1</t>
  </si>
  <si>
    <t>WOS:001061334100001</t>
  </si>
  <si>
    <t>Choi, YR</t>
  </si>
  <si>
    <t>Choi, Young Rae</t>
  </si>
  <si>
    <t>The colonizers, the developmental state, and uneven geography of development: Reclamation of South Korea's tidal flats, 1900s-1980s</t>
  </si>
  <si>
    <t>JOURNAL OF HISTORICAL GEOGRAPHY</t>
  </si>
  <si>
    <t>Reclamation; Tidal flats; Getbol; South Korea; Developmental state</t>
  </si>
  <si>
    <t>South Korea's tidal flats, called getbol, are muddy and grayish coastal wetlands under the tidal influence that constitute the predominant landform of South Korea's west and southwest coasts. Today, getbol is appreciated for its biological and geological diversity, for which it recently earned UNESCO's World Heritage status. Yet, throughout the 20th century, more than 50% of getbol areas were lost due to coastal reclamation, a civil engineering practice of enclosing and filling in getbol. This paper closely examines the history of getbol from the 1900s to the 1980s. While being messy and complex, the history shows a tendency for reclamation to have evolved from small to large in terms of scale and from private-led to state-led initiatives. In popular imaginations, the reclamation of getbol is thought to have been driven top-down by governing authorities, particularly by the developmental state that roughly governed from the 1960s through the 1980s. While this explanation aligns with the general trend, this paper highlights that the state did not act solely upon its own will but responded to the desires of those that the state had to satisfy to gain political legitimacy. Ultimately, within the context of South Korea's uneven geography of development, this paper argues that the reclamation of getbol transitioned from a project for the entire nation to a project for the rural populations and the agricultural sector, which lagged behind the country's tantalizing economic growth.&amp; COPY; 2023 Elsevier Ltd. All rights reserved.</t>
  </si>
  <si>
    <t>[Choi, Young Rae] Florida Int Univ, Steven J Green Sch Int &amp; Publ Affairs, Dept Global &amp; Sociocultural Studies, 11200 SW 8th St SIPA 308, Miami, FL 33199 USA</t>
  </si>
  <si>
    <t>State University System of Florida; Florida International University</t>
  </si>
  <si>
    <t>Choi, YR (corresponding author), Florida Int Univ, Steven J Green Sch Int &amp; Publ Affairs, Dept Global &amp; Sociocultural Studies, 11200 SW 8th St SIPA 308, Miami, FL 33199 USA.</t>
  </si>
  <si>
    <t>raechoi@fiu.edu</t>
  </si>
  <si>
    <t>SSRC Transregional Research Junior Scholar Fellowship; Rachel Carson Center for Environment and Society Writing Fellowship</t>
  </si>
  <si>
    <t>Research and writing for this paper were funded by the SSRC Transregional Research Junior Scholar Fellowship and the Rachel Carson Center for Environment and Society Writing Fellowship. I thank the fellows at the Rachel Carson Center for reading and offering helpful comments for the manuscript.</t>
  </si>
  <si>
    <t>0305-7488</t>
  </si>
  <si>
    <t>1095-8614</t>
  </si>
  <si>
    <t>J HIST GEOGR</t>
  </si>
  <si>
    <t>J. Hist. Geogr.</t>
  </si>
  <si>
    <t>10.1016/j.jhg.2023.05.006</t>
  </si>
  <si>
    <t>Geography; History Of Social Sciences</t>
  </si>
  <si>
    <t>Geography; Social Sciences - Other Topics</t>
  </si>
  <si>
    <t>S1GV0</t>
  </si>
  <si>
    <t>WOS:001068730400001</t>
  </si>
  <si>
    <t>Chytas, K; Tsolakidis, A; Triperina, E; Karanikolas, NN; Skourlas, C</t>
  </si>
  <si>
    <t>Chytas, Konstantinos; Tsolakidis, Anastasios; Triperina, Evangelia; Karanikolas, Nikitas N.; Skourlas, Christos</t>
  </si>
  <si>
    <t>Academic data derived from a university e-government analytic platform: An educational data mining approach (vol 49, 109357, 2023 )</t>
  </si>
  <si>
    <t>DATA IN BRIEF</t>
  </si>
  <si>
    <t>[Chytas, Konstantinos; Tsolakidis, Anastasios; Triperina, Evangelia; Karanikolas, Nikitas N.; Skourlas, Christos] Univ West Attica, Dept Informat &amp; Comp Engn, Agiou Spiridonos 28, Egaleo 12243, Greece</t>
  </si>
  <si>
    <t>University of West Attica</t>
  </si>
  <si>
    <t>Triperina, E (corresponding author), Univ West Attica, Dept Informat &amp; Comp Engn, Agiou Spiridonos 28, Egaleo 12243, Greece.</t>
  </si>
  <si>
    <t>evatrip@uniwa.gr</t>
  </si>
  <si>
    <t>2352-3409</t>
  </si>
  <si>
    <t>DATA BRIEF</t>
  </si>
  <si>
    <t>Data Brief</t>
  </si>
  <si>
    <t>10.1016/j.dib.2023.109494</t>
  </si>
  <si>
    <t>R7CX1</t>
  </si>
  <si>
    <t>WOS:001065906200001</t>
  </si>
  <si>
    <t>Clancy, EA; Morin, EL; Hajian, G; Merletti, R</t>
  </si>
  <si>
    <t>Clancy, Edward A.; Morin, Evelyn L.; Hajian, Gelareh; Merletti, Roberto</t>
  </si>
  <si>
    <t>Tutorial. Surface electromyogram (sEMG) amplitude estimation: Best practices</t>
  </si>
  <si>
    <t>JOURNAL OF ELECTROMYOGRAPHY AND KINESIOLOGY</t>
  </si>
  <si>
    <t>Tutorial; Teaching; Electromyogram; EMG amplitude; EMG envelope; RMS EMG; ARV EMG; MAV EMG; HDsEMG; M-wave; CMAP</t>
  </si>
  <si>
    <t>POWER-LINE INTERFERENCE; EMG SIGNAL; MOTOR UNITS; ISOMETRIC CONTRACTIONS; SPATIAL-DISTRIBUTION; DETECTION-SYSTEM; MUSCLE FORCE; BIOFEEDBACK; NOISE; CONSTANT</t>
  </si>
  <si>
    <t>This tutorial intends to provide insight, instructions and best practices for those who are novices-including clinicians, engineers and non-engineers-in extracting electromyogram (EMG) amplitude from the bipolar surface EMG (sEMG) signal of voluntary contractions. A brief discussion of sEMG amplitude extraction from high density sEMG (HDsEMG) arrays and feature extraction from electrically elicited contractions is also provided.This tutorial attempts to present its main concepts in a straightforward manner that is accessible to novices in the field not possessing a wide range of technical background (if any) in this area. Surface EMG amplitude, also referred to as the sEMG envelope [often implemented as root mean square (RMS) sEMG or average rectified value (ARV) sEMG], quantifies the voltage variation of the sEMG signal and is grossly related to the overall neural excitation of the muscle and to peripheral parameters.The tutorial briefly reviews the physiological origin of the voluntary sEMG signal and sEMG recording, including electrode configurations, sEMG signal transduction, electronic conditioning and conversion by an analog-to-digital converter. These topics have been covered in greater detail in prior tutorials in this series. In depth descriptions of state-of-the-art methods for computing sEMG amplitude are then provided, including guidance on signal pre-conditioning, absolute value vs. square-law detection, selection of appropriate sEMG amplitude smoothing filters and attenuation of measurement noise. The tutorial provides a detailed list of best practices for sEMG amplitude estimation.</t>
  </si>
  <si>
    <t>[Clancy, Edward A.] Worcester Polytech Inst, Worcester 01609, MA USA; [Morin, Evelyn L.] Queens Univ, Dept Elect &amp; Comp Engn, Kingston, ON, Canada; [Hajian, Gelareh] Univ Hlth Network, Toronto Rehab Res Inst, Toronto, ON, Canada; [Merletti, Roberto] Politecn Torino, Dept Elect &amp; Telecommun, LISiN, Turin, Italy</t>
  </si>
  <si>
    <t>Worcester Polytechnic Institute; Queens University - Canada; University of Toronto; University Health Network Toronto; Toronto Rehabilitation Institute; Polytechnic University of Turin</t>
  </si>
  <si>
    <t>Clancy, EA (corresponding author), Worcester Polytech Inst, Worcester 01609, MA USA.</t>
  </si>
  <si>
    <t>ted@wpi.edu; evelyn.morin@queensu.ca; gelareh.hajian@uhn.ca; roberto@robertomerletti.it</t>
  </si>
  <si>
    <t>1050-6411</t>
  </si>
  <si>
    <t>1873-5711</t>
  </si>
  <si>
    <t>J ELECTROMYOGR KINES</t>
  </si>
  <si>
    <t>J. Electromyogr. Kinesiol.</t>
  </si>
  <si>
    <t>10.1016/j.jelekin.2023.102807</t>
  </si>
  <si>
    <t>Neurosciences; Physiology; Rehabilitation; Sport Sciences</t>
  </si>
  <si>
    <t>Neurosciences &amp; Neurology; Physiology; Rehabilitation; Sport Sciences</t>
  </si>
  <si>
    <t>Q2JS7</t>
  </si>
  <si>
    <t>WOS:001055837100001</t>
  </si>
  <si>
    <t>Cohen, HR; Holtzer, R</t>
  </si>
  <si>
    <t>Cohen, Hannah R.; Holtzer, Roee</t>
  </si>
  <si>
    <t>The association between perceived social support and cognition in older adults with and without multiple sclerosis</t>
  </si>
  <si>
    <t>Multiple sclerosis; Social support; Cognition; Aging</t>
  </si>
  <si>
    <t>HEALTH-STATUS; DEPRESSION; DECLINE; INTEGRATION; LIFE</t>
  </si>
  <si>
    <t>Background: Advances in treatments for Multiple Sclerosis (MS) have resulted in a growing number of aging individuals with MS. Research has shown that perceived social support has protective effects against age-related cognitive decline but no study to date has examined the relationship between perceived social support and cognition in older adults with MS. The current study addressed this gap in knowledge examining the association between perceived social support and cognition in older adults with and without MS. Methods: Participants were older adults with MS (n = 67, mean age = 64.75 years;%female = 64.2) and controls (n = 71, mean age = 68.25 years;%female = 57.7) Linear regression models examined the associations of total and domain scores of perceived social support with cognition in the entire sample, and then stratified by group status.Results: Analyses revealed that total perceived social support, emotional/informational support, and positive social interaction were associated with cognition in the total sample. In stratified analyses, emotional/informational support was significantly associated with cognition in the MS group; however, this association became insignificant when analyses adjusted for depressive symptoms. Positive social interaction was significantly associated with cognition in the control group. Notably, this association remained significant even after adjusting for depressive symptoms.Conclusion: These findings suggest that distinct dimensions of perceived social support may have differential relationships with cognitive function in older adults with MS and healthy controls.</t>
  </si>
  <si>
    <t>[Cohen, Hannah R.; Holtzer, Roee] Yesh Univ, Ferkauf Grad Sch Psychol, 1165 Morris Pk Ave, Bronx, NY 10461 USA; [Holtzer, Roee] Albert Einstein Coll Med, Dept Neurol, 1300 Morris Pk Ave, Bronx, NY 10416 USA</t>
  </si>
  <si>
    <t>Yeshiva University; Albert Einstein College of Medicine</t>
  </si>
  <si>
    <t>Cohen, HR; Holtzer, R (corresponding author), Yesh Univ, Ferkauf Grad Sch Psychol, 1165 Morris Pk Ave, Bronx, NY 10461 USA.;Holtzer, R (corresponding author), Albert Einstein Coll Med, Dept Neurol, 1300 Morris Pk Ave, Bronx, NY 10416 USA.</t>
  </si>
  <si>
    <t>hcohen6@mail.yu.edu; roee.holtzer@yu.edu</t>
  </si>
  <si>
    <t>National Institute Neurological Disorders and Stroke (NINDS) [R01NS109023]</t>
  </si>
  <si>
    <t>National Institute Neurological Disorders and Stroke (NINDS)</t>
  </si>
  <si>
    <t>Role of the funding source This research was supported by National Institute Neurological Disorders and Stroke (NINDS) grant R01NS109023. The funders had no role in the design of the study, in the collection, analyses, or interpre-tation of the data; in the writing of the manuscript, or in the decision to publish the results.</t>
  </si>
  <si>
    <t>10.1016/j.msard.2023.104913</t>
  </si>
  <si>
    <t>P4BV7</t>
  </si>
  <si>
    <t>WOS:001050125000001</t>
  </si>
  <si>
    <t>Combs, CA; Handler, DL; Clark, RH</t>
  </si>
  <si>
    <t>Combs, C. Andrew; Handler, Darren L.; Clark, Reese H.</t>
  </si>
  <si>
    <t>Antenatal corticosteroids before early preterm birth: interval from administration to birth in contemporary practice and association with neonatal mortality</t>
  </si>
  <si>
    <t>AMERICAN JOURNAL OF OBSTETRICS &amp; GYNECOLOGY MFM</t>
  </si>
  <si>
    <t>[Combs, C. Andrew; Handler, Darren L.; Clark, Reese H.] Pediatrix Med Grp, Pediatrix Ctr Res Educ Qual &amp; Safety, Sunrise, FL 33323 USA</t>
  </si>
  <si>
    <t>Pediatrix Medical Group</t>
  </si>
  <si>
    <t>Combs, CA (corresponding author), Pediatrix Med Grp, Pediatrix Ctr Res Educ Qual &amp; Safety, Sunrise, FL 33323 USA.</t>
  </si>
  <si>
    <t>andrew.combs@pediatrix.com</t>
  </si>
  <si>
    <t>Combs, C Andrew/0000-0002-5571-9579</t>
  </si>
  <si>
    <t>2589-9333</t>
  </si>
  <si>
    <t>AM J OBST GYNEC MFM</t>
  </si>
  <si>
    <t>Amer. J. Obstet. Gynecol. MFM</t>
  </si>
  <si>
    <t>10.1016/j.ajogmf.2023.101130</t>
  </si>
  <si>
    <t>Obstetrics &amp; Gynecology</t>
  </si>
  <si>
    <t>R8ZJ7</t>
  </si>
  <si>
    <t>WOS:001067179000001</t>
  </si>
  <si>
    <t>Cordova, JA; Palermo, JC; Estrin, DA; Bari, SE; Capece, L</t>
  </si>
  <si>
    <t>Cordova, Jonathan Alexis; Palermo, Juan Cruz; Estrin, Dario A.; Bari, Sara E.; Capece, Luciana</t>
  </si>
  <si>
    <t>Binding mechanism of disulfide species to ferric hemeproteins: The case of metmyoglobin</t>
  </si>
  <si>
    <t>JOURNAL OF INORGANIC BIOCHEMISTRY</t>
  </si>
  <si>
    <t>Myoglobin; Disulfane; Disulfide; Steered molecular dynamics; QM; MM; Ligand binding</t>
  </si>
  <si>
    <t>HYDROGEN-SULFIDE H2S; MOLECULAR-DYNAMICS; OXYGEN-UPTAKE; OXIDATION; POLYSULFIDES; OXIDOREDUCTASE; METABOLISM; MYOGLOBIN</t>
  </si>
  <si>
    <t>The interactions of the heme iron of hemeproteins with sulfide and disulfide compounds are of potential interest as physiological signaling processes. While the interaction with hydrogen sulfide has been described computationally and experimentally, the reaction with disulfide, and specifically the molecular mechanism for ligand binding has not been studied in detail. In this work, we study the association process for disulfane and its conjugate base disulfanide at different pH conditions. Additionally, by means of advanced sampling techniques based on multiple steered molecular dynamics, we provide free energy profiles for ligand migration for both acid/base species, showing a similar behavior to the previously reported for the related H2S/HS? pair. Finally, we studied the ligand interchange reaction (H2O/H2S, HS? and H2O/HSSH, HSS?) by means of hybrid quantum mechanics-molecular mechanics calculations. We show that the anionic species are able to displace more efficiently the H2O bound to the iron, and that the H-bond network in the distal cavity can help the neutral species to perform the reaction. Altogether, we provide a molecular explanation for the experimental information and show that the global association process depends on a fine balance between the migration towards the active site and the ligand interchange reaction.</t>
  </si>
  <si>
    <t>[Cordova, Jonathan Alexis; Estrin, Dario A.; Capece, Luciana] Univ Buenos Aires, Fac Ciencias Exactas &amp; Nat, Dept Quim Inorgan Analit &amp; Quim Fis, Buenos Aires, Argentina; [Palermo, Juan Cruz; Estrin, Dario A.; Bari, Sara E.; Capece, Luciana] Univ Buenos Aires, CONICET, Inst Quim Fis Mat Medio Ambiente &amp; Energia INQUIMA, Buenos Aires, Argentina; [Bari, Sara E.; Capece, Luciana] Univ Buenos Aires, Fac Ciencias Exactas &amp; Nat, Dept Quim Inorgan Analit &amp; Quim Fis, Ciudad Univ,Pabellon II,Intendente Guiraldes 2160,, Buenos Aires, Argentina</t>
  </si>
  <si>
    <t>University of Buenos Aires; Consejo Nacional de Investigaciones Cientificas y Tecnicas (CONICET); University of Buenos Aires; University of Buenos Aires</t>
  </si>
  <si>
    <t>Bari, SE; Capece, L (corresponding author), Univ Buenos Aires, Fac Ciencias Exactas &amp; Nat, Dept Quim Inorgan Analit &amp; Quim Fis, Ciudad Univ,Pabellon II,Intendente Guiraldes 2160,, Buenos Aires, Argentina.</t>
  </si>
  <si>
    <t>bari@qi.fcen.uba.ar; lula@qi.fcen.uba.ar</t>
  </si>
  <si>
    <t>Agencia Nacional de Promocion de la Investigacion, el Desarrollo Tecnologico,y la Innovacion [PICT 201800794]; Universidad de Buenos Aires (UBACYT) [20020130100097BA, 2002019020BA]; Consejo Nacional de Investigaciones Cientificas y Tecnicas [11220200102757CO]</t>
  </si>
  <si>
    <t>Agencia Nacional de Promocion de la Investigacion, el Desarrollo Tecnologico,y la Innovacion; Universidad de Buenos Aires (UBACYT)(University of Buenos Aires); Consejo Nacional de Investigaciones Cientificas y Tecnicas(Consejo Nacional de Investigaciones Cientificas y Tecnicas (CONICET))</t>
  </si>
  <si>
    <t>This research was supported by grants of the Agencia Nacional de Promocion de la Investigacion, el Desarrollo Tecnologico,y la Innovacion (PICT 2018-00794), Universidad de Buenos Aires (UBACYT 20020130100097BA and 2002019020BA), and Consejo Nacional de Investigaciones Cientificas y Tecnicas (11220200102757CO).</t>
  </si>
  <si>
    <t>0162-0134</t>
  </si>
  <si>
    <t>1873-3344</t>
  </si>
  <si>
    <t>J INORG BIOCHEM</t>
  </si>
  <si>
    <t>J. Inorg. Biochem.</t>
  </si>
  <si>
    <t>10.1016/j.jinorgbio.2023.112313</t>
  </si>
  <si>
    <t>Biochemistry &amp; Molecular Biology; Chemistry, Inorganic &amp; Nuclear</t>
  </si>
  <si>
    <t>O5XK5</t>
  </si>
  <si>
    <t>WOS:001044534100001</t>
  </si>
  <si>
    <t>Corneil, H; Liblik, K; Varghese, SS; Masotti, B; Moulson, N; Mckinney, J; Allan, KS; Phelan, D; Thakrar, A; Johri, AM; Grubic, N</t>
  </si>
  <si>
    <t>Corneil, Heidi; Liblik, Kiera; Varghese, Sonu S.; Masotti, Bruce; Moulson, Nathaniel; Mckinney, James; Allan, Katherine S.; Phelan, Dermot; Thakrar, Amar; Johri, Amer M.; Grubic, Nicholas</t>
  </si>
  <si>
    <t>Shared Decision-Making in Athletes Diagnosed With a Cardiovascular Condition: A Scoping Review</t>
  </si>
  <si>
    <t>CARDIAC-DISEASE; PARTICIPATION; EXERCISE; RETURN; PLAY</t>
  </si>
  <si>
    <t>This scoping review summarizes existing approaches, benefits, and barriers to shared decision -making (SDM) in the context of sports cardiology. Among 6,058 records screened, 37 articles were included in this review. Most included articles defined SDM as an open dialogue between the athlete, health-care team, and other stakeholders. The benefits and risks of management strategies, treatment options, and return-to-play were the focus of this dialogue. Key components of SDM were described through various themes, such as emphasizing patient values, consider-ing nonphysical factors, and informed consent. Bene-fits of SDM included enhancing patient understanding, implementing a personalized management plan, and considering a holistic approach to care. Barriers to SDM included pressure from institutions, consider-ation of multiple perspectives in decision-making, and the potential liability of healthcare providers. The use of SDM when discussing management, treatment, and lifestyle modification for athletes diagnosed with a car-diovascular condition is necessary to ensure patient autonomy and engagement. (Curr Probl Cardiol 2023;48:101815.)</t>
  </si>
  <si>
    <t>[Corneil, Heidi; Liblik, Kiera; Varghese, Sonu S.; Masotti, Bruce; Thakrar, Amar; Johri, Amer M.; Grubic, Nicholas] Queens Univ, Dept Med, Kingston, ON, Canada; [Moulson, Nathaniel; Mckinney, James] Univ British Columbia, Div Cardiol, Vancouver, BC, Canada; [Allan, Katherine S.] Unity Hlth Toronto, Div Cardiol, St Michaels Hosp, Toronto, ON, Canada; [Phelan, Dermot] Atrium Hlth, Sanger Heart &amp; Vasc Inst, Gragg Ctr Cardiovasc Performance, Charlotte, NC USA</t>
  </si>
  <si>
    <t>Queens University - Canada; University of British Columbia; University of Toronto; Saint Michaels Hospital Toronto</t>
  </si>
  <si>
    <t>Grubic, N (corresponding author), Queens Univ, Dept Med, Kingston, ON, Canada.</t>
  </si>
  <si>
    <t>nicholas.j.grubic@gmail.com</t>
  </si>
  <si>
    <t>10.1016/j.cpcardiol.2023.101815</t>
  </si>
  <si>
    <t>Q7YP1</t>
  </si>
  <si>
    <t>WOS:001059645700001</t>
  </si>
  <si>
    <t>Coughlan, G; DeSouza, B; Zhukovsky, P; Hornberger, M; Grady, C; Buckley, RF</t>
  </si>
  <si>
    <t>Coughlan, Gillian; DeSouza, Brennan; Zhukovsky, Peter; Hornberger, Michael; Grady, Cheryl; Buckley, Rachel F.</t>
  </si>
  <si>
    <t>European Prevention Alzheimer's Di</t>
  </si>
  <si>
    <t>Spatial cognition is associated with levels of phosphorylated-tau and &amp; beta;-amyloid in clinically normal older adults</t>
  </si>
  <si>
    <t>Digital technology; Preclinical Alzheimer's disease; Amyloid beta; Tau; Spatial cognition; Cerebrospinal fluid (CSF)</t>
  </si>
  <si>
    <t>ALZHEIMERS-DISEASE; GENETIC-RISK; NAVIGATION; MEMORY; DEMENTIA; DYSFUNCTION; DEFICITS; ABILITY; RBANS; LOST</t>
  </si>
  <si>
    <t>Spatial cognition is associated with Alzheimer's disease (AD) biomarkers in the symptomatic stages of the disease. We investigated whether cerebrospinal fluid (CSF) biomarkers (phosphorylated-tau [p-tau] and &amp; beta;-amyloid) are associated with poorer spatial cognition in clinically normal older adults. Participants were 1875 clinically normal adults (age 67.8 [8.5] years) from the European Prevention of Alzheimer's Dementia Consortium. Mixed effect models assessed the cross-sectional association between p-tau181, &amp; beta;-amyloid1-42 (A &amp; beta;1-42) and p-tau181/A &amp; beta;1-42 ratio and spatial cognition measured using semi-automated Supermarket Task and the 4 Mountains Task. Levels of p-tau181, A &amp; beta;1-42, and p-tau181/A &amp; beta;1-42 ratio were significantly associated with spatial cognition scores on both tasks. The p-tau181/A &amp; beta;1-42 ratio showed the largest effect sizes (&amp; beta; = -0.04/0.05, p &lt; 0.001). Lower entorhinal cortical volume was associated with poorer outcomes on both tasks (&amp; beta; = 0.06, p &lt; 0.002) and accounted for 18%-22% of the direct association between p-tau181 and spatial cognition scores. In conclusion, degeneration of the entorhinal cortex mediates a significant proportion of the association between p-tau181 and spatial assessments in cognitively normal adults. Future studies should focus on increasing the sensitivity of digital spatial assessments.&amp; COPY; 2023 Elsevier Inc. All rights reserved.</t>
  </si>
  <si>
    <t>[Coughlan, Gillian; Buckley, Rachel F.] Harvard Med Sch, Massachusetts Gen Hosp, Dept Neurol, Boston, MA 02115 USA; [Coughlan, Gillian; Buckley, Rachel F.] Brigham &amp; Womens Hosp, Ctr Alzheimer Res &amp; Treatment, Dept Neurol, Boston, MA USA; [DeSouza, Brennan; Grady, Cheryl] Baycrest Hlth Sci, Rotman Res Inst, Toronto, ON, Canada; [Zhukovsky, Peter] Ctr Mental Hlth &amp; Addict, Campbell Family Mental Hlth Res Inst, Toronto, ON, Canada; [Hornberger, Michael] Univ East Anglia, Norwich Med Sch, Norwich, England; [Grady, Cheryl] Univ Toronto, Dept Psychiat, Toronto, ON, Canada; [Grady, Cheryl] Univ Toronto, Dept Psychol, Toronto, ON, Canada; [Buckley, Rachel F.] Univ Melbourne, Melbourne Sch Psychol Sci, Melbourne, Vic, Australia</t>
  </si>
  <si>
    <t>Harvard University; Harvard Medical School; Massachusetts General Hospital; Harvard University; Brigham &amp; Women's Hospital; University of Toronto; Baycrest; University of East Anglia; University of Toronto; University of Toronto; University of Melbourne</t>
  </si>
  <si>
    <t>Buckley, RF (corresponding author), Harvard Med Sch, Massachusetts Gen Hosp, Dept Neurol, Boston, MA 02115 USA.</t>
  </si>
  <si>
    <t>RFBUCKLEY@mgh.harvard.edu</t>
  </si>
  <si>
    <t>Coughlan, Gillian/0000-0003-1806-702X</t>
  </si>
  <si>
    <t>10.1016/j.neurobiolaging.2023.06.016</t>
  </si>
  <si>
    <t>P6XQ7</t>
  </si>
  <si>
    <t>WOS:001052088700001</t>
  </si>
  <si>
    <t>Cui, JK; Li, DS; Jiang, L</t>
  </si>
  <si>
    <t>Cui, Jing-kang; Li, Dian-sen; Jiang, Lei</t>
  </si>
  <si>
    <t>Comparison study on bending properties and failure of 3D5d and 3D6d carbon/phenolic braided composites at room and elevated temperatures</t>
  </si>
  <si>
    <t>COMPOSITES COMMUNICATIONS</t>
  </si>
  <si>
    <t>3D braided composites; Bending properties; Failure mechanism; High temperature</t>
  </si>
  <si>
    <t>PROGRESSIVE DAMAGE; MECHANISM</t>
  </si>
  <si>
    <t>Three-dimensional five-directional and six-directional braided composites (3D5dBCs and 3D6dBCs) are widely used in aerospace industry for their excellent axial and transverse properties. This work successfully fabricated 3D5dBCs and 3D6dBCs with carbon/phenolic, and compared their bending properties and failure mechanisms at room and high temperatures (RT and HT). The influences of braiding structure and temperature on bending properties and failure mechanisms of 3D5dBCs and 3D6dBCs were analyzed. The load/deflection curves are linear elastic at RT, showing prominent plastic characteristics at HT. From RT to HT, the bending properties decrease, but 3D5dBCs always have higher bending properties than 3D6dBCs. The 3D5dBCs and 3D6dBCs are primarily damaged near the surface at RT; fiber shearing fracture feature becomes apparent and the interior damage worsens at HT. 3D5dBCs exhibit obvious shear failure mode, where the fracture is bent and rough, and the damage patterns are braiding and axial fibers shearing fracture, matrix softening, and interface debonding. 3D6dBCs show transverse sawtooth fracture cracks, and the damage mechanisms are braiding fiber shearing fracture, fifth fiber tearing, sixth fiber shedding and pulling-off, matrix plasticization, and interface debonding.</t>
  </si>
  <si>
    <t>[Cui, Jing-kang; Li, Dian-sen; Jiang, Lei] Beihang Univ, Sch Chem, Key Lab Bioinspired Smart Interfacial Sci &amp; Techno, Minist Educ, Beijing 100191, Peoples R China; [Li, Dian-sen] Beijing Univ Chem Technol, State Key Lab Organ Inorgan Composites, Beijing 100029, Peoples R China</t>
  </si>
  <si>
    <t>Beihang University; Beijing University of Chemical Technology</t>
  </si>
  <si>
    <t>Li, DS (corresponding author), Beihang Univ, Sch Chem, Key Lab Bioinspired Smart Interfacial Sci &amp; Techno, Minist Educ, Beijing 100191, Peoples R China.</t>
  </si>
  <si>
    <t>lidiansen@buaa.edu.cn</t>
  </si>
  <si>
    <t>National Natural Science Foundation of China [11872087]; Project of the Science and Technology Commission of Military Commission [113JCJQ2023127001]; opening Foundation of State Key Laboratory of Organic-Inorganic Composites, Beijing University of Chemical Technology [oic-202301003]</t>
  </si>
  <si>
    <t>National Natural Science Foundation of China(National Natural Science Foundation of China (NSFC)); Project of the Science and Technology Commission of Military Commission; opening Foundation of State Key Laboratory of Organic-Inorganic Composites, Beijing University of Chemical Technology</t>
  </si>
  <si>
    <t>The authors acknowledge the financial supports from National Natural Science Foundation of China (No.11872087) ; Project of the Science and Technology Commission of Military Commission (No.113JCJQ2023127001) ; The opening Foundation of State Key Laboratory of Organic-Inorganic Composites, Beijing University of Chemical Technology (oic-202301003) .</t>
  </si>
  <si>
    <t>2452-2139</t>
  </si>
  <si>
    <t>COMPOS COMMUN</t>
  </si>
  <si>
    <t>Compos. Commun.</t>
  </si>
  <si>
    <t>10.1016/j.coco.2023.101676</t>
  </si>
  <si>
    <t>Materials Science, Composites</t>
  </si>
  <si>
    <t>P2JX6</t>
  </si>
  <si>
    <t>WOS:001048965000001</t>
  </si>
  <si>
    <t>Curic, LC; Suligoj, M; Ibic, M; Marovic, N; Vihar, B; Vesenjak, M; Dubrovski, PD; Novak, N; Stergar, J; Ban, IRA; Maver, U; Milojevic, M; Maver, T</t>
  </si>
  <si>
    <t>Curic, Laura Cinc; Suligoj, Masa; Ibic, Maja; Marovic, Nina; Vihar, Bostjan; Vesenjak, Matej; Dubrovski, Polona Dobnik; Novak, Nejc; Stergar, Janja; Ban, Irena; Maver, Uros; Milojevic, Marko; Maver, Tina</t>
  </si>
  <si>
    <t>Development of a novel NiCu nanoparticle-loaded polysaccharide-based hydrogel for 3D printing of customizable dressings with promising cytotoxicity against melanoma cells</t>
  </si>
  <si>
    <t>MATERIALS TODAY BIO</t>
  </si>
  <si>
    <t>Nanoparticle-loaded hydrogels; 3D printed dressings; Polysaccharides; Nickel-copper nanoparticles; Cytotoxic activity</t>
  </si>
  <si>
    <t>MAGNETIC NANOPARTICLES; ALLOY NANOPARTICLES; COLORIMETRIC ASSAY; ALGINATE HYDROGELS</t>
  </si>
  <si>
    <t>Polysaccharide hydrogels and metal alloy nanoparticles have already found use in a range of biomedical applications. Nickel-copper nanoparticles (NiCu NPs) are particularly promising due to their tunable properties, such as ferromagnetism, biocompatibility, and antimicrobial activity. At the same time, polysaccharide hydrogels made of polymer mixtures such as alginate and methylcellulose with incorporated metal alloy nanoparticles are reported in the scientific literature. In view of this, in this work, NiCu NPs are combined with polysaccharide hydrogels and 3D printed to construct geometrically customizable dressings with tailorable properties for melanoma treatment. This novel combination exploits the intrinsic magnetic properties of NiCu NPs and the same time builds on their less known properties to improve the mechanic stability of 3D printed materials, both contributing to a previously not reported application as potent cytotoxic dressing against melanoma cells. The dressings were evaluated in terms of their physico-chemical characteristics, and their potential application, namely melanoma cell cytotoxicity. While all dressings exhibited similar degradation profiles regardless of composition, the addition of NiCu NPs had an effect on the hydrophilicity, swelling rates, and topographical properties of the dressings. Compression results showed that the presence of NPs increased the stiffness of the dressings, while the ultimate tensile strength was highest at 0.31 MPa for the dressings with 0.5 wt% NPs. We show that although the base formulation of the dressings is biocompatible with skin-derived cells, dressings loaded with NPs exhibit promising antimelanoma activity. Extracts obtained from dressings containing 0.5 wt% NPs reduced melanoma cell viability to 61% &amp; PLUSMN; 11% and 40% &amp; PLUSMN; 2% after 24 h and 72 h of soaking, respectively. Furthermore, extracts of dressings with 1 wt% NPs reduced melanoma cell viability to less than 15% within the first 24 h. By adjusting the NP content, the mechanical properties, surface roughness, and wettability can be tuned so that the dressings can be functionally customized. In addition, by using 3D printing as a fabrication process, the shape and composition of the dressings can be tailored to the patient's needs. The dressings also remained intact after soaking in simulated physiological solution for 14 days, indicating their suitability for longterm topical application.</t>
  </si>
  <si>
    <t>[Suligoj, Masa; Ibic, Maja; Marovic, Nina; Vihar, Bostjan; Maver, Uros; Milojevic, Marko; Maver, Tina] Univ Maribor, Inst Biomed Sci, Fac Med, Taborska ul 8, Maribor 2000, Slovenia; [Vihar, Bostjan] IRNAS Ltd, Limbuska Cesta 76b, Maribor 2000, Slovenia; [Vesenjak, Matej; Dubrovski, Polona Dobnik; Novak, Nejc; Stergar, Janja; Ban, Irena] Univ Maribor, Fac Mech Engn, Smetanova 17, Maribor SI-2000, Slovenia; [Maver, Uros; Milojevic, Marko; Maver, Tina] Univ Maribor, Fac Med, Dept Pharmacol, Taborska Ul 8, SI-2000 Maribor, Slovenia</t>
  </si>
  <si>
    <t>University of Maribor; University of Maribor; University of Maribor</t>
  </si>
  <si>
    <t>Milojevic, M (corresponding author), Univ Maribor, Inst Biomed Sci, Fac Med, Taborska ul 8, Maribor 2000, Slovenia.;Milojevic, M (corresponding author), Univ Maribor, Fac Med, Dept Pharmacol, Taborska Ul 8, SI-2000 Maribor, Slovenia.</t>
  </si>
  <si>
    <t>marko.milojevic1@um.si</t>
  </si>
  <si>
    <t>Slovenian Research and Innovation Agency through the Young Researcher Programme [P3-0036, I0-0029, L7-4494, J3-1762, Z3-4529]</t>
  </si>
  <si>
    <t>Slovenian Research and Innovation Agency through the Young Researcher Programme</t>
  </si>
  <si>
    <t>The authors acknowledge the financial support for this study received from the Slovenian Research and Innovation Agency (grant numbers: P3-0036, I0-0029, L7-4494, J3-1762 and Z3-4529) and through the Young Researcher Programme.</t>
  </si>
  <si>
    <t>2590-0064</t>
  </si>
  <si>
    <t>MATER TODAY BIO</t>
  </si>
  <si>
    <t>Mater. Today Bio</t>
  </si>
  <si>
    <t>10.1016/j.mtbio.2023.100770</t>
  </si>
  <si>
    <t>Engineering, Biomedical; Materials Science, Biomaterials</t>
  </si>
  <si>
    <t>R3KM3</t>
  </si>
  <si>
    <t>WOS:001063374300001</t>
  </si>
  <si>
    <t>D'Agostino, EM; Garcia, JR; Bakken, SR; Wruck, L; Nilles, EK; Stefano, TA; Martin, HR; Hungler, A; Lee, RE; Perreirai, KM; Baum, MK; Brown, D</t>
  </si>
  <si>
    <t>D'Agostino, Emily M.; Garcia, Jorge Ramirez; Bakken, Suzanne R.; Wruck, Lisa; Nilles, Ester Kim; Stefano, Troy A.; Martin, Haley R.; Hungler, Annette; Lee, Rebecca E.; Perreirai, Krista M.; Baum, Marianna K.; Brown, David</t>
  </si>
  <si>
    <t>Examining COVID-19 testing and vaccination behaviors by heritage and linguistic preferences among Hispanic, Latino, or Spanish RADx-UP participants</t>
  </si>
  <si>
    <t>Vulnerable populations; Hispanic; Latino; or Spanish; COVID-19; Vaccination; Testing; Heritage</t>
  </si>
  <si>
    <t>HEALTH-CARE; DISPARITIES; ACCESS</t>
  </si>
  <si>
    <t>The Hispanic, Latino, or Spanish (hereafter, Hispanic) populations in the U.S. bear a disproportionate burden of COVID-19-related outcomes, including disease incidence and mortality. Developing culturally appropriate national public health services for Hispanic persons remains a challenge. This study examined the association of heritage and language preference with COVID-19 testing (tested vs. not tested) and vaccination (vaccinated vs. not vaccinated) outcomes among Hispanic participants from 18 Rapid Acceleration of Diagnostics-Underserved Populations (RADx-UP) projects (n = 3308; mean age = 44.1 years [SD = 14.9], 60% women; 83% spoke other than English at home). Generalized estimating equation models adjusted for age, gender, education level, income, insurance coverage, geographic region, comorbidities, and prior infection. Relative to Mexican heritage, individuals identifying as Puerto Rican or Dominican were more likely to test for COVID-19, and South American heritage was associated with higher testing and vaccination rates. Speaking Spanish or another language at home was associated with increased testing compared with speaking English at home for individuals who preferred not to report their heritage, and increased vaccination for those with Mexican, Cuban, or Central American heritage. This study highlights heterogeneity in testing and vaccination behaviors among Hispanic populations based on heritage and language preference, underscoring the diversity within the U.S. Hispanic community. In contrast to other studies on linguistic acculturation and health care utilization, our study found that a language other than English spoken at home was associated with greater vaccine uptake. That is, enculturation - the retention of Spanish language and presumably of Hispanic cultural norms - was linked with being vaccinated.</t>
  </si>
  <si>
    <t>[D'Agostino, Emily M.] Duke Univ, Sch Med, Dept Orthopaed Surg, Occupat Therapy Doctorate Div,Dept Populat Hlth Sc, Durham, NC 27710 USA; [D'Agostino, Emily M.; Wruck, Lisa] Duke Univ, Sch Med, Duke Clin Res Inst, Durham, NC 27710 USA; [D'Agostino, Emily M.] Duke Univ, Sch Med, Duke Global Hlth Inst, Durham, NC 27710 USA; [Garcia, Jorge Ramirez] Univ Oregon, Oregon Res Inst, Eugene, OR USA; [Garcia, Jorge Ramirez] Univ Oregon, Prevent Sci Inst, Eugene, OR USA; [Bakken, Suzanne R.] Columbia Univ, Data Sci Inst, Sch Nursing, Dept Biomed Informat, New York, NY USA; [Stefano, Troy A.; Brown, David] Florida Int Univ, Herbert Wertheim Coll Med, Miami, FL USA; [Martin, Haley R.] Florida Int Univ, Robert Stempel Coll Publ Hlth &amp; Social Work, Miami, FL USA; [Lee, Rebecca E.] Arizona State Univ, Edson Coll Nursing &amp; Hlth Innovat, Phoenix, AZ USA; [Perreirai, Krista M.] Univ N Carolina, Sch Med, Dept Social Med, Chapel Hill, NC USA; [D'Agostino, Emily M.] Duke Univ, Sch Med, 311 Trent Dr,5244, Durham, NC 27710 USA</t>
  </si>
  <si>
    <t>Duke University; Duke University; Duke University; University of Oregon; Oregon Research Institute; University of Oregon; Columbia University; State University System of Florida; Florida International University; State University System of Florida; Florida International University; Arizona State University; Arizona State University-Downtown Phoenix; University of North Carolina School of Medicine; University of North Carolina; University of North Carolina Chapel Hill; Duke University</t>
  </si>
  <si>
    <t>D'Agostino, EM (corresponding author), Duke Univ, Sch Med, 311 Trent Dr,5244, Durham, NC 27710 USA.</t>
  </si>
  <si>
    <t>emily.m.dagostino@duke.edu</t>
  </si>
  <si>
    <t>Brown, David R/H-5175-2017</t>
  </si>
  <si>
    <t>Brown, David R/0000-0002-5361-6664; Ramirez Garcia, Jorge Isaac/0000-0002-0374-5468</t>
  </si>
  <si>
    <t>Microsoft's AI for Good Research Lab; National Institutes of Health; [U24MD016258]</t>
  </si>
  <si>
    <t>Microsoft's AI for Good Research Lab; National Institutes of Health(United States Department of Health &amp; Human ServicesNational Institutes of Health (NIH) - USA);</t>
  </si>
  <si>
    <t>Research reported in this RADx (R) Underserved Populations publication was supported by Azure sponsorship credits granted by Microsoft's AI for Good Research Lab and by the National Institutes of Health under Award Number U24MD016258. The funding source was not involved in study design; in the collection, analysis and interpretation of data; in the writing of the report; and in the decision to submit the article for publication. The content is solely the responsibility of the authors and does not necessarily represent the official views of the National Institutes of Health.</t>
  </si>
  <si>
    <t>10.1016/j.pmedr.2023.102359</t>
  </si>
  <si>
    <t>Q1UZ9</t>
  </si>
  <si>
    <t>WOS:001055453100001</t>
  </si>
  <si>
    <t>da Luz, CMA; Vicente, EM; Tofoli, FL; Ribeiro, ER</t>
  </si>
  <si>
    <t>da Luz, Caio Meira Amaral; Vicente, Eduardo Moreira; Tofoli, Fernando Lessa; Ribeiro, Enio Roberto</t>
  </si>
  <si>
    <t>Differential power processing architecture to increase energy harvesting of photovoltaic systems under permanent mismatch</t>
  </si>
  <si>
    <t>SOLAR ENERGY</t>
  </si>
  <si>
    <t>Differential power processing; Energy harvesting; Mismatch; Partial shading; Photovoltaic systems</t>
  </si>
  <si>
    <t>POINT TRACKING TECHNIQUES; CONVERTER; CONNECTION; MODULES; DESIGN</t>
  </si>
  <si>
    <t>Differential power processing (DPP) architectures are a prominent solution for mitigating undesirable issues caused by mismatch that often occurs in photovoltaic (PV) strings. In this scenario, the association of DPP converters in parallel with PV strings is a common approach for enhancing energy harvesting. However, most topologies presented so far focus on temporary mismatch caused by partial shading conditions only, with little attention given to permanent mismatch due to the connection of modules with distinct ratings. Given the above, this article presents a novel DPP topology capable of handling both temporary and permanent mismatch in PV strings. Important advantages include lower component count; reduced voltage stresses on the active switches; operation under zero-current switching (ZCS) condition, with a direct impact on the converter efficiency; and greater design flexibility in terms of a modular solution that can be implemented at the PV module level. Experimental tests on a string composed of six modules are presented and the results are thoroughly discussed to validate the theoretical assumptions. It is effectively demonstrated that the architecture allows for increasing the power extracted from the string under two severe operating conditions.</t>
  </si>
  <si>
    <t>[da Luz, Caio Meira Amaral; Ribeiro, Enio Roberto] Univ Fed Itajuba, Av BPS,1303-B, BR-37500903 Itajuba, MG, Brazil; [Vicente, Eduardo Moreira; Tofoli, Fernando Lessa] Univ Fed Sao Joao del Rei, Praca Frei Orlando 170-B Ctr, BR-36307352 Sao Joao Del Rei, MG, Brazil</t>
  </si>
  <si>
    <t>Universidade Federal de Itajuba; Universidade Federal de Sao Joao del-Rei</t>
  </si>
  <si>
    <t>Ribeiro, ER (corresponding author), Univ Fed Itajuba, Av BPS,1303-B, BR-37500903 Itajuba, MG, Brazil.</t>
  </si>
  <si>
    <t>caiomeiramaral@hotmail.com; eduardomoreira@ufsj.edu.br; fernandolessa@ufsj.edu.br; enio.k@unifei.edu.br</t>
  </si>
  <si>
    <t>Meira, Caio/AAE-6054-2020</t>
  </si>
  <si>
    <t>Meira, Caio/0000-0002-4623-2515</t>
  </si>
  <si>
    <t>INERGE; CAPES; CNPq; FAPEMIG</t>
  </si>
  <si>
    <t>INERGE; CAPES(Coordenacao de Aperfeicoamento de Pessoal de Nivel Superior (CAPES)); CNPq(Conselho Nacional de Desenvolvimento Cientifico e Tecnologico (CNPQ)); FAPEMIG(Fundacao de Amparo a Pesquisa do Estado de Minas Gerais (FAPEMIG))</t>
  </si>
  <si>
    <t>The authors would like to acknowledge INERGE and also Brazilian research funding agencies CAPES, CNPq, and FAPEMIG for the support to this work.</t>
  </si>
  <si>
    <t>0038-092X</t>
  </si>
  <si>
    <t>1471-1257</t>
  </si>
  <si>
    <t>SOL ENERGY</t>
  </si>
  <si>
    <t>Sol. Energy</t>
  </si>
  <si>
    <t>10.1016/j.solener.2023.111940</t>
  </si>
  <si>
    <t>R3LD5</t>
  </si>
  <si>
    <t>WOS:001063391500001</t>
  </si>
  <si>
    <t>da Silva, D; de Paiva, R; Azevedo, S; Kaschny, JR</t>
  </si>
  <si>
    <t>da Silva, D.; de Paiva, R.; Azevedo, S.; Kaschny, J. R.</t>
  </si>
  <si>
    <t>First principles study of hydrogenated BxNyCz nanolayers</t>
  </si>
  <si>
    <t>First-principles calculations; Boron nitride; Electronic structure</t>
  </si>
  <si>
    <t>BORON-NITRIDE; GRAPHENE; CARBON; NANOSHEETS; BN; PSEUDOPOTENTIALS; MONOLAYERS; STABILITY; NANOTUBES</t>
  </si>
  <si>
    <t>In the present work, first-principle calculations are applied to investigate the stability and electronic structure of hydrogenated boron nitride and carbon monolayers containing C or BN nanodomains, respectively. From the obtained results, it is possible to infer that the predominance of B-N bonds induces higher structural stability. Such stability can also depend on the size of the nanodomain and the composition of the medium where the synthesis process may occur. The calculations results indicate that pristine layers and structures incorporating nanodomains, formed by a cluster of hexagons, are nonmagnetic semiconductors with a direct bandgap. Nanodomains that exhibit ramification bonds induce the nanosheets to present a deficiency or an excess of electrons. No effective polarization of the electronic states was observed at the relaxed structures, with the only exception of the B53C9N50H layer.</t>
  </si>
  <si>
    <t>[da Silva, D.; Azevedo, S.] Univ Fed Paraiba, Dept Fis, Caixa Postal 5008, BR-58051900 Joao Pessoa, PB, Brazil; [de Paiva, R.] Univ Fed Sao Joao Del Rei, Dept Estat Fis &amp; Matemat, Caixa Postal 131, BR-36420000 Ouro Branco, MG, Brazil; [Kaschny, J. R.] Inst Fed Bahia, Campus Vitoria Conquista,Av Sergio Vieira Mello 31, BR-45078900 Vitoria Da Conquista, BA, Brazil</t>
  </si>
  <si>
    <t>Universidade Federal da Paraiba; Universidade Federal de Sao Joao del-Rei; Instituto Federal da Bahia (IFBA)</t>
  </si>
  <si>
    <t>Kaschny, JR (corresponding author), Inst Fed Bahia, Campus Vitoria Conquista,Av Sergio Vieira Mello 31, BR-45078900 Vitoria Da Conquista, BA, Brazil.</t>
  </si>
  <si>
    <t>kaschny@ifba.edu.br</t>
  </si>
  <si>
    <t>Azevedo, Sergio/H-4280-2011</t>
  </si>
  <si>
    <t>Azevedo, Sergio/0000-0002-7603-5141</t>
  </si>
  <si>
    <t>CAPES; CNPq; INCT Nanomateriais de Carbono; PRONEX-FAPESQ/PB-MCT/CNPq [151/2018]; FAPEMIG/MG; [006/2018]</t>
  </si>
  <si>
    <t>CAPES(Coordenacao de Aperfeicoamento de Pessoal de Nivel Superior (CAPES)); CNPq(Conselho Nacional de Desenvolvimento Cientifico e Tecnologico (CNPQ)); INCT Nanomateriais de Carbono(Conselho Nacional de Desenvolvimento Cientifico e Tecnologico (CNPQ)); PRONEX-FAPESQ/PB-MCT/CNPq; FAPEMIG/MG;</t>
  </si>
  <si>
    <t>The authors would like to thank the financial support provided by the Brazilian Agencies CAPES, CNPq, INCT Nanomateriais de Carbono, PRONEX-FAPESQ/PB-MCT/CNPq (Grants No. 006/2018 and 151/2018) and FAPEMIG/MG.</t>
  </si>
  <si>
    <t>10.1016/j.physb.2023.415078</t>
  </si>
  <si>
    <t>Q1SN6</t>
  </si>
  <si>
    <t>WOS:001055388800001</t>
  </si>
  <si>
    <t>Dale, ML; Mancini, M; Stevens, A; Brumbach, BH; Prewitt, A; Harker, G; Silva-Batista, C; Ragothaman, A; Folmer, RL; Quinn, JF; Horak, FB</t>
  </si>
  <si>
    <t>Dale, M. L.; Mancini, M.; Stevens, A.; Brumbach, B. H.; Prewitt, A.; Harker, G.; Silva-Batista, C.; Ragothaman, A.; Folmer, R. L.; Quinn, J. F.; Horak, F. B.</t>
  </si>
  <si>
    <t>C-STIM: Protocol for a randomized, single-blind, crossover study of cerebellar repetitive transcranial magnetic stimulation (rTMS) for postural instability in people with progressive supranuclear palsy (PSP)</t>
  </si>
  <si>
    <t>CONTEMPORARY CLINICAL TRIALS COMMUNICATIONS</t>
  </si>
  <si>
    <t>Progressive supranuclear palsy; Transcranial magnetic stimulation; Postural instability; Cerebellum</t>
  </si>
  <si>
    <t>MONTREAL COGNITIVE ASSESSMENT; CONNECTIVITY; BALANCE; FALL; DISEASE; SCALE; MOCA</t>
  </si>
  <si>
    <t>Background: Methods for modulating the cerebellum with transcranial magnetic stimulation (TMS) are well established, and preliminary data from our group and others has shown evidence of transient improvements in balance after cerebellar repetitive transcranial magnetic stimulation (rTMS) in progressive suprancuclear palsy (PSP). This study examines extensive posturography measures before and after 10 sessions of cerebellar rTMS and sham TMS in PSP.Methods: Thirty subjects with PSP and postural instability will undergo cerebellar active and sham rTMS in a single-blind, crossover design with a randomized order of a 10-day intervention. Primary outcomes will be changes in sway area and medio-lateral range of sway with eyes open while standing on a stationary force-plate, and safety, tolerability, and blindedness. Secondary outcomes will include posturography and gait analysis with body-worn, triaxial inertial sensors, clinical balance scales and questionnaires, and a bedside test of vestibular function. Exploratory outcomes are changes in functional near infrared spectroscopy (fNIRS) signal over the prefrontal, supplementary motor, and primary motor cortices while standing and walking, and speech samples for future analysis. Discussion: The C-STIM crossover intervention study adds a longer duration of stimulation and extensive posturography measures to more finely measure the improvements in balance and exploratory functional near infrared spectroscopy (fNIRS) over the prefronal, supplementary motor, and primary motor cortices during balance assessments before and after 10 sessions of cerebellar rTMS and 10 sessions of sham cerebellar TMS. This project will improve our understanding of the importance of the cerebellum for control of postural stability in PSP.</t>
  </si>
  <si>
    <t>[Dale, M. L.; Mancini, M.; Prewitt, A.; Harker, G.; Silva-Batista, C.; Ragothaman, A.; Quinn, J. F.; Horak, F. B.] Oregon Hlth &amp; Sci Univ, Dept Neurol, 3181 SW Sam Jackson Pk Rd, Portland, OR 97239 USA; [Stevens, A.] Oregon Hlth &amp; Sci Univ, Adv Imaging Res Ctr, Portland, OR USA; [Brumbach, B. H.] Oregon Hlth &amp; Sci Univ, OHSU PSU Sch Publ Hlth, Biostat &amp; Design Program, Portland, OR USA; [Folmer, R. L.] VA Portland Med Ctr, Natl Ctr Rehabil Auditory Res NCRAR, Portland, OR USA; [Folmer, R. L.] Oregon Hlth &amp; Sci Univ, Dept Otolaryngol, 3181 SW Sam Jackson Pk Rd, Portland, OR USA</t>
  </si>
  <si>
    <t>Oregon Health &amp; Science University; Oregon Health &amp; Science University; Oregon Health &amp; Science University; US Department of Veterans Affairs; Veterans Health Administration (VHA); VA Portland Health Care System; Oregon Health &amp; Science University</t>
  </si>
  <si>
    <t>Dale, ML (corresponding author), Oregon Hlth &amp; Sci Univ, Dept Neurol, 3181 SW Sam Jackson Pk Rd, Portland, OR 97239 USA.</t>
  </si>
  <si>
    <t>dalem@ohsu.edu</t>
  </si>
  <si>
    <t>NINDS, National Institutes of Health [K23 NS121402-01A1]</t>
  </si>
  <si>
    <t>NINDS, National Institutes of Health(United States Department of Health &amp; Human ServicesNational Institutes of Health (NIH) - USANIH National Institute of Neurological Disorders &amp; Stroke (NINDS))</t>
  </si>
  <si>
    <t>This work is supported by the NINDS, National Institutes of Health, grant #K23 NS121402-01A1.</t>
  </si>
  <si>
    <t>2451-8654</t>
  </si>
  <si>
    <t>CONT CLIN TRIAL COMM</t>
  </si>
  <si>
    <t>Contemp. Clin. Trials Commun.</t>
  </si>
  <si>
    <t>10.1016/j.conctc.2023.101165</t>
  </si>
  <si>
    <t>Medicine, Research &amp; Experimental</t>
  </si>
  <si>
    <t>Research &amp; Experimental Medicine</t>
  </si>
  <si>
    <t>P0MU8</t>
  </si>
  <si>
    <t>WOS:001047676300001</t>
  </si>
  <si>
    <t>Daliri, EBM; Balnionyte, T; Lastauskiene, E; Burokas, A</t>
  </si>
  <si>
    <t>Daliri, Eric Banan-Mwine; Balnionyte, Toma; Lastauskiene, Egle; Burokas, Aurelijus</t>
  </si>
  <si>
    <t>Draft genome sequence dataset of Latilactobacillus curvatus PN39MY isolated from fermented vegetables (vol 49, 109436, 2023)</t>
  </si>
  <si>
    <t>[Daliri, Eric Banan-Mwine; Balnionyte, Toma; Burokas, Aurelijus] Vilnius Univ, Inst Biochem, Life Sci Ctr, Dept Biol Models, Sauletekio Ave 7, LT-10257 Vilnius, Lithuania; [Lastauskiene, Egle] Vilnius Univ, Inst Biosci, Life Sci Ctr, Dept Microbiol &amp; Biotechnol, Sauletekio Ave 7, LT-10257 Vilnius, Lithuania</t>
  </si>
  <si>
    <t>Vilnius University; Vilnius University</t>
  </si>
  <si>
    <t>Daliri, EBM (corresponding author), Vilnius Univ, Inst Biochem, Life Sci Ctr, Dept Biol Models, Sauletekio Ave 7, LT-10257 Vilnius, Lithuania.</t>
  </si>
  <si>
    <t>eric.daliri@gmc.vu.lt</t>
  </si>
  <si>
    <t>10.1016/j.dib.2023.109496</t>
  </si>
  <si>
    <t>R2SE3</t>
  </si>
  <si>
    <t>WOS:001062890900001</t>
  </si>
  <si>
    <t>Dao, QD; Nguyen, TV; Nguyen, DMAT; Nguyen, NN; Nguyen, CV; Nguyen, AV</t>
  </si>
  <si>
    <t>Dao, Quang D.; V. Nguyen, Thuong; Nguyen, David M. A. T.; Nguyen, Ngoc N.; V. Nguyen, Cuong; V. Nguyen, Anh</t>
  </si>
  <si>
    <t>Application of X-ray computed tomography scanning in describing partition curves of dense medium cyclones</t>
  </si>
  <si>
    <t>XCT; Float-and-sink analysis; Galena; Sphalerite; Mass balance; Preconcentration</t>
  </si>
  <si>
    <t>COAL</t>
  </si>
  <si>
    <t>The partition curve is an important tool to evaluate the separation performance of mineral separators like dense medium cyclones (DMCs). This curve is constructed by float-and-sink (FaS) analysis which involves the use of heavy liquids and suspensions. This traditional technique is hazardous to the environment, laborious, and time-consuming. Here, a new technique using X-ray computed tomography (XCT) scanning was successfully devel-oped and applied for describing the partition curve of a DMC at an Australia-based lead-zinc mineral processing plant. The DMC feed, concentrate and reject streams were sampled and sieved into several size classes. The chemical assays and averaged densities according to each class were analysed by X-ray fluorescence spectrometry and gas pycnometry, respectively. The partition behaviour was investigated by XCT analysis. A model was proposed to determine the mass yield value - an important parameter to define partition curves - by mass balance and reconciliation, which is generally unknown during the sampling of continuous separation processes. From the reconstructed XCT images, we obtained detailed information on individual particles such as volume, surface area, mass, and density. Cumulative mass distribution curves and partition curves of the DMC for different size classes were then constructed and agreed with the FaS analysis. Using the XCT technology can help overcome the issues of the traditional FaS analysis. Moreover, this technology would allow for evaluating DMC separation efficiency with continuous, online, and real-time monitoring and control.</t>
  </si>
  <si>
    <t>[Dao, Quang D.; V. Nguyen, Thuong; Nguyen, David M. A. T.; Nguyen, Ngoc N.; V. Nguyen, Cuong; V. Nguyen, Anh] Univ Queensland, Sch Chem Engn, Brisbane, Qld 4027, Australia; [Dao, Quang D.; V. Nguyen, Thuong; Nguyen, David M. A. T.; Nguyen, Ngoc N.; V. Nguyen, Cuong; V. Nguyen, Anh] Univ Queensland, ARC Ctr Excellence Enabling Ecoefficient Beneficia, Brisbane, Qld 4027, Australia; [V. Nguyen, Cuong] Dept Water &amp; Environm Regulat, Joondalup, Joondalup, WA 6027, Australia</t>
  </si>
  <si>
    <t>University of Queensland; University of Queensland</t>
  </si>
  <si>
    <t>Nguyen, AV (corresponding author), Univ Queensland, Sch Chem Engn, Brisbane, Qld 4027, Australia.;Nguyen, AV (corresponding author), Univ Queensland, ARC Ctr Excellence Enabling Ecoefficient Beneficia, Brisbane, Qld 4027, Australia.</t>
  </si>
  <si>
    <t>a.nguyen@uq.edu.au</t>
  </si>
  <si>
    <t>Nguyen, Ngoc Nguyen/AAO-7237-2020</t>
  </si>
  <si>
    <t>Nguyen, Ngoc Nguyen/0000-0002-0999-1176; Dao, Quang Duc/0000-0001-9172-6154</t>
  </si>
  <si>
    <t>Australia Research Council; Translational Research Institute (TRI) Australia Pty Ltd.; [CE200100009]</t>
  </si>
  <si>
    <t>Australia Research Council(Australian Research Council); Translational Research Institute (TRI) Australia Pty Ltd.;</t>
  </si>
  <si>
    <t>The authors acknowledge the funding support from the Australia Research Council for the ARC Centre of Excellence for Enabling Eco-Efficient Beneficiation of Minerals, grant number CE200100009. We thank the industry partner for their support of this project. We are also grateful for the support provided by the Translational Research Institute (TRI) Australia Pty Ltd for the access and use of the X-ray scanner Skyscan 1272, and the anonym reviewers whose feedbacks and comments improved the manuscript significantly.</t>
  </si>
  <si>
    <t>10.1016/j.mineng.2023.108164</t>
  </si>
  <si>
    <t>Q0DW7</t>
  </si>
  <si>
    <t>WOS:001054309600001</t>
  </si>
  <si>
    <t>De Groot, AS; Roberts, BJ; Mattei, A; Lelias, S; Boyle, C; Martin, W</t>
  </si>
  <si>
    <t>De Groot, Anne S.; Roberts, Brian J.; Mattei, Aimee; Lelias, Sandra; Boyle, Christine; Martin, William</t>
  </si>
  <si>
    <t>Immunogenicity risk assessment of synthetic peptide drugs and their impurities</t>
  </si>
  <si>
    <t>DRUG DISCOVERY TODAY</t>
  </si>
  <si>
    <t>peptide drug; impurity; immunogenicity; computational immunology; T-cell epitope; HLA binding; T-cell assay; generic drug</t>
  </si>
  <si>
    <t>REGULATORY T-CELLS; THERAPEUTIC PROTEINS; CLINICAL IMMUNOGENICITY; DE-IMMUNIZATION; IN-VITRO; EX-VIVO; EPITOPE; PREDICTION; EXPRESSION; MOLECULES</t>
  </si>
  <si>
    <t>Peptide drugs play an important part in medicine owing to their many therapeutic applications. Of the 80 peptide drugs approved for use in humans, at least five are now off-patent and are consequently being developed as generic alternatives to the originator products. To accelerate access to generic products, the FDA has proposed new regulatory pathways that do not require direct comparisons of gener-ics to originators in clinical trials. The 'Abbreviated New Drug Application' (ANDA) pathway recommends that sponsors provide information on any new impurities in the generic drug, compared with the originator product, because the impurities can have potential to elicit unwanted immune responses owing to the introduction of T-cell epitopes. This review describes how peptide drug impurities can elicit unexpected immunogenicity and describes a framework for performing immunogenicity risk assessment of all types of bioactive peptide products. Although this report primarily focuses on generic peptides and their impurities, the approach might also be of interest for developers of novel peptide drugs who are preparing their products for an initial regulatory review.</t>
  </si>
  <si>
    <t>[De Groot, Anne S.; Roberts, Brian J.; Mattei, Aimee; Lelias, Sandra; Boyle, Christine; Martin, William] EpiVax, 188 Valley St,Suite 424, Providence, RI 02909 USA; [De Groot, Anne S.] Univ Georgia, Ctr Vaccines &amp; Immunol, Athens, GA 30609 USA</t>
  </si>
  <si>
    <t>EpiVax, Inc.; University System of Georgia; University of Georgia</t>
  </si>
  <si>
    <t>De Groot, AS (corresponding author), EpiVax, 188 Valley St,Suite 424, Providence, RI 02909 USA.;De Groot, AS (corresponding author), Univ Georgia, Ctr Vaccines &amp; Immunol, Athens, GA 30609 USA.</t>
  </si>
  <si>
    <t>annied@epivax.com</t>
  </si>
  <si>
    <t>FDA [HHSF223018186C]</t>
  </si>
  <si>
    <t>FDA(United States Department of Health &amp; Human ServicesUS Food &amp; Drug Administration (FDA))</t>
  </si>
  <si>
    <t>The research described in this report was performed by EpiVax in collaboration with CUBRC and the FDA contributors listed in acknowledgements below. The work for this project was supported by an FDA contact HHSF223018186C.</t>
  </si>
  <si>
    <t>1359-6446</t>
  </si>
  <si>
    <t>1878-5832</t>
  </si>
  <si>
    <t>DRUG DISCOV TODAY</t>
  </si>
  <si>
    <t>Drug Discov. Today</t>
  </si>
  <si>
    <t>10.1016/j.drudis.2023.103714</t>
  </si>
  <si>
    <t>P3KI5</t>
  </si>
  <si>
    <t>WOS:001049660400001</t>
  </si>
  <si>
    <t>de Jesus, BAP; Echeverri, LMS; Magalhaes, MDB; da Silva, GF</t>
  </si>
  <si>
    <t>de Jesus, Bruna Andersen Pereira; Echeverri, Lina Maria Salazar; Magalhaes, Maria de Lourdes Borba; da Silva, Gustavo Felippe</t>
  </si>
  <si>
    <t>Generation and characterization of avian IgY antibodies for detecting beta-casein A1 in bovine milk</t>
  </si>
  <si>
    <t>ANALYTICAL BIOCHEMISTRY</t>
  </si>
  <si>
    <t>Dairy industry; ELISA; Milk A2; IgY; Immunodiagnostics</t>
  </si>
  <si>
    <t>EGG-YOLK ANTIBODIES; DISEASE; VARIANT</t>
  </si>
  <si>
    <t>Beta-casein is a primary milk protein that constitutes approximately 30% of the casein in bovine milk, with the two most common types in cattle being A1 and A2. The A2 protein differs from the A1 version due to a mutation in the codon at position 67, resulting in a histidine to proline substitution. However, the bioactive peptide, betacasomorphine-7 (BCM7), which originates from partial proteolysis of the A1 variant, has been linked to several gastrointestinal disorders in humans. Production of A1 beta casein-free products is increasing demand in the milk market, worldwide. This study generated and characterized a polyclonal IgY antibody that specifically recognizes the A1 beta-casein protein present in cow's milk. A commercially available IgY anti-A1 antibody was used as a positive control, and the sensitivity and specificity of both the commercial and produced anti-A1 antibodies were evaluated. The results showed 100% sensitivity and specificity of 100% of the commercial IgY anti-A1. The inhouse produced anti-A1 antibody demonstrated a sensitivity of 95.2% and a specificity of 100%, indicating its potential as a reliable and cost effective tool for detecting A1 beta-casein protein in milk samples.</t>
  </si>
  <si>
    <t>[de Jesus, Bruna Andersen Pereira; Echeverri, Lina Maria Salazar; Magalhaes, Maria de Lourdes Borba; da Silva, Gustavo Felippe] Univ Estado St Catarina, Lages, SC, Brazil</t>
  </si>
  <si>
    <t>da Silva, GF (corresponding author), Univ Estado St Catarina, Lages, SC, Brazil.</t>
  </si>
  <si>
    <t>gustavo.silva@udesc.br</t>
  </si>
  <si>
    <t>da Silva, Gustavo Felippe/IZQ-5322-2023</t>
  </si>
  <si>
    <t>da Silva, Gustavo Felippe/0000-0002-3164-5990</t>
  </si>
  <si>
    <t>FAPESC [2019TR732]</t>
  </si>
  <si>
    <t>FAPESC(Fundacao de Amparo a Pesquisa e Inovacao do Estado de Santa Catarina (FAPESC))</t>
  </si>
  <si>
    <t>This project was funded by the agency FAPESC under protocol term 2019TR732. However, the agency did not participate in the execution of experiments, and technical development guidelines, nor did it participate in the choice of journal for publication.</t>
  </si>
  <si>
    <t>0003-2697</t>
  </si>
  <si>
    <t>1096-0309</t>
  </si>
  <si>
    <t>ANAL BIOCHEM</t>
  </si>
  <si>
    <t>Anal. Biochem.</t>
  </si>
  <si>
    <t>10.1016/j.ab.2023.115283</t>
  </si>
  <si>
    <t>Biochemical Research Methods; Biochemistry &amp; Molecular Biology; Chemistry, Analytical</t>
  </si>
  <si>
    <t>R2GX5</t>
  </si>
  <si>
    <t>WOS:001062591300001</t>
  </si>
  <si>
    <t>de Moraes, CO; Roquete, RM; Gawryszewski, G</t>
  </si>
  <si>
    <t>de Moraes, Claudio Oliveira; Roquete, Raphael Moses; Gawryszewski, Gustavo</t>
  </si>
  <si>
    <t>Who needs cash? Digital finance and income inequality</t>
  </si>
  <si>
    <t>QUARTERLY REVIEW OF ECONOMICS AND FINANCE</t>
  </si>
  <si>
    <t>Digital finance; Financial access; Income distribution; Inequality</t>
  </si>
  <si>
    <t>ECONOMIC-GROWTH; PANEL-DATA; INCLUSION; ACCESS</t>
  </si>
  <si>
    <t>This article analyzes the role of access to digital and physical forms of finance on income inequality. The article develops a new measure of financial access that captures the relationship between digital finance and inequality, using a dynamic panel data analysis on 116 countries between 2001 and 2019. The results indicate that access to both financial institutions and digital access may reduce inequality, suggesting that they are complementary. We also find evidence suggesting that, in emerging economies, access to digital financial is more relevant than physical access.</t>
  </si>
  <si>
    <t>[de Moraes, Claudio Oliveira] Cent Bank Brazil, Rio De Janeiro, RJ, Brazil; [de Moraes, Claudio Oliveira; Roquete, Raphael Moses] COPPEAD Business Sch, Rio De Janeiro, RJ, Brazil; [Gawryszewski, Gustavo] Candido Mendes Business Econ, Rio De Janeiro, RJ, Brazil</t>
  </si>
  <si>
    <t>Central Bank of Brazil</t>
  </si>
  <si>
    <t>de Moraes, CO (corresponding author), Cent Bank Brazil, Rio De Janeiro, RJ, Brazil.</t>
  </si>
  <si>
    <t>claudio.moraes@bcb.gov.br</t>
  </si>
  <si>
    <t>1062-9769</t>
  </si>
  <si>
    <t>1878-4259</t>
  </si>
  <si>
    <t>Q REV ECON FINANC</t>
  </si>
  <si>
    <t>Q. Rev. Econ. Financ.</t>
  </si>
  <si>
    <t>10.1016/j.qref.2023.07.005</t>
  </si>
  <si>
    <t>P9BQ8</t>
  </si>
  <si>
    <t>WOS:001053559100001</t>
  </si>
  <si>
    <t>de Schot, L; Nilsson, D; Lovreglio, R; Cunningham, T; Till, S</t>
  </si>
  <si>
    <t>de Schot, Luke; Nilsson, Daniel; Lovreglio, Ruggiero; Cunningham, Tyler; Till, Shane</t>
  </si>
  <si>
    <t>Exploring single-line walking in immersive virtual reality</t>
  </si>
  <si>
    <t>FIRE SAFETY JOURNAL</t>
  </si>
  <si>
    <t>Real walking; Overground; Virtual environment; Gait; Walking in VR; Head mounted display</t>
  </si>
  <si>
    <t>EVACUATION MODELS; DISTANCE; OBESITY; FLOW</t>
  </si>
  <si>
    <t>With increasing rates of elderly and obese people in the population, questions are being raised about the validity of inputs used by computer evacuation models to predict the movement of crowds in the built environment. The objective of this study is to examine the movement of individuals in a VR environment. Exploring individual movement in VR (where the individual is exposed to a virtual environment with virtual agents while actually moving alone in the physical environment) is a necessary step on the path to determining if VR is a useful tool to gather new crowd movement data. Specifically, this work presents the results of two experiments that were conducted to measure the correlation between inter-person distance (the distance from a participant to a virtual agent) and walking speed. Results show a positive correlation between walking speed and the inter-person distance for inter-person distances between 1.0 and 1.5 m. Above inter-person distances of 1.5 m, walking speed was not dependent on inter-person distance. An important finding from this work is no observed significant difference in the relationship between walking speed and inter-person distance across both experimental setups - 'pushing' or 'following' configurations. Finally, this work shows the potential of gathering individual movement data using VR.</t>
  </si>
  <si>
    <t>[de Schot, Luke; Nilsson, Daniel; Cunningham, Tyler; Till, Shane] Univ Canterbury, Dept Civil &amp; Nat Resources Engn, Christchurch, New Zealand; [Lovreglio, Ruggiero] Massey Univ, Sch Built Environm, Auckland, New Zealand</t>
  </si>
  <si>
    <t>University of Canterbury; Massey University</t>
  </si>
  <si>
    <t>de Schot, L (corresponding author), Univ Canterbury, Dept Civil &amp; Nat Resources Engn, Christchurch, New Zealand.</t>
  </si>
  <si>
    <t>Luke.deSchot@pg.canterbury.ac.nz</t>
  </si>
  <si>
    <t>Lovreglio, Ruggiero/0000-0003-4596-7656</t>
  </si>
  <si>
    <t>University of Canterbury; Department of Civil and Natural Resources Engineering; Aho Hinatore Accelerator Research Scholarship</t>
  </si>
  <si>
    <t>This research was made possible with funding from the University of Canterbury, both from the Department of Civil and Natural Resources Engineering and from the Aho Hinatore Accelerator Research Scholarship. The funding sources were not involved in any aspect of this research or article preparation.</t>
  </si>
  <si>
    <t>0379-7112</t>
  </si>
  <si>
    <t>1873-7226</t>
  </si>
  <si>
    <t>FIRE SAFETY J</t>
  </si>
  <si>
    <t>Fire Saf. J.</t>
  </si>
  <si>
    <t>10.1016/j.firesaf.2023.103882</t>
  </si>
  <si>
    <t>Engineering, Civil; Materials Science, Multidisciplinary</t>
  </si>
  <si>
    <t>Q7QI6</t>
  </si>
  <si>
    <t>WOS:001059429200001</t>
  </si>
  <si>
    <t>Debsarma, S; Chakrabortty, S; Kirby, JT</t>
  </si>
  <si>
    <t>Debsarma, Suma; Chakrabortty, Sabyasachi; Kirby, James T.</t>
  </si>
  <si>
    <t>Highly nonlinear internal solitary waves with a free surface</t>
  </si>
  <si>
    <t>OCEAN MODELLING</t>
  </si>
  <si>
    <t>Interface phenomenon; Internal waves; Solitary waves; Wave propagation</t>
  </si>
  <si>
    <t>BOUSSINESQ EQUATIONS; MODEL; FLOWS; SYSTEM</t>
  </si>
  <si>
    <t>A new mathematical model is derived for internal wave propagation in a two-layer fluid domain with a free surface in which the lower layer is of finite depth. The mathematical model consists of three coupled nonlinear equations for displacement of the interface and velocity potentials of the two layers, each of which is expressed as the convex combination of their values at two arbitrary depths. Model equations are correct up to O(⠖4) terms, where ⠖ is the ratio of harmonic mean of the depths of the two layers to double of a typical wavelength. Finite amplitude internal solitary wave profiles as well as free surface wave profiles are obtained numerically for different wave speeds, density ratios and depth ratios. Interfacial solitary wave profiles obtained here are in very good agreement with recent experimental observations of Zhao et al. (2020). The figures presented here demonstrate how the interfacial wave profile predicted by the free surface model differs from predictions of rigid-lid two-layer fluid models.</t>
  </si>
  <si>
    <t>[Debsarma, Suma; Chakrabortty, Sabyasachi] Univ Calcutta, Dept Appl Math, 92 APC Rd, Kolkata 700009, India; [Kirby, James T.] Univ Delaware, Ctr Appl Coastal Res, Dept Civil &amp; Environm Engn, Newark, DE 19716 USA</t>
  </si>
  <si>
    <t>University of Calcutta; University of Delaware</t>
  </si>
  <si>
    <t>Chakrabortty, S (corresponding author), Univ Calcutta, Dept Appl Math, 92 APC Rd, Kolkata 700009, India.</t>
  </si>
  <si>
    <t>chak.saby@gmail.com</t>
  </si>
  <si>
    <t>Kirby, Jim/AAF-7253-2020</t>
  </si>
  <si>
    <t>University of Calcutta, Kolkata, India; National Science Foundation, USA [OCE-1756355]</t>
  </si>
  <si>
    <t>University of Calcutta, Kolkata, India(University of Calcutta); National Science Foundation, USA(National Science Foundation (NSF))</t>
  </si>
  <si>
    <t>The authors are thankful to Professor B. B. Zhao of College of Shipbuilding Engineering, Harbin Engineering University of China for providing the experimental data described in Zhao et al. (2020) . S. Chakrabortty acknowledges University of Calcutta, Kolkata, India (Ref No: DPO/53/Fellow (Univ.) , Dated: 12/02/2021) for providing financial assistance to carry out research work. J. T. Kirby acknowledges the support of the National Science Foundation, USA through grant OCE-1756355 to the University of Delaware.</t>
  </si>
  <si>
    <t>1463-5003</t>
  </si>
  <si>
    <t>1463-5011</t>
  </si>
  <si>
    <t>OCEAN MODEL</t>
  </si>
  <si>
    <t>Ocean Model.</t>
  </si>
  <si>
    <t>10.1016/j.ocemod.2023.102238</t>
  </si>
  <si>
    <t>Meteorology &amp; Atmospheric Sciences; Oceanography</t>
  </si>
  <si>
    <t>P4VG7</t>
  </si>
  <si>
    <t>WOS:001050647700001</t>
  </si>
  <si>
    <t>Dell'Endice, A; Bouten, S; Van Mele, T; Block, P</t>
  </si>
  <si>
    <t>Dell'Endice, A.; Bouten, S.; Van Mele, T.; Block, P.</t>
  </si>
  <si>
    <t>Structural design and engineering of Striatus, an unreinforced 3D-concre-te-printed masonry arch bridge</t>
  </si>
  <si>
    <t>Unreinforced masonry; Discrete element modelling; 3D printing; Funicular form finding; Digital fabrication</t>
  </si>
  <si>
    <t>DISTINCT ELEMENT MODEL; 3D PRINTED CONCRETE; HARDENED PROPERTIES; PERFORMANCE; FORMULATION</t>
  </si>
  <si>
    <t>This paper describes the structural design and engineering of Striatus, a 3D-concrete-printed unreinforced masonry pedestrian bridge built in Venice in 2021 as part of the Time Space Existence exhibition organised by the European Cultural Centre. The project combines the latest developments in 3D concrete printing with the structural principles of historic unreinforced masonry. Typically, the structural applications of 3D concrete printing are limited to elements such as columns and walls loaded vertically, perpendicularly to the horizontal printing layers, to formwork elements or secondary structural elements. Indeed, fabrication constraints, delamination issues and the low tensile strength of the concrete have been seen as limiting factors to 3D concrete printing for structural applications demanding resistance to bending or predominant loading directions not perpendicular to the printing layers. By using unreinforced-masonry structural principles, this paper shows that structural elements spanning space horizontally, such as a pedestrian bridge, can be built by using the 3D concrete printing components as the main structure, working only in compression, loaded perpendicularly to the printed layers. Furthermore, as a compression-only structure following masonry principles, Striatus enabled the use of unreinforced concrete without any mechanical or chemical connections between the elements and the separation of concrete and steel, only used for the supports and to equilibrate the horizontal thrust of the arch effect through the tension ties. This work shows how the application of unreinforced masonry principles to 3D concrete printing offers new opportunities in terms of structural design and represents a strategy to increase sustainability by reducing material consumption and allowing reusability and recyclability of the structure. Finally, this paper discusses the critical aspects related to the design of Striatus from an engineering and con-struction point of view.</t>
  </si>
  <si>
    <t>[Dell'Endice, A.; Bouten, S.; Van Mele, T.; Block, P.] Swiss Fed Inst Technol, Inst Technol Architecture, Zurich, Switzerland</t>
  </si>
  <si>
    <t>Swiss Federal Institutes of Technology Domain; ETH Zurich</t>
  </si>
  <si>
    <t>Dell'Endice, A (corresponding author), Swiss Fed Inst Technol, Inst Technol Architecture, Zurich, Switzerland.</t>
  </si>
  <si>
    <t>dellendice@arch.ethz.ch</t>
  </si>
  <si>
    <t>10.1016/j.engstruct.2023.116534</t>
  </si>
  <si>
    <t>O0VI4</t>
  </si>
  <si>
    <t>WOS:001041081500001</t>
  </si>
  <si>
    <t>Dewi, NU; Khomsan, A; Dwiriani, CM; Riyadi, H; Ekayanti, I; Hartini, DA; Bohari, B; Aiman, U; Fadjriyah, RN</t>
  </si>
  <si>
    <t>Dewi, Nikmah Utami; Khomsan, Ali; Dwiriani, Cesilia Meti; Riyadi, Hadi; Ekayanti, Ikeu; Hartini, Diah Ayu; Bohari, Bohari; Aiman, Ummu; Fadjriyah, Rasyika Nurul</t>
  </si>
  <si>
    <t>The combination of nutrition education at school and home visits to improve adolescents' nutritional literacy and diet quality in food-insecure households in post-disaster area (De-Nulit study): A study protocol of cluster randomized controlled trial (CRCT)</t>
  </si>
  <si>
    <t>Adolescent; Diet quality; Nutrition literacy; Food security</t>
  </si>
  <si>
    <t>INCREASES FRUIT; INTERVENTION; HEALTH; URBAN; EXPOSURE; IMPACT; MODEL; RISK</t>
  </si>
  <si>
    <t>Nutrition education is selected as a method which often used to change eating behaviour, yet, the effectiveness of this method in adolescents who live in household with food insecurity status is rarely investigated. The purpose of this study was to assess the impact of a combination of nutritional education held at school and home visits for increasing the nutritional literacy and its effect on the quality of adolescent diet, so that the result can be used as a strategy to improve nutritional literacy dan diet quality in those adolescents who live in food-insecure households in post-disaster areas. The De-Nulit Study is a Cluster Randomized Controlled Trial (CRCT) with an intervention from a combination of nutritional education given at school and home visits conducted for three months for adolescents who live in food-insecure households with ages ranging from 15 to 17 years old. A randomization sampling was carried out at four schools located the nearest locations which were affected heavily by the major natural disasters in 2018. The nutritional education intervention groups in schools were given in eight sessions, whereas home visits with an interview approach for students with a motivational interview approach were carried out four times. The control group will receive leaflets three times a month for three months, and each group will receive a food stamp $ 7.6 per month for three months. The trial research has been recorded in Thai Clinical Trials Registry (TCTR) with identification number of TCTR 20220203003 issued on 03 February 2022.</t>
  </si>
  <si>
    <t>[Dewi, Nikmah Utami; Aiman, Ummu] Univ Tadulako, Fac Publ Hlth, Dept Nutr, Palu, Indonesia; [Khomsan, Ali; Dwiriani, Cesilia Meti; Riyadi, Hadi; Ekayanti, Ikeu] IPB Univ, Fac Human Ecol, Dept Community Nutr, Bogor Regency, Indonesia; [Hartini, Diah Ayu] Hlth Polytech Palu, Dept Nutr, Palu, Indonesia; [Bohari, Bohari] Sultan Ageng Tirtayasa Univ, Fac Med, Dept Nutr, City Of Serang, Indonesia; [Fadjriyah, Rasyika Nurul] Univ Tadulako, Fac Publ Hlth, Dept Publ Hlth, Palu, Indonesia</t>
  </si>
  <si>
    <t>Universitas Tadulako; Universitas Sultan Ageng Tirtayasa; Universitas Tadulako</t>
  </si>
  <si>
    <t>Dewi, NU (corresponding author), Univ Tadulako, Fac Publ Hlth, Dept Nutr, Palu, Indonesia.</t>
  </si>
  <si>
    <t>nikmah@untad.ac.id</t>
  </si>
  <si>
    <t>Neys-van Hoogstraten Foundation (NHF), The Netherlands [IN340]</t>
  </si>
  <si>
    <t>Neys-van Hoogstraten Foundation (NHF), The Netherlands</t>
  </si>
  <si>
    <t>The entire study was funded by the Neys-van Hoogstraten Foundation (NHF), The Netherlands with the Grant number NHF Code number IN340. NHF provided approval and funding for the study. The publication of the article was obtained from the Neys-van Hoogstraten Foundation (NHF) -The Netherlands and Tadulako University -Indonesia.</t>
  </si>
  <si>
    <t>10.1016/j.conctc.2023.101185</t>
  </si>
  <si>
    <t>O9MI5</t>
  </si>
  <si>
    <t>WOS:001046983600001</t>
  </si>
  <si>
    <t>Dias-Silva, TP; Abdalla, AL; Bompadre, TFV; Fonseca-Pinto, ACBC; Amarante, AFT; Louvandini, H</t>
  </si>
  <si>
    <t>Dias-Silva, Tairon Pannunzio; Abdalla, Adibe L.; Bompadre, Thiago F. V.; Fonseca-Pinto, Ana Carolina B. C.; Amarante, Alessandro F. T.; Louvandini, Helder</t>
  </si>
  <si>
    <t>Computed tomography revealed that bone density in lambs was affected by Trichostrongylus colubriformis infection</t>
  </si>
  <si>
    <t>SMALL RUMINANT RESEARCH</t>
  </si>
  <si>
    <t>Computed tomography; Sheep; Trichostrongylus colubriformis; Worms</t>
  </si>
  <si>
    <t>PHOSPHORUS KINETICS; PERFORMANCE; PARASITISM; SHEEP</t>
  </si>
  <si>
    <t>In this study we aimed to analyze computed tomography images of bony density in lambs submitted to infection induced by Trichostrongylus colubriformis. The lambs were randomly assigned to two experimental treatments: infected group (I) (n = 9) and control group (C) (n = 9). The lambs of group I were orally infected with 5000 T. colubriformis infective larvae (L3), three times per week during three weeks, totaling 45,000 L3. On the other hand, the lambs of group C remained uninfected. Each lamb was scanned 2x, the first scanning before the initial infection and the 2nd in the final of experimental period, with an interval of 90 days between measurements. For the analyses, the regions of the 4th and 12th ribs and thigh (femur) were selected, on the right side of the animal. The results showed that T. colubriformis infection reduced the bone density of growing lambs in the 4th rib (P = 0.0005), 12th rib region (P = &lt;0.0001) and femur (P = 0.0063). Also, infected lambs had their bone density (4th rib, 12th rib and femur) reduced over time. We concluded that bone density in lambs was affected by Trichos-trongylus colubriformis infection.</t>
  </si>
  <si>
    <t>[Dias-Silva, Tairon Pannunzio] Univ Fed Piaui UFPI, Campus Professora Cinobelina Elvas, Bom Jesus, PI, Brazil; [Dias-Silva, Tairon Pannunzio; Abdalla, Adibe L.; Bompadre, Thiago F. V.; Louvandini, Helder] Univ Sao Paulo, Ctr Energia Nucl Agr CENA, Lab Nut Anim, Sao Paulo, SP, Brazil; [Fonseca-Pinto, Ana Carolina B. C.] Univ Sao Paulo, Dept Cirurgia, Fac Med Vet &amp; Zootecnia, Sao Paulo, SP, Brazil; [Amarante, Alessandro F. T.] Univ Estadual Paulista UNESP, Inst Biociencias, Botucatu, SP, Brazil</t>
  </si>
  <si>
    <t>Universidade Federal do Piaui; Universidade de Sao Paulo; Universidade de Sao Paulo; Universidade Estadual Paulista</t>
  </si>
  <si>
    <t>Dias-Silva, TP (corresponding author), Univ Fed Piaui UFPI, Campus Professora Cinobelina Elvas, Bom Jesus, PI, Brazil.</t>
  </si>
  <si>
    <t>pannunzio@ufpi.edu.br</t>
  </si>
  <si>
    <t>0921-4488</t>
  </si>
  <si>
    <t>1879-0941</t>
  </si>
  <si>
    <t>SMALL RUMINANT RES</t>
  </si>
  <si>
    <t>Small Ruminant Res.</t>
  </si>
  <si>
    <t>10.1016/j.smallrumres.2023.107044</t>
  </si>
  <si>
    <t>P8IB3</t>
  </si>
  <si>
    <t>WOS:001053041500001</t>
  </si>
  <si>
    <t>Dong, MQ; Huang, HY; Feng, Y; Qin, J</t>
  </si>
  <si>
    <t>Dong, Mengqiang; Huang, Hongyan; Feng, Yu; Qin, Jiang</t>
  </si>
  <si>
    <t>Investigation of the flow and heat transfer performance of supercritical pressure hydrocarbon fuel in a novel rotating internal trapezoidal expansion channel</t>
  </si>
  <si>
    <t>Internal trapezoidal expansion channel; Hydrocarbon fuel; Rotation speed; Thermal performance</t>
  </si>
  <si>
    <t>POWER-GENERATION; N-DECANE; NUMERICAL-ANALYSIS; COOLING CHANNELS; TURBULENT-FLOW; BRAYTON-CYCLE; SQUARE TUBE; FLUID-FLOW; KEROSENE; SYSTEM</t>
  </si>
  <si>
    <t>Hydrocarbon fuel is required to cool the rotating turbine blades in order to enable the hypersonic vehicle electricity supply turbine to withstand the impact of hot air. A novel internal trapezoidal expansion type hydrocarbon fuel rotating cooling channel is proposed for heat transfer enhancement of turbine blades. Numerical results show that among the expansion channels studied, the maximum value of thermal performance is obtained for the expansion angle 2 degrees channel. The thermal performance of the channel corresponding to the expansion angle of 2 degrees is maximally increased by 591.4% compared to the 0 degrees channel. The factor of friction of the channel corresponding to the expansion angle of 2 degrees is lowered maximally by 99.7% compared to the 0 degrees channel. The channel thermal performance of the entrance temperature before the temperature of the critical state is improved by a maximum of 911.3% compared to the channel thermal performance of the entrance temperature after the temperature of the critical state. The internal trapezoidal expansion channels overcome the negative effect of the second channel velocity decrease caused by the increase in physical property of the fuel due to centrifugal force, and significantly enhance the second channel heat exchange capacity.</t>
  </si>
  <si>
    <t>[Dong, Mengqiang; Huang, Hongyan; Qin, Jiang] Harbin Inst Technol, Sch Energy Sci &amp; Engn, Harbin 150001, Peoples R China; [Feng, Yu] Harbin Inst Technol, Sch Mech Engn &amp; Automation, Shenzhen 518055, Guangdong, Peoples R China</t>
  </si>
  <si>
    <t>Feng, Y (corresponding author), Harbin Inst Technol, Sch Mech Engn &amp; Automation, Shenzhen 518055, Guangdong, Peoples R China.</t>
  </si>
  <si>
    <t>fengyu85@hit.edu.cn</t>
  </si>
  <si>
    <t>National Natural Science Foundation of China [51976046, J2019-III-0021-0065]; National Science and Technology Major Project [RCJC20210609103755110]; Shenzhen Technology Project; [51876048]</t>
  </si>
  <si>
    <t>National Natural Science Foundation of China(National Natural Science Foundation of China (NSFC)); National Science and Technology Major Project; Shenzhen Technology Project;</t>
  </si>
  <si>
    <t>Acknowledgements This research is supported by National Natural Science Foundation of China (No. 51876048, 51976046) . National Science and Technology Major Project (No. J2019-III-0021-0065) , Shenzhen Technology Project (RCJC20210609103755110) . The authors thank the reviewers for their valuable advice on this paper.</t>
  </si>
  <si>
    <t>10.1016/j.icheatmasstransfer.2023.106941</t>
  </si>
  <si>
    <t>Q1WR1</t>
  </si>
  <si>
    <t>WOS:001055496400001</t>
  </si>
  <si>
    <t>Du, L; Long, XP; Yuan, C; Zhang, YY; Huang, ZY; Zhu, HL</t>
  </si>
  <si>
    <t>Du, Long; Long, Xiaoping; Yuan, Chao; Zhang, Yunying; Huang, Zongying; Zhu, Hongli</t>
  </si>
  <si>
    <t>Identification of the Late Devonian back-arc magmatism in the Chinese Eastern Tianshan</t>
  </si>
  <si>
    <t>Accretionary orogen; Eastern Tianshan; Back-arc; High -Al gabbro; A-type granite</t>
  </si>
  <si>
    <t>U-PB GEOCHRONOLOGY; A-TYPE GRANITOIDS; NW CHINA; PALEOZOIC MAGMATISM; CONTINENTAL GROWTH; TECTONIC EVOLUTION; BIMODAL MAGMATISM; VOLCANIC BELT; HF ISOTOPES; LOW-MGO</t>
  </si>
  <si>
    <t>Identifcation of subduction to back-arc tectonic transitions is critical to the study of accretionary orogens. Some new geochronological and geochemical data for the Late Devonian (380-361 Ma) Kezier mafic-felsic complex and Tuwu granitic pluton in this study have well recorded such transition feature in the Chinese Eastern Tianshan orogen. The Kezier gabbro is classified as high-Al basalt given their high Al contents (A12O3 &gt; 17 wt%). They were originated from a depleted mantle fluxed by fertile mantle components at shallow depths under hydrous condition. Both the Kezier and Tuwu granites show geochemical characteristics of high total alkali, Ga/Al, HFSE, low CaO, and strongly negative Ba, Sr, and Eu anomalies, demonstrating a close affinity with A-type granites. The granites were probably generated by high temperature melting (zircon saturation temperature up to 916 degrees C) of crustal rocks under a low-pressure (&lt;0.8-1.0 GPa) condition. These rocks can help identify the Late Devonian back-arc extensional event in the Eastern Tianshan. This extensional event contemporaneous with the onset of the earliest arc magmatic records southward rejuvenating. The back-arc extensional with crustal high-temperature melting event can be reconciled with the Kangguer Ocean rollback, which forced the arc rifting occur on the Dananhu fore-arc side during the Late Devonian.</t>
  </si>
  <si>
    <t>[Du, Long] Shandong Univ Sci &amp; Technol, Coll Earth Sci &amp; Engn, Res Ctr Continental Dynam, Qingdao 266590, Peoples R China; [Du, Long; Long, Xiaoping] Northwest Univ, Dept Geol, State Key Lab Continental Dynam, Xian 710069, Peoples R China; [Yuan, Chao; Huang, Zongying] Chinese Acad Sci, Guangzhou Inst Geochem, State Key Lab Isotope Geochem, Guangzhou 510640, Peoples R China; [Zhang, Yunying] Chinese Acad Sci, South China Sea Inst Oceanol, Innovat Acad South China Sea Ecol &amp; Environm Engn, Key Lab Ocean &amp; Marginal Sea Geol, Guangzhou 510301, Peoples R China; [Zhu, Hongli] Chinese Acad Sci, Inst Oceanog, Ctr Deep Sea Res, Qingdao 266071, Peoples R China</t>
  </si>
  <si>
    <t>Shandong University of Science &amp; Technology; Northwest University Xi'an; Chinese Academy of Sciences; Guangzhou Institute of Geochemistry, CAS; Chinese Academy of Sciences; South China Sea Institute of Oceanology, CAS; Chinese Academy of Sciences</t>
  </si>
  <si>
    <t>Du, L (corresponding author), Shandong Univ Sci &amp; Technol, Coll Earth Sci &amp; Engn, Res Ctr Continental Dynam, Qingdao 266590, Peoples R China.</t>
  </si>
  <si>
    <t>dulong@sdust.edu.cn</t>
  </si>
  <si>
    <t>National Key Research and Development Project [2019YFA0708601]; Opening Foundation of State Key Laboratory of Continental Dynamics, Northwest University [22LCD07]; National Natural Science Foundation of China [U1906207, 41903031]</t>
  </si>
  <si>
    <t>National Key Research and Development Project; Opening Foundation of State Key Laboratory of Continental Dynamics, Northwest University; National Natural Science Foundation of China(National Natural Science Foundation of China (NSFC))</t>
  </si>
  <si>
    <t>Financial support was provided by the National Key Research and Development Project (2019YFA0708601) , the Opening Foundation of State Key Laboratory of Continental Dynamics, Northwest University (22LCD07) , and the National Natural Science Foundation of China (U1906207 and 41903031) .</t>
  </si>
  <si>
    <t>10.1016/j.lithos.2023.107283</t>
  </si>
  <si>
    <t>O7SJ5</t>
  </si>
  <si>
    <t>WOS:001045762200001</t>
  </si>
  <si>
    <t>Du, Q; Huang, YD; Zhou, YQ; Guo, XQ; Bai, LB</t>
  </si>
  <si>
    <t>Du, Qiang; Huang, Youdan; Zhou, Yuqing; Guo, Xiqian; Bai, Libiao</t>
  </si>
  <si>
    <t>Impacts of a new urban rail transit line and its interactions with land use on the ridership of existing stations</t>
  </si>
  <si>
    <t>CITIES</t>
  </si>
  <si>
    <t>Station ridership; URT operation; Interaction effects; SDID model; Land use</t>
  </si>
  <si>
    <t>BUILT ENVIRONMENT; LIGHT RAIL; ACCESSIBILITY; LEVEL; SHENZHEN; DECISION; SUBWAY; AREAS</t>
  </si>
  <si>
    <t>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geographically weighted regression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spatial spillover effects. For different lines and different areas, the impacts can be heterogeneous. Additionally, the coordinated development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</si>
  <si>
    <t>[Du, Qiang; Zhou, Yuqing; Bai, Libiao] Changan Univ, Ctr Green Engn &amp; Sustainable Dev, Sch Econ &amp; Management, Xian 710064, Shaanxi, Peoples R China; [Huang, Youdan; Guo, Xiqian] Changan Univ, Coll Transportat Engn, Ctr Green Engn &amp; Sustainable Dev, Xian 710064, Shaanxi, Peoples R China; [Zhou, Yuqing] Southeast Univ, Sch Transportat, Nanjing 211189, Jiangsu, Peoples R China</t>
  </si>
  <si>
    <t>Chang'an University; Chang'an University; Southeast University - China</t>
  </si>
  <si>
    <t>Huang, YD (corresponding author), Changan Univ, Coll Transportat Engn, Ctr Green Engn &amp; Sustainable Dev, Xian 710064, Shaanxi, Peoples R China.</t>
  </si>
  <si>
    <t>q.du@chd.edu.cn; huangyoudan@chd.edu.cn; yuqing_zhou@chd.edu.cn; xq.guo@chd.edu.cn; LB.Bai@chd.edu.cn</t>
  </si>
  <si>
    <t>National Natural Science Foundation of China [72171025]; Natural Science Foundation of Shaanxi Province [2019JQ-500]; Foundation for Youth Innovation Team of Shaanxi Universities [21JP010]; Fundamental Research Funds for the Central Universities [300102231640]</t>
  </si>
  <si>
    <t>National Natural Science Foundation of China(National Natural Science Foundation of China (NSFC)); Natural Science Foundation of Shaanxi Province(Natural Science Foundation of Shaanxi Province); Foundation for Youth Innovation Team of Shaanxi Universities; Fundamental Research Funds for the Central Universities(Fundamental Research Funds for the Central Universities)</t>
  </si>
  <si>
    <t>The research work was supported by the National Natural Science Foundation of China [Grant No. 72171025], the Natural Science Foundation of Shaanxi Province [Grant No. 2019JQ-500], the Foundation for Youth Innovation Team of Shaanxi Universities [Grant No. 21JP010], the Fundamental Research Funds for the Central Universities [Grant No. 300102231640].</t>
  </si>
  <si>
    <t>0264-2751</t>
  </si>
  <si>
    <t>1873-6084</t>
  </si>
  <si>
    <t>Cities</t>
  </si>
  <si>
    <t>10.1016/j.cities.2023.104506</t>
  </si>
  <si>
    <t>Urban Studies</t>
  </si>
  <si>
    <t>P0FZ2</t>
  </si>
  <si>
    <t>WOS:001047496200001</t>
  </si>
  <si>
    <t>Du, ZR; Zhou, C; Mi, HY; Li, H; Qin, ZW; Xu, RY; Wang, YM; Liu, CT; Shen, CY</t>
  </si>
  <si>
    <t>Du, Ziran; Zhou, Cheng; Mi, Hao-Yang; Li, Heng; Qin, Ziwei; Xu, Ruyan; Wang, Yaming; Liu, Chuntai; Shen, Changyu</t>
  </si>
  <si>
    <t>Recorded low-reflection in gradient MXene-decorated melamine microwave shielding foam integrated with piezoresistive sensing and energy absorption properties</t>
  </si>
  <si>
    <t>COMPOSITES PART A-APPLIED SCIENCE AND MANUFACTURING</t>
  </si>
  <si>
    <t>A: Foams; A: Multifunctional composites; B: Electrical properties; Electromagnetic interference shielding</t>
  </si>
  <si>
    <t>COMPOSITE FOAM; FABRICATION</t>
  </si>
  <si>
    <t>High-performance electromagnetic interference (EMI) shielding materials with low reflection are urgently required due to secondary electromagnetic pollution. MXene-based shielding materials often encounter a dilemma of high reflectance due to the high conductivity and permittivity of MXene, Herein, ecoflex-encased gradient MXene-decorated melamine foams (eGMMFs) are proposed to achieve both ultra-low reflection and efficient shielding. By designing a gradual increased gradient MXene conductive network and a reflector of reduced graphene oxide, the eGMMF integrates the impedance matching layer, loss layer, and reflective layer, which contributes to a average shielding efficiency of 78.8 dB and an reflection coefficient (R) of 0.022 in the X-band. A recorded low R value of 3.84 x 10(-5) is obtained at 11.52 GHz, which prevails over previously reported MXene-based shields. Meanwhile, the developed eGMMF shows a remarkable piezoresistive sensing and anti-impacting performance. This work provides a new vision and guidance for editing both shielding and absorbing materials integrated with multifunctionality.</t>
  </si>
  <si>
    <t>[Du, Ziran; Zhou, Cheng; Mi, Hao-Yang; Qin, Ziwei; Xu, Ruyan; Wang, Yaming; Liu, Chuntai; Shen, Changyu] Zhengzhou Univ, Natl Engn Res Ctr Adv Polymer Proc Technol, Key Lab Mat Proc &amp; Mold, Minist Educ, Zhengzhou 450000, Peoples R China; [Li, Heng] Hong Kong Polytech Univ, Fac Construct &amp; Environm, Kowloon, Hong Kong 518000, Peoples R China</t>
  </si>
  <si>
    <t>Zhengzhou University; Hong Kong Polytechnic University</t>
  </si>
  <si>
    <t>Mi, HY; Wang, YM (corresponding author), Zhengzhou Univ, Natl Engn Res Ctr Adv Polymer Proc Technol, Key Lab Mat Proc &amp; Mold, Minist Educ, Zhengzhou 450000, Peoples R China.</t>
  </si>
  <si>
    <t>mihaoyang@zzu.edu.cn; wangyaming@zzu.edu.cn</t>
  </si>
  <si>
    <t>Li, Heng/B-2821-2015</t>
  </si>
  <si>
    <t>Li, Heng/0000-0002-3187-9041</t>
  </si>
  <si>
    <t>National Natural Science Foundation of China [2021 M101797]; China Postdoctoral Science Foundation; [52173049,52073261]</t>
  </si>
  <si>
    <t>The authors would like to acknowledge the financial support from the National Natural Science Foundation of China (52173049,52073261) and the China Postdoctoral Science Foundation (2021 M101797) .</t>
  </si>
  <si>
    <t>1359-835X</t>
  </si>
  <si>
    <t>1878-5840</t>
  </si>
  <si>
    <t>COMPOS PART A-APPL S</t>
  </si>
  <si>
    <t>Compos. Pt. A-Appl. Sci. Manuf.</t>
  </si>
  <si>
    <t>10.1016/j.compositesa.2023.107694</t>
  </si>
  <si>
    <t>Engineering, Manufacturing; Materials Science, Composites</t>
  </si>
  <si>
    <t>Q6IA9</t>
  </si>
  <si>
    <t>WOS:001058527500001</t>
  </si>
  <si>
    <t>Dubey, RS; Laguzzi, G</t>
  </si>
  <si>
    <t>Dubey, Ram Sewak; Laguzzi, Giorgio</t>
  </si>
  <si>
    <t>Social welfare relations and irregular sets</t>
  </si>
  <si>
    <t>ANNALS OF PURE AND APPLIED LOGIC</t>
  </si>
  <si>
    <t>Forcing; Descriptive set theory; Social welfare relations; Infinite utility streams</t>
  </si>
  <si>
    <t>Social welfare relations satisfying Pareto and equity principles on infinite utility streams have revealed a non-constructive nature, specifically by showing that in general they imply the existence of non-Ramsey sets and non-Lebesgue measurable sets. In [4, Problem 11.14], the authors ask whether such a connection holds with non-Baire sets as well. In this paper we answer such a question showing that several versions of Pareto principles acting on different utility domains imply the existence of non-Baire sets. Furthermore, we analyze in more details the needed fragments of AC and we start a systematic investigation of a social welfare diagram in a similar fashion done in the past decades concerning cardinal invariants and regularity properties of the reals. In doing that we use tools from forcing theory, such as specific tree-forcings (in particular variants of Silver and Mathias forcings) and Shelah's amalgamation.</t>
  </si>
  <si>
    <t>[Dubey, Ram Sewak] Montclair State Univ, Feliciano Sch Business, Dept Econ, Montclair, NJ 07042 USA; [Laguzzi, Giorgio] Univ Piemonte Orientale, Dept Sci &amp; Technol Innovat, Vercelli, Italy</t>
  </si>
  <si>
    <t>Montclair State University; University of Eastern Piedmont Amedeo Avogadro</t>
  </si>
  <si>
    <t>Laguzzi, G (corresponding author), Univ Piemonte Orientale, Dept Sci &amp; Technol Innovat, Vercelli, Italy.</t>
  </si>
  <si>
    <t>dubeyr@montclair.edu; giorgio.laguzzi@uniupo.it</t>
  </si>
  <si>
    <t>0168-0072</t>
  </si>
  <si>
    <t>1873-2461</t>
  </si>
  <si>
    <t>ANN PURE APPL LOGIC</t>
  </si>
  <si>
    <t>Ann. Pure Appl. Log.</t>
  </si>
  <si>
    <t>OCT-NOV</t>
  </si>
  <si>
    <t>10.1016/j.apal.2023.103302</t>
  </si>
  <si>
    <t>Mathematics, Applied; Mathematics; Logic</t>
  </si>
  <si>
    <t>Mathematics; Science &amp; Technology - Other Topics</t>
  </si>
  <si>
    <t>P8ZT8</t>
  </si>
  <si>
    <t>WOS:001053509400001</t>
  </si>
  <si>
    <t>Dulanya, Z; Srivastava, A; Kinnaird, TC; Manda, B; Kafumbata, D; Jamu, E; Bwanali, A; Masanjala, W</t>
  </si>
  <si>
    <t>Dulanya, Zuze; Srivastava, Aayush; Kinnaird, Tim C.; Manda, Blackwell; Kafumbata, Dalitso; Jamu, Edister; Bwanali, Alick; Masanjala, Winford</t>
  </si>
  <si>
    <t>Assessing the potential of syn-rift sediments for geochronological dating and its implications for the development of Makanjira-Shire basin in south Malawi Rift</t>
  </si>
  <si>
    <t>QUATERNARY SCIENCE ADVANCES</t>
  </si>
  <si>
    <t>Malape; Likwenu; Tectonics</t>
  </si>
  <si>
    <t>OPTICALLY STIMULATED LUMINESCENCE; SINGLE-ALIQUOT; ZAMBEZI RIVER; LAST; QUATERNARY; AFRICA; PLEISTOCENE; EVOLUTION; CLIMATE; SYSTEMS</t>
  </si>
  <si>
    <t>The Upper Shire River basin, located within the zone of progressive interaction and linkage between the southern Malawi Rift and Shire Rift Zone, East Africa, presents an early-stage rift setting where rapid denudation processes take place and have profound influence on the geomorphological evolution of the region. The basin is key to the understanding of mechanisms involved in propagation and growthin young rifts. Although the tectonics in the region are well studied, lack of age constraints due to well-dated strata poses challenges in the understanding of the timing and mechanisms of rift evolution in this section of the south Malawi Rift. We used syn-rift sediments deposited from the rift shoulders to test the applicability of OSL and radiocarbon dating techniques in a poorly dated data-constrained region of the Malawi Rift. Our results suggest that proper sampling strategy is paramount in using the OSL technique for dating in areas of high dosage such as the one under consideration. However, the technique offers potential for use in these areas. Furthermore, we conclude from these findings that the evolution of the Upper Shire basin was triggered by tectonic movements along the Makongwa scrap that were responsible for redirecting the Likwenu River into the in the Zomba Graben through the Upper Shire at least during the Upper Pleistocene.</t>
  </si>
  <si>
    <t>[Dulanya, Zuze; Manda, Blackwell; Kafumbata, Dalitso; Jamu, Edister; Bwanali, Alick; Masanjala, Winford] Univ Malawi, POB 280, Zomba, Malawi; [Srivastava, Aayush; Kinnaird, Tim C.] Univ St Andrews, Sch Earth &amp; Environm Sci, St Andrews, Scotland</t>
  </si>
  <si>
    <t>University of Malawi; University of St Andrews</t>
  </si>
  <si>
    <t>Dulanya, Z (corresponding author), Univ Malawi, POB 280, Zomba, Malawi.</t>
  </si>
  <si>
    <t>dulanyaz@yahoo.com</t>
  </si>
  <si>
    <t>2666-0334</t>
  </si>
  <si>
    <t>QUAT SCI ADV</t>
  </si>
  <si>
    <t>Quat. Sci. Adv.</t>
  </si>
  <si>
    <t>10.1016/j.qsa.2023.100114</t>
  </si>
  <si>
    <t>Geography, Physical; Geosciences, Multidisciplinary</t>
  </si>
  <si>
    <t>Physical Geography; Geology</t>
  </si>
  <si>
    <t>R6PZ5</t>
  </si>
  <si>
    <t>WOS:001065569000001</t>
  </si>
  <si>
    <t>Dunbar, MS; Davis, JP; Tucker, JS; Seelam, R; Rodriguez, A; D'Amico, EJ</t>
  </si>
  <si>
    <t>Dunbar, Michael S.; Davis, Jordan P.; Tucker, Joan S.; Seelam, Rachana; Rodriguez, Anthony; D'Amico, Elizabeth J.</t>
  </si>
  <si>
    <t>Parallel trajectories of vaping and smoking cannabis and their associations with mental and physical well-being among young adults</t>
  </si>
  <si>
    <t>DRUG AND ALCOHOL DEPENDENCE</t>
  </si>
  <si>
    <t>Cannabis; Trajectories; Vaping; Smoking; Young adulthood; Mental health</t>
  </si>
  <si>
    <t>GENERALIZED ANXIETY DISORDER; DEVELOPMENTAL TRAJECTORIES; MARIJUANA USE; DEPRESSION; METAANALYSIS; ALCOHOL; SAMPLE; MARKET; SALES; BIG</t>
  </si>
  <si>
    <t>Background: Vaping and smoking are common modes of using cannabis (THC) among young adults, but little is known about how patterns of cannabis vaping and smoking unfold over time or how using one or both types of products may differently affect mental and physical well-being. This study examines parallel processes of cannabis vaping and smoking over 5 years and mental and physical outcomes in a sample of young adults. Methods: Annual surveys were conducted between 2016 and 2022 with a mostly California-based cohort of 2428 young adults. Parallel process growth mixture models examined trajectories of past-month frequency of cannabis vaping and smoking from ages 20 - 25. Classes were extracted based on parallel trajectories of vaped and smoked product use. Models assessed differences in self-reported mental (anxiety, depression) and physical (ailments, subjective overall) well-being outcomes in young adulthood across classes, adjusting for demographic characteristics and mental and physical well-being at pre-baseline (average age 19). Results: Four cannabis vaping/smoking classes emerged: low use of cannabis (84.7%), decreasing smoking, lowmoderate vaping (7.1%), stable moderate smoking, decreasing vaping (4.6%), and rapid increasing dual use (3.4%). Classes were similar on physical well-being indicators in young adulthood. The rapid increasing dual use class showed higher anxiety and depressive symptoms compared to other classes. Conclusion: Progression to higher frequency of both vaping and smoking cannabis in young adulthood may contribute to poorer mental well-being compared to other use patterns. Targeted efforts to reduce dual vaping and smoking in young people who use cannabis may be needed.</t>
  </si>
  <si>
    <t>[Dunbar, Michael S.] RAND Corp, 4570 Fifth Ave,Suite 600, Pittsburgh, PA 15213 USA; [Davis, Jordan P.] Univ Southern Calif, Los Angeles, CA 90089 USA; [Tucker, Joan S.; Seelam, Rachana; D'Amico, Elizabeth J.] RAND Corp, 1776 Main St, Santa Monica, CA 90401 USA; [Rodriguez, Anthony] RAND Corp, 20 Pk Plaza,Suite 920, Boston, MA 02116 USA</t>
  </si>
  <si>
    <t>RAND Corporation; University of Southern California; RAND Corporation; RAND Corporation</t>
  </si>
  <si>
    <t>Dunbar, MS (corresponding author), RAND Corp, 4570 Fifth Ave,Suite 600, Pittsburgh, PA 15213 USA.</t>
  </si>
  <si>
    <t>mdunbar@rand.org</t>
  </si>
  <si>
    <t>Rodriguez, Anthony/0000-0001-9485-0003</t>
  </si>
  <si>
    <t>National Institute on Alcohol Abuse and Alcoholism (NIAAA) [R01AA020883, R01AA025848, R01AA028812, R37CA249707]; National Cancer Institute (NCI); [R01AA016577]</t>
  </si>
  <si>
    <t>National Institute on Alcohol Abuse and Alcoholism (NIAAA)(United States Department of Health &amp; Human ServicesNational Institutes of Health (NIH) - USANIH National Institute on Alcohol Abuse &amp; Alcoholism (NIAAA)); National Cancer Institute (NCI)(United States Department of Health &amp; Human ServicesNational Institutes of Health (NIH) - USANIH National Cancer Institute (NCI));</t>
  </si>
  <si>
    <t>Funding for this study was provided by grants from the National Institute on Alcohol Abuse and Alcoholism (NIAAA) (R01AA016577; R01AA020883; R01AA025848; R01AA028812) and the National Cancer Institute (NCI) (R37CA249707) . NIAAA and NCI had no role in the study design, collection, analysis or interpretation of the data, writing the manuscript, or the decision to submit the paper for publication. The content is solely the responsibility of the authors and does not necessarily represent the official views of the National Institutes of Health.</t>
  </si>
  <si>
    <t>0376-8716</t>
  </si>
  <si>
    <t>1879-0046</t>
  </si>
  <si>
    <t>DRUG ALCOHOL DEPEN</t>
  </si>
  <si>
    <t>Drug Alcohol Depend.</t>
  </si>
  <si>
    <t>10.1016/j.drugalcdep.2023.110918</t>
  </si>
  <si>
    <t>Substance Abuse; Psychiatry</t>
  </si>
  <si>
    <t>R2VP8</t>
  </si>
  <si>
    <t>WOS:001062981900001</t>
  </si>
  <si>
    <t>Echeverria, G; Samith, B; von Schultzendorf, A; Pinto, V; Martinez, X; Sara, D; Calzada, M; Pacheco, J; Plaza, G; Scott, F; Romero, J; Mateo, C; Julio, MV; Utreras-Mendoza, Y; Binder, MV; Gutierrez, F; Riquelme, ME; Cuevas, M; Willatt, R; Sanchez, O; Keilendt, A; Butron, P; Jarufe, A; Huete, I; Tobar, J; Martin, S; Alfaro, V; Olivos, M; Pedrals, N; Bitran, M; Avalos, I; Ruini, C; Ryff, C; Perez, D; Berkowitz, L; Rigotti, A</t>
  </si>
  <si>
    <t>Echeverria, Guadalupe; Samith, Barbara; von Schultzendorf, Andrea; Pinto, Victoria; Martinez, Ximena; Sara, Daniela; Calzada, Mariana; Pacheco, Josefina; Plaza, Gianella; Scott, Francesca; Romero, Javiera; Mateo, Camila; Julio, Maria Veronica; Utreras-Mendoza, Yildy; Binder, Maria Victoria; Gutierrez, Florencia; Riquelme, Maria Emilia; Cuevas, Margarita; Willatt, Rosario; Sanchez, Omayra; Keilendt, Aracelli; Butron, Patricia; Jarufe, Alessandra; Huete, Isidora; Tobar, Josefina; Martin, Sofia; Alfaro, Valentina; Olivos, Matilde; Pedrals, Nuria; Bitran, Marcela; Avalos, Ivette; Ruini, Chiara; Ryff, Carol; Perez, Druso; Berkowitz, Loni; Rigotti, Attilio</t>
  </si>
  <si>
    <t>Mediterranean diet and psychological well-being intervention to reverse metabolic syndrome in Chile (CHILEMED trial)</t>
  </si>
  <si>
    <t>Mediterranean diet; Psychological well-being; Metabolic syndrome</t>
  </si>
  <si>
    <t>MENTAL-HEALTH CONTINUUM; SAMPLE-SIZE CALCULATION; POSITIVE PSYCHOLOGY; RED WINE; CARDIOVASCULAR-DISEASE; SPANISH TRANSLATION; NEGATIVE AFFECT; VALIDATION; METAANALYSIS; STUDENTS</t>
  </si>
  <si>
    <t>Psychosocial status and lifestyle are key risk factors of non-communicable diseases (NCDs), which, in turn, are main drivers of healthcare costs and morbimortality worldwide, including Chile. Mediterranean diet (MedDiet) is one of the healthiest dietary patterns under study. However, its impact on high-risk conditions, such as metabolic syndrome (MetS), and NCDs outside the Mediterranean Basin remains mostly unexplored. Even though Central Chile has an environment, food production, and culinary traditions comparable to those present in Mediterranean countries, few studies-some with significant methodological limitations-have evaluated the effect of MedDiet on health and/or disease in Chilean subjects. Importantly, a Mediterranean lifestyle is a modus vivendi that integrates physical health with mental and social well-being. Psychological well-being (PWB) is associated with healthy behaviors, positive health outcomes, and longevity, thereby emerging as a novel healthcare goal. We report here an ongoing randomized controlled clinical trial in Chilean patients with MetS seeking to test whether (1) a PWB theory-based intervention facilitates induction to and increases long-term adherence to a locally adapted MedDiet, and (2) a MedDiet intervention-implemented alone or combined with well-being promotion-is more effective at reversing MetS compared to individuals following a low-fat diet without psychological support. The CHILEan MEDiterranean (CHILEMED) diet intervention study is a 1-year trial including patients with MetS living in Chile. Participants will be assigned randomly by a computer-generated random number sequence to one of the three intervention arms: a) low-fat diet as control group, b) MedDiet alone, and c) MedDiet plus well-being support. Patients will be followed-up by individual and/or group online nutritional sessions or phone cal as well as 6-and 12-month in-person re-assessment of medical history, medication use, food intake, PWB, anthropometrics/physical exam, and blood collection for laboratory analysis. The primary outcome of the trial will be the effect of the MedDiet-with or without PWB intervention-on overall reversal of MetS compared to low-fat diet alone. Based on a statistical superiority trial, expected impact, and patient loss, the estimated study sample is 339 subjects (113 individuals per arm in 3 equal-sized groups). Currently, we have enrolled 179 patients, predominantly women, evenly distributed by age (group means ranging from 45.7 to 48,9 years-old), 3/4 are obese with almost all of them showing abdominal obesity, 70% are hypertensive, whereas &lt;10% exhibit diabetes. If findings turn out as expected (e.g., MedDiet-with or without PWB intervention-is better than the low-fat diet for reversion of MetS at 1-year follow-up), CHILEMED will provide further beneficial evidence of the MedDiet on NCD risk conditions beyond the Mediterranean region.</t>
  </si>
  <si>
    <t>[Echeverria, Guadalupe; Samith, Barbara; von Schultzendorf, Andrea; Pinto, Victoria; Martinez, Ximena; Sara, Daniela; Pacheco, Josefina; Plaza, Gianella; Scott, Francesca; Romero, Javiera; Mateo, Camila; Julio, Maria Veronica; Utreras-Mendoza, Yildy; Binder, Maria Victoria; Gutierrez, Florencia; Riquelme, Maria Emilia; Cuevas, Margarita; Willatt, Rosario; Sanchez, Omayra; Keilendt, Aracelli; Butron, Patricia; Jarufe, Alessandra; Huete, Isidora; Tobar, Josefina; Martin, Sofia; Alfaro, Valentina; Olivos, Matilde; Pedrals, Nuria; Bitran, Marcela; Perez, Druso; Berkowitz, Loni; Rigotti, Attilio] Pontificia Univ Catolica, Escuela Med, Ctr Nutr Mol &amp; Enfermedades Cron, Santiago, Chile; [Echeverria, Guadalupe; Samith, Barbara; Calzada, Mariana; Pedrals, Nuria; Berkowitz, Loni; Rigotti, Attilio] Pontificia Univ Catolica, Escuela Med, Dept Nutr Diabet &amp; Metab, Diagonal Paraguay 362, 4to Piso, Santiago, Chile; [Pinto, Victoria] Pontificia Univ Catolica, Fac Med, Carrera Nutr &amp; Dietet, Ciencias Salud, Santiago, Chile; [Avalos, Ivette] Clin Bupa Santiago, Santiago, Chile; [Ruini, Chiara] Univ Bologna, Dept Life Qual Studies, Rimini, Italy; [Ryff, Carol] Univ Wisconsin, Inst Aging, Madison, WI 53706 USA; [Ryff, Carol] Univ Wisconsin, Dept Psychol, Madison, WI 53706 USA</t>
  </si>
  <si>
    <t>Pontificia Universidad Catolica de Chile; Pontificia Universidad Catolica de Chile; Pontificia Universidad Catolica de Chile; University of Bologna; University of Wisconsin System; University of Wisconsin Madison; University of Wisconsin System; University of Wisconsin Madison</t>
  </si>
  <si>
    <t>Rigotti, A (corresponding author), Pontificia Univ Catolica, Escuela Med, Dept Nutr Diabet &amp; Metab, Diagonal Paraguay 362, 4to Piso, Santiago, Chile.</t>
  </si>
  <si>
    <t>arigotti@med.puc.cl</t>
  </si>
  <si>
    <t>Berkowitz, Loni/0000-0002-8562-4845</t>
  </si>
  <si>
    <t>grant FONDECYT by Agencia Nacional de Investigacion y Desarrollo (ANID) from the Government of Chile [1201607]</t>
  </si>
  <si>
    <t>grant FONDECYT by Agencia Nacional de Investigacion y Desarrollo (ANID) from the Government of Chile</t>
  </si>
  <si>
    <t>The ongoing research is funded by grant FONDECYT #1201607 provided by Agencia Nacional de Investigacion y Desarrollo (ANID) from the Government of Chile. We acknowledge the support of Ambassador Mauro Battocchi and his team at the Embassy of Italy in Santiago for encouraging promotion of and research on the Mediterranean diet in Chile and academic collaborations with Italian academic institutions. Foods items delivered to participants were generously provided by Terramater (olive oil), COLUN (low-fat milk), and AGROSUPER (poultry and low-fat pork meat). Patients have been kindly referred by our colleagues as well as SODEXO and Banco Santander in Chile.</t>
  </si>
  <si>
    <t>10.1016/j.conctc.2023.101167</t>
  </si>
  <si>
    <t>P1CY0</t>
  </si>
  <si>
    <t>WOS:001048097900001</t>
  </si>
  <si>
    <t>Elik, A; Altunay, N</t>
  </si>
  <si>
    <t>Elik, Adil; Altunay, Nail</t>
  </si>
  <si>
    <t>Ultrasound-assisted dispersive liquid-liquid microextraction based on solidification of floating organic drop for analiysis of propineb in water and food samples: Experimental modeling</t>
  </si>
  <si>
    <t>SUSTAINABLE CHEMISTRY AND PHARMACY</t>
  </si>
  <si>
    <t>Deep eutectic solvent; Experimental modeling; Propineb; Fast microextraction; Real samples</t>
  </si>
  <si>
    <t>DEEP EUTECTIC SOLVENT; EXTRACTION; PESTICIDES; PROPYLENETHIOUREA; FUNGICIDE; SOIL</t>
  </si>
  <si>
    <t>Here, a fast and simple ultrasound-assisted dispersive liquid-liquid microextraction based on solidification of floating organic drop using deep eutectic solvent (UA-DLLME-SFO-DES) procedure was optimized for the extraction of propineb from water and food samples prior to analysis by UV-VIS spectrophotometer. In this research, the extraction step was carried out by using DESs as the extraction solvent. The optimization of the significant variables of the UA-DLLME-SFO-DES procedure was carried out by multivariate statistical method. After multivariate optimization, linearity range was observed from 20 to 450 ng mL-1. The detection limit, preconcentration factor, and enhancement factor were estimated as 6.1 ng mL-1, 120, and 93, respectively. The calibration curve of the UA-DLLME-SFO-DES procedure was estimated at A = 0.0074-0.015 [propineb, ng mL-1]. Intra- and inter-day precisions were &amp; LE;1.9% and &amp; LE;2.8%, respectively. Recoveries between 90.4% and 98.6% indicated the absence of matrix effects, indicating that the UADLLME-SFO-DES procedure was suitable for the extraction and determination of propineb in water and food samples. The UA-DLLME-SFO-DES procedure was an efficient, simple, and cheap alternative to other extraction and determination techniques, and can be used for routine monitoring of propineb in complex matrices.</t>
  </si>
  <si>
    <t>[Elik, Adil; Altunay, Nail] Sivas Cumhuriyet Univ, Fac Sci, Dept Chem, Sivas, Turkiye</t>
  </si>
  <si>
    <t>Cumhuriyet University</t>
  </si>
  <si>
    <t>Altunay, N (corresponding author), Sivas Cumhuriyet Univ, Fac Sci, Dept Chem, Sivas, Turkiye.</t>
  </si>
  <si>
    <t>naltunay@cumhuriyet.edu.tr</t>
  </si>
  <si>
    <t>2352-5541</t>
  </si>
  <si>
    <t>SUSTAIN CHEM PHARM</t>
  </si>
  <si>
    <t>SUSTAIN. CHEM. PHARM.</t>
  </si>
  <si>
    <t>10.1016/j.scp.2023.101215</t>
  </si>
  <si>
    <t>Chemistry, Multidisciplinary; Green &amp; Sustainable Science &amp; Technology; Environmental Sciences</t>
  </si>
  <si>
    <t>Chemistry; Science &amp; Technology - Other Topics; Environmental Sciences &amp; Ecology</t>
  </si>
  <si>
    <t>P8VW3</t>
  </si>
  <si>
    <t>WOS:001053405100001</t>
  </si>
  <si>
    <t>Entzmann, L; Guyader, N; Kauffmann, L; Peyrin, C; Mermillod, M</t>
  </si>
  <si>
    <t>Entzmann, Lea; Guyader, Nathalie; Kauffmann, Louise; Peyrin, Carole; Mermillod, Martial</t>
  </si>
  <si>
    <t>Detection of emotional faces: The role of spatial frequencies and local features</t>
  </si>
  <si>
    <t>Facial expressions; Eye movements; Spatial frequencies; Contrast; Visual saliency</t>
  </si>
  <si>
    <t>FACIAL EXPRESSION RECOGNITION; TIME-COURSE; NATURAL IMAGES; NEURAL-NETWORK; HUMAN AMYGDALA; VISUAL-SEARCH; PERCEPTION; ATTENTION; FEAR; CATEGORIZATION</t>
  </si>
  <si>
    <t>Models of emotion processing suggest that threat-related stimuli such as fearful faces can be detected based on the rapid extraction of low spatial frequencies. However, this remains debated as other models argue that the decoding of facial expressions occurs with a more flexible use of spatial frequencies. The purpose of this study was to clarify the role of spatial frequencies and differences in luminance contrast between spatial frequencies, on the detection of facial emotions. We used a saccadic choice task in which emotional-neutral face pairs were presented and participants were asked to make a saccade toward the neutral or the emotional (happy or fearful) face. Faces were displayed either in low, high, or broad spatial frequencies. Results showed that participants were better to saccade toward the emotional face. They were also better for high or broad than low spatial frequencies, and the accuracy was higher with a happy target. An analysis of the eye and mouth saliency of our stimuli revealed that the mouth saliency of the target correlates with participants' performance. Overall, this study underlines the importance of local more than global information, and of the saliency of the mouth region in the detection of emotional and neutral faces.</t>
  </si>
  <si>
    <t>[Entzmann, Lea; Kauffmann, Louise; Peyrin, Carole; Mermillod, Martial] Univ Grenoble Alpes, Univ Savoie Mont Blanc, CNRS, LPNC, F-38000 Grenoble, France; [Entzmann, Lea; Guyader, Nathalie] Univ Grenoble Alpes, GIPSA Lab, CNRS, Grenoble INP, F-38000 Grenoble, France; [Entzmann, Lea] Univ Iceland, Sch Hlth Sci, Iceland Vis Lab, Reykjavik, Iceland; [Entzmann, Lea] Batiment Michel Dubois, LPNC, 1251 Ave Cent, F-38400 St Martin Dheres, France</t>
  </si>
  <si>
    <t>Communaute Universite Grenoble Alpes; UDICE-French Research Universities; Universite Grenoble Alpes (UGA); Universite Gustave-Eiffel; Centre National de la Recherche Scientifique (CNRS); UDICE-French Research Universities; Communaute Universite Grenoble Alpes; Institut National Polytechnique de Grenoble; Universite Grenoble Alpes (UGA); Centre National de la Recherche Scientifique (CNRS); University of Iceland</t>
  </si>
  <si>
    <t>Entzmann, L (corresponding author), Batiment Michel Dubois, LPNC, 1251 Ave Cent, F-38400 St Martin Dheres, France.</t>
  </si>
  <si>
    <t>leaentzmann@hi.is</t>
  </si>
  <si>
    <t>NeuroCoG IDEX UGA [ANR-15-IDEX-02]; MIAI @ Grenoble Alpes [ANR-19- P3IA-0003]</t>
  </si>
  <si>
    <t>NeuroCoG IDEX UGA; MIAI @ Grenoble Alpes</t>
  </si>
  <si>
    <t>This work was supported by NeuroCoG IDEX UGA in the framework of the Investissements d'avenir program (ANR-15-IDEX-02). This work has been partially supported by MIAI @ Grenoble Alpes, (ANR-19- P3IA-0003).</t>
  </si>
  <si>
    <t>10.1016/j.visres.2023.108281</t>
  </si>
  <si>
    <t>Q6MX6</t>
  </si>
  <si>
    <t>WOS:001058657200001</t>
  </si>
  <si>
    <t>Fang, C; Chen, JB; Wang, W</t>
  </si>
  <si>
    <t>Fang, Cheng; Chen, Junbai; Wang, Wei</t>
  </si>
  <si>
    <t>SMA-braced steel frames influenced by temperature: Practical modelling strategy and probabilistic performance assessment</t>
  </si>
  <si>
    <t>Shape memory alloy; Practical constitutive model; Temperature effect; Self-centering; Probabilistic risk assessment</t>
  </si>
  <si>
    <t>SHAPE-MEMORY ALLOY; SEISMIC PERFORMANCE; CONSTITUTIVE MODEL; BEHAVIOR; BRIDGES</t>
  </si>
  <si>
    <t>This study presents a practical and efficient modelling approach for shape memory alloy (SMA)braced steel frames under various temperatures, and examines their probabilistic performance affected by temperature. A one-dimensional constitutive model is developed in OpenSees to capture the superelasticity (SE), partial SE, shape memory effect (SME), and permanent yielding behaviors of SMA elements subjected to varying temperatures. The proposed modelling approach is partly validated against an experimental study newly conducted in the present work. The material-level investigation is followed by a comprehensive probabilistic performance assessment of a typical steel frame employing SMA-based self-centering braces (SMA-SCBs), where a practical and realistic modelling strategy for the SMA-SCB is developed to capture the degradation behavior, especially at low temperatures. Seismic risk assessment is conducted to evaluate the collapse resistance and resilience performance of the considered structures, with the influence of temperature highlighted. Among other important findings, it is shown that the decrease in environment temperature significantly increases the peak inter-story drift (PID) and residual inter-story drift (RID) responses. Under the maximum considered earthquake (MCE), the probability of collapse increases from 2.7% to 19.7% when the temperature decreases from 30 degrees C to -15 degrees C. From a self-centering capability point of view, the probabilistic of exceedance of 0.5% RID threshold soars from negligible to nearly 100%, considering the same temperature variation. The study highlights the fact that temperature plays a significant role in the annual rate of exceedance of all damage states, and warns that the idealized flag-shaped modelling approach for SMA components is extremely unsafe at low temperatures.</t>
  </si>
  <si>
    <t>[Fang, Cheng; Chen, Junbai; Wang, Wei] Tongji Univ, Dept Struct Engn, State Key Lab Disaster Reduct Civil Engn, Shanghai 200092, Peoples R China; [Fang, Cheng; Wang, Wei] Shanghai Engn Res Ctr Resilient Cities &amp; Intellige, Shanghai, Peoples R China</t>
  </si>
  <si>
    <t>Chen, JB; Wang, W (corresponding author), Tongji Univ, Dept Struct Engn, State Key Lab Disaster Reduct Civil Engn, Shanghai 200092, Peoples R China.;Wang, W (corresponding author), Shanghai Engn Res Ctr Resilient Cities &amp; Intellige, Shanghai, Peoples R China.</t>
  </si>
  <si>
    <t>maydream4ever@tongji.edu.cn; weiwang@tongji.edu.cn</t>
  </si>
  <si>
    <t>National Natural Science Foundation of China (NSFC) [51820105013, 52078366, 52078359]; Shanghai 2022 Science and TechnologyInnovation Action Plan Social Development Science and Technology Research Project [22dz1201700]; Shanghai Rising-Star Program [20QA1409400]; Shanghai Education Development Foundation; Shanghai Municipal Education Commission</t>
  </si>
  <si>
    <t>National Natural Science Foundation of China (NSFC)(National Natural Science Foundation of China (NSFC)); Shanghai 2022 Science and TechnologyInnovation Action Plan Social Development Science and Technology Research Project; Shanghai Rising-Star Program; Shanghai Education Development Foundation; Shanghai Municipal Education Commission(Shanghai Municipal Education Commission (SHMEC))</t>
  </si>
  <si>
    <t>The financial support from the National Natural Science Foundation of China (NSFC) with Grant Nos. 51820105013, 52078366, and 52078359 is gratefully acknowledged. Support for this study was also provided by Shanghai 2022 Science and TechnologyInnovation Action Plan Social Development Science and Technology Research Project with Grant No. 22dz1201700, the Shanghai Rising-Star Program (20QA1409400) , and Shuguang Program supported by Shanghai Education Development Foundation and Shanghai Municipal Education Commission.</t>
  </si>
  <si>
    <t>10.1016/j.jobe.2023.107334</t>
  </si>
  <si>
    <t>O7ST7</t>
  </si>
  <si>
    <t>WOS:001045772400001</t>
  </si>
  <si>
    <t>Feng, Z; Yuan, DD; Lu, QG; Deng, HP; Shi, J; Xie, XF</t>
  </si>
  <si>
    <t>Feng, Zhi; Yuan, Dongdong; Lu, Qinggeng; Deng, Huiping; Shi, Jun; Xie, Xiaofeng</t>
  </si>
  <si>
    <t>Size controlled synthesis and fluorescence quenching behavior of N-CQDs based on molecular sieves</t>
  </si>
  <si>
    <t>Carbon quantum dot; Separation; Size effect; Fluorescent performance</t>
  </si>
  <si>
    <t>GRAPHENE QUANTUM DOTS; CARBON DOTS; TEMPERATURE; ANILINE; ACID; FRACTIONATION; PERFORMANCE; DERIVATIVES; FACILE; SULFUR</t>
  </si>
  <si>
    <t>Tunable photoluminescence (PL) of carbon quantum dots (CQDs) strongly depends on the characteristics of particle size and edge chemistry. In this work, we report a very facile and effective method to separate nitrogendoped CQDs (N-CQDs) by molecular sieves with different pore sizes through physical-chemical adsorption method. The N-CQDs-3.7 with target sizes of 1-3 nm and N-CQDs-8 with target sizes of 4-7 nm are rapidly obtained through the screening of MCM-41 and SBA-15, respectively. The microstructure and PL performance of the separated N-CQDs are explored by transmission electron microscopy, atomic force microscopy, Raman scattering spectrum, X-ray photoelectron spectroscopy, and PL spectroscopy. The two types of N-CQDs exhibit different pH responses and fluorescence quenching behaviors to aniline compounds and benzoic acid (BA). The N-CQDs-8 emits a stable green fluorescence at pH = 2-7, and exhibits an obvious PL quenching behavior to alkaline aniline compounds, especially the aromatic compounds with di-amine. On the opposite, the N-CQDs-3.7 illuminates a stable blue fluorescence at pH = 7-10, and displays a significant PL quenching for the acidic BA, representing a good linear relationship and high sensitivity. Meanwhile, the different pH responses and PL quenching performances are also discussed.</t>
  </si>
  <si>
    <t>[Feng, Zhi; Deng, Huiping; Shi, Jun] Tongji Univ, Shanghai Inst Pollut Control &amp; Ecol Secur, Coll Environm Sci &amp; Engn, Shanghai, Peoples R China; [Feng, Zhi; Yuan, Dongdong; Lu, Qinggeng] POWERCHINA Grp Environm Engn Co, Hangzhou, Peoples R China; [Xie, Xiaofeng] Chinese Acad Sci, Shanghai Inst Ceram, Shanghai, Peoples R China</t>
  </si>
  <si>
    <t>Tongji University; Chinese Academy of Sciences; Shanghai Institute of Ceramics, CAS</t>
  </si>
  <si>
    <t>Shi, J (corresponding author), Tongji Univ, Shanghai Inst Pollut Control &amp; Ecol Secur, Coll Environm Sci &amp; Engn, Shanghai, Peoples R China.;Xie, XF (corresponding author), Chinese Acad Sci, Shanghai Inst Ceram, Shanghai, Peoples R China.</t>
  </si>
  <si>
    <t>shijun215@tongji.edu.cn; xxfshcn@163.com</t>
  </si>
  <si>
    <t>National Key Research and Development Program of China [2021YFE0110400]; National Natural Science Foundation of China [41907303, 52072387]; Shanghai Commission of Science and Technology Program [20DZ1204100]</t>
  </si>
  <si>
    <t>National Key Research and Development Program of China; National Natural Science Foundation of China(National Natural Science Foundation of China (NSFC)); Shanghai Commission of Science and Technology Program</t>
  </si>
  <si>
    <t>This work was financially supported by the National Key Research and Development Program of China (2021YFE0110400) , the National Natural Science Foundation of China (41907303, 52072387) and Shanghai Commission of Science and Technology Program (20DZ1204100) .</t>
  </si>
  <si>
    <t>10.1016/j.micromeso.2023.112728</t>
  </si>
  <si>
    <t>O3PS1</t>
  </si>
  <si>
    <t>WOS:001042976100001</t>
  </si>
  <si>
    <t>Feng, ZK; Luo, T; Niu, WJ; Yang, T; Wang, WC</t>
  </si>
  <si>
    <t>Feng, Zhong-kai; Luo, Tao; Niu, Wen-jing; Yang, Tao; Wang, Wen-chuan</t>
  </si>
  <si>
    <t>A LSTM-based approximate dynamic programming method for hydropower reservoir operation optimization</t>
  </si>
  <si>
    <t>JOURNAL OF HYDROLOGY</t>
  </si>
  <si>
    <t>Reservoir operation; Response surface; Artificial intelligence; Dynamic programming; Long short -term memory; Curse of dimensionality</t>
  </si>
  <si>
    <t>GENETIC ALGORITHM; SYSTEM; RULES; MODEL</t>
  </si>
  <si>
    <t>Dynamic programming (DP) is a classical method developed to address the multi-stage hydropower reservoir operation problem, but still suffers from the serious dimensionality problem where the computational burden increases exponentially with the number of state variables. To improve the DP performance, this paper proposes a LSTM-based approximate dynamic programming (ADP) method for complex hydropower reservoir operation optimization. In ADP, the long short-term memory (LSTM) is treated as the response surface model to reduce redundant computations of power outputs in DP's recursive equation, making obvious improvements in the execution efficiency. To fully assess its feasibility, the ADP method is used to find the scheduling schemes of a real-world reservoir system in China. Simulation results show that compared with the standard DP method, ADP effectively reduces the execution time while guarantee the solution quality in different cases. In the 1000-state and wet-year scenario, the ADP method achieves approximately 86.7% and 85.8% reductions in DP's computation time for Longyangxia and Laxiwa reservoir with the goal of maximizing power generation. Thus, the LSTM-based response surface model is an effective tool to improve the DP performance in the hydropower reservoir operation problem.</t>
  </si>
  <si>
    <t>[Feng, Zhong-kai; Luo, Tao; Yang, Tao] Hohai Univ, Coll Hydrol &amp; Water Resources, Nanjing 210098, Peoples R China; [Feng, Zhong-kai; Yang, Tao] Hohai Univ, Natl Key Lab Water Disaster Prevent, Nanjing 210098, Peoples R China; [Niu, Wen-jing] Changjiang Water Resources Commiss, Bur Hydrol, Wuhan 430010, Peoples R China; [Wang, Wen-chuan] North China Univ Water Resources &amp; Elect Power, Coll Water Resources, Henan Key Lab Water Resources Conservat &amp; Intens U, Zhengzhou 450046, Peoples R China</t>
  </si>
  <si>
    <t>Hohai University; Hohai University; North China University of Water Resources &amp; Electric Power</t>
  </si>
  <si>
    <t>Niu, WJ (corresponding author), Changjiang Water Resources Commiss, Bur Hydrol, Wuhan 430010, Peoples R China.</t>
  </si>
  <si>
    <t>dgniuwenjing@163.com</t>
  </si>
  <si>
    <t>National Key Research and Development Program of China [2022YFC3202300]; National Natural Science Foundation of China [52009012]; Natural Science Foundation of Hubei Province [2023AFD023]; Fundamental Research Funds for the Central Universities [B210201046]</t>
  </si>
  <si>
    <t>National Key Research and Development Program of China; National Natural Science Foundation of China(National Natural Science Foundation of China (NSFC)); Natural Science Foundation of Hubei Province(Natural Science Foundation of Hubei Province); Fundamental Research Funds for the Central Universities(Fundamental Research Funds for the Central Universities)</t>
  </si>
  <si>
    <t>This work is financially supported by the National Key Research and Development Program of China (2022YFC3202300) , National Natural Science Foundation of China (52009012) , Natural Science Foundation of Hubei Province (2023AFD023) , and Fundamental Research Funds for the Central Universities (B210201046) . The authors would like to ex- press their appreciation to the editors and reviewers for their valuable comments and suggestions.</t>
  </si>
  <si>
    <t>0022-1694</t>
  </si>
  <si>
    <t>1879-2707</t>
  </si>
  <si>
    <t>J HYDROL</t>
  </si>
  <si>
    <t>J. Hydrol.</t>
  </si>
  <si>
    <t>10.1016/j.jhydrol.2023.130018</t>
  </si>
  <si>
    <t>Engineering, Civil; Geosciences, Multidisciplinary; Water Resources</t>
  </si>
  <si>
    <t>Engineering; Geology; Water Resources</t>
  </si>
  <si>
    <t>R2IW3</t>
  </si>
  <si>
    <t>WOS:001062643000001</t>
  </si>
  <si>
    <t>da Silva, BAF; Pessoa, RT; da Costa, RHS; de Oliveira, MRC; Ramos, AGB; Silva, MGD; da Silva, LYS; Medeiros, CR; Florencio, SGL; Ribeiro, J; Coutinho, HDM; Raposo, A; Yoo, S; Han, HS; de Menezes, IRA; Quintans, LJ</t>
  </si>
  <si>
    <t>Fernandes da Silva, Bruno Anderson; Pessoa, Renata Torres; Sousa da Costa, Roger Henrique; Correia de Oliveira, Maria Rayane; Barbosa Ramos, Andreza Guedes; de Lima Silva, Maria Gabriely; Santos da Silva, Lucas Yure; Medeiros, Cassio Rocha; Lemos Florencio, Sloana Giesta; Ribeiro-Filho, Jaime; Melo Coutinho, Henrique Douglas; Raposo, Antonio; Yoo, Sunghoon; Han, Heesup; Alencar de Menezes, Irwin Rose; Quintans Jr, Lucindo Jose</t>
  </si>
  <si>
    <t>Evaluation of the antiedematogenic and anti-inflammatory properties of Ximenia americana L. (Olacaceae) bark extract in experimental models of inflammation</t>
  </si>
  <si>
    <t>Anti-inflammatory; Autacoids; Cytokines; Inflammation; Medicinal plant</t>
  </si>
  <si>
    <t>NITRIC-OXIDE; IN-VITRO; KAPPA-B; PROSTAGLANDIN E-2; PLANT FLAVONOIDS; FATTY-ACIDS; PAW EDEMA; RAT; QUERCETIN; ACTIVATION</t>
  </si>
  <si>
    <t>Edema is one of the obvious indicators of inflammation and a crucial factor to take into account when assessing a substance's capacity to reduce inflammation. We aimed to evaluate the antiedematogenic and anti-inflammatory profile of the hydroethanolic barks extract of Ximenia americana (HEXA). The possible antiedematogenic and anti-inflammatory effect of EHXA (50, 100 mg/kg and 250 mg/kg v.o) was evaluated using the paw edema induced by carrageenan, zymosan, dextran, CFA and by different agents inflammatory (serotonin, histamine, arachidonic acid and PGE(2)), and pleurisy model induced by carrageenan and its action on IL-1 beta and TNF-alpha levels was also evaluated. HEXA demonstrated a significant antiedematogenic effect at concentrations of 50, 100 and 250 mg/kg on paw edema induced by carrageenan, zymosan and dextran. However, the concentration of 50 mg/kg as standard, demonstrating the effect in the subchronic model, induced CFA with inhibition of 59.06 %. In models of histamine-induced paw edema, HEXA showed inhibition of - 30 min: 40.49 %, 60 min: 44.70 % and 90 min: 48.98 %; serotonin inhibition - 30 min: 57.09 %, 60 min: 66.04 % and 90 min: 61.79 %; arachidonic acid inhibition - 15 min: 36.54 %, 30 min: 51.10 %, 45 min: 50.32 % and 60 min: 76.17 %; and PGE(2) inhibition - 15 min: 67.78 %, 30 min: 62.30 %, 45 min: 54.25 % and 60 min: 47.92 %. HEXA significantly reduced (p &lt; 0.01) leukocyte migration in the pleurisy model and reduced TNF-alpha and IL-1 beta levels in pleural lavage (p &lt; 0.0001). The results showed that HEXA has the potential to have an antiedematogenic impact in both acute and chronic inflammation processes, with a putative mode of action including the suppression or regulation of inflammatory mediators.</t>
  </si>
  <si>
    <t>[Quintans Jr, Lucindo Jose] Univ Fed Sergipe, Dept Physiol, Lab Neurosci &amp; Pharmacol Assays, Sao Cristovao, SE, Brazil; [Fernandes da Silva, Bruno Anderson; Quintans Jr, Lucindo Jose] Univ Fed Sergipe, Hlth Sci Grad Program, Aracaju, SE, Brazil; [Medeiros, Cassio Rocha; Lemos Florencio, Sloana Giesta] Reg Univ Cariri, Dept Biol Chem, Lab Pharmacol &amp; Mol Chem, Cel Antonio Luis 1161, BR-63105000 Crato, CE, Brazil; [Medeiros, Cassio Rocha; Lemos Florencio, Sloana Giesta] CECAPE Coll, Av Padre Cicero 3917 Sao Jose, BR-63024015 Juazeiro Do Norte, CE, Brazil; [Ribeiro-Filho, Jaime] Fiocruz Ceara, Oswaldo Cruz Fdn, BR-61773270 Eusebio, CE, Brazil; [Melo Coutinho, Henrique Douglas] Reg Univ Cariri URCA, Dept Biol Chem, BR-63105000 Crato, CE, Brazil; [Raposo, Antonio] Univ Lusofona Humanidades &amp; Tecnol, CBIOS Res Ctr Biosci &amp; Hlth Technol, Campo Grande 376, P-1749024 Campo Grande, Lisboa, Portugal; [Yoo, Sunghoon] Hanmoo Convent Oakwood Premier, Audit Team, 49 Teheran Ro 87 gil, Seoul 06164, South Korea; [Han, Heesup] Sejong Univ, Coll Hospitality &amp; Tourism Management, 98 Gunja Dong, Seoul 143747, South Korea</t>
  </si>
  <si>
    <t>Universidade Federal de Sergipe; Universidade Federal de Sergipe; Universidade Regional do Cariri; Fundacao Oswaldo Cruz; Universidade Regional do Cariri; Lusofona University; Sejong University</t>
  </si>
  <si>
    <t>Coutinho, HDM (corresponding author), Reg Univ Cariri URCA, Dept Biol Chem, BR-63105000 Crato, CE, Brazil.;Yoo, S (corresponding author), Hanmoo Convent Oakwood Premier, Audit Team, 49 Teheran Ro 87 gil, Seoul 06164, South Korea.;Han, HS (corresponding author), Sejong Univ, Coll Hospitality &amp; Tourism Management, 98 Gunja Dong, Seoul 143747, South Korea.</t>
  </si>
  <si>
    <t>hdmcoutinho@gmail.com; sunghoon@hmcon.co.kr; heesup.han@gmail.com</t>
  </si>
  <si>
    <t>Quintans, Lucindo/A-2434-2012; de Menezes, Irwin Rose Alencar/A-6777-2012; Raposo, Antonio/G-8329-2018</t>
  </si>
  <si>
    <t>Quintans, Lucindo/0000-0001-5155-938X; de Menezes, Irwin Rose Alencar/0000-0003-1065-9581; , Lucas Yure/0000-0003-1183-4767; Raposo, Antonio/0000-0002-5286-2249</t>
  </si>
  <si>
    <t>10.1016/j.biopha.2023.115249</t>
  </si>
  <si>
    <t>R4ZM7</t>
  </si>
  <si>
    <t>WOS:001064449900001</t>
  </si>
  <si>
    <t>Fernandez, F; Gavilan-Arriazu, EM; Barraco, DE; Visintin, A; Ein-Eli, Y; Leiva, EPM</t>
  </si>
  <si>
    <t>Fernandez, F.; Gavilan-Arriazu, E. M.; Barraco, D. E.; Visintin, A.; Ein-Eli, Y.; Leiva, E. P. M.</t>
  </si>
  <si>
    <t>Towards a fast-charging of LIBs electrode materials: a heuristic model based on galvanostatic simulations</t>
  </si>
  <si>
    <t>Fast-charging; Lithium-Ion Battery; Heuristic Model; Galvanostatic charge</t>
  </si>
  <si>
    <t>Fast charging is one of the most important features to be accomplished for the improvement of electric vehicles. In the search for optimal use of active materials for this aim, we present a recipe to find the conditions for fast charging, fifteen minutes for 80 % of the State-of-Charge, of lithium-ion battery's single particle electrodes, thus taking advantage of the maximum possible capacity. A guide based on a general model that considers diffusion and charge transfer limitations under constant current is proposed. This guide was constructed on the basis of our previous theoretical development. A Python free and user-friendly package is provided to handle all experimental data processing and estimations.</t>
  </si>
  <si>
    <t>[Fernandez, F.; Gavilan-Arriazu, E. M.; Barraco, D. E.] Univ Nacl Cordoba, IFEG CONICET, Fac Matemat Astron Fis &amp; Comp, Cordoba, Argentina; [Gavilan-Arriazu, E. M.; Leiva, E. P. M.] Univ Nacl Cordoba, INFIQC, Fac Ciencias Quim, Dept Quim Teor &amp; Comp, Cordoba, Argentina; [Visintin, A.] Univ Nacl Plata, Fac Ciencias Exactas, Inst Invest Fisicoquim Teor &amp; Aplicadas INIFTA, CCT La Plata CONICET, La Plata, Argentina; [Ein-Eli, Y.] Technion Israel Inst Technol, Dept Mat Sci &amp; Engn, IL-3200003 Haifa, Israel; [Ein-Eli, Y.] Technion Israel Inst Technol, Grand Technion Energy Program GTEP, IL-3200003 Haifa, Israel</t>
  </si>
  <si>
    <t>Consejo Nacional de Investigaciones Cientificas y Tecnicas (CONICET); National University of Cordoba; National University of Cordoba; Consejo Nacional de Investigaciones Cientificas y Tecnicas (CONICET); National University of La Plata; INIFTA; Technion Israel Institute of Technology; Technion Israel Institute of Technology</t>
  </si>
  <si>
    <t>Gavilan-Arriazu, EM (corresponding author), Univ Nacl Cordoba, IFEG CONICET, Fac Matemat Astron Fis &amp; Comp, Cordoba, Argentina.;Gavilan-Arriazu, EM; Leiva, EPM (corresponding author), Univ Nacl Cordoba, INFIQC, Fac Ciencias Quim, Dept Quim Teor &amp; Comp, Cordoba, Argentina.</t>
  </si>
  <si>
    <t>maxigavilan@hotmail.com; ezequiel.leiva@unc.edu.ar</t>
  </si>
  <si>
    <t>First Argentine -Israeli Scientific Research Program (MINCyT-MOST), Project MAHIR; CONICET; FONCYT [PICT-2020-SERIEA-00707, PUE/2017]; PIP CONICET [2020-SERIEA-03689]; CONICET [1220200101189CO]; SECyT of the Universidad Nacional de Cordoba; CCAD-UNC and GPGPU Computing Group; Y-TEC; IPAC grant from SNCAD-MinCyT, Argentina; INREP (Israel National Research for Electrochemical propulsion); GTEP (Grand Technion Energy Program)</t>
  </si>
  <si>
    <t>First Argentine -Israeli Scientific Research Program (MINCyT-MOST), Project MAHIR; CONICET(Consejo Nacional de Investigaciones Cientificas y Tecnicas (CONICET)); FONCYT(FONCyT); PIP CONICET(Consejo Nacional de Investigaciones Cientificas y Tecnicas (CONICET)); CONICET(Consejo Nacional de Investigaciones Cientificas y Tecnicas (CONICET)); SECyT of the Universidad Nacional de Cordoba(Secretaria de Ciencia y Tecnologia (SECYT)); CCAD-UNC and GPGPU Computing Group; Y-TEC; IPAC grant from SNCAD-MinCyT, Argentina; INREP (Israel National Research for Electrochemical propulsion); GTEP (Grand Technion Energy Program)</t>
  </si>
  <si>
    <t>The authors acknowledge financial support from the First Argentine -Israeli Scientific Research Program (MINCyT-MOST), Project MAHIR. F. Fernandez thanks CONICET for a PhD fellowship. E.M. Gavilan-Arriazu acknowledges grant FONCYT PICT-2020-SERIEA-00707. E.P.M. Leiva acknowledges grants PIP CONICET 1220200101189CO, PUE/2017 CONICET, FONCYT 2020-SERIEA-03689 and SECyT of the Universidad Nacional de Cordoba. Support by CCAD-UNC and GPGPU Computing Group, Y-TEC, and an IPAC grant from SNCAD-MinCyT, Argentina, are also gratefully acknowledged. Y. Ein-Eli acknowledges the support from INREP (Israel National Research for Electrochemical propulsion) and GTEP (Grand Technion Energy Program).</t>
  </si>
  <si>
    <t>10.1016/j.electacta.2023.142951</t>
  </si>
  <si>
    <t>P6LO6</t>
  </si>
  <si>
    <t>WOS:001051773700001</t>
  </si>
  <si>
    <t>Fernandez, V</t>
  </si>
  <si>
    <t>Fernandez, Viviana</t>
  </si>
  <si>
    <t>Family entrepreneurship around the world</t>
  </si>
  <si>
    <t>Family entrepreneurship; Innovation; Internationalization; Exiting</t>
  </si>
  <si>
    <t>SOCIOEMOTIONAL WEALTH; CONTROLLED FIRMS; BUSINESSES; OWNERSHIP</t>
  </si>
  <si>
    <t>In many countries of the world, families participate in most activities of emerging and mature companies. For example, established business owners may co-own and/or co-manage their businesses with family members. The purpose of this study is to model entrepreneurial formation, innovation and growth, and the exit and continuity of businesses where family members participate in ownership, management, and labor. Based on a sample of over 28,000 businesses across 49 countries, I conclude the following. First, young family businesses tend to be sole proprietorships, domestically-oriented, focused on niche activities, and small. Second, international family businesses may be less innovative in products and markets than international non-family businesses. However, both types of businesses show a similar propensity to adopt new technologies. Third, a sequential model for business decisions shows that family involvement may accelerate future business creation and early start-up stages. However, family participation in ownership and labor may decrease the chances of transitioning from a nascent to a young business. Fourth, internationalization, future business prospects, and family involvement may make business operations more likely to continue after exiting.</t>
  </si>
  <si>
    <t>[Fernandez, Viviana] Univ Adolfo Ibanez UAI, Business Sch, Ave Diagonal Torres 2700,Off 512-C, Santiago, Chile</t>
  </si>
  <si>
    <t>Fernandez, V (corresponding author), Univ Adolfo Ibanez UAI, Business Sch, Ave Diagonal Torres 2700,Off 512-C, Santiago, Chile.</t>
  </si>
  <si>
    <t>viviana.fernandez@uai.cl</t>
  </si>
  <si>
    <t>Fernandez, Viviana/HSE-4822-2023</t>
  </si>
  <si>
    <t>Fernandez, Viviana/0000-0003-4726-2174</t>
  </si>
  <si>
    <t>Programa de Apoyo a la Investigacion (PAI); Universidad Adolfo Ibanez</t>
  </si>
  <si>
    <t>Financial support provided by Programa de Apoyo a la Investigacion (PAI) 2023, Universidad Adolfo Ibanez, is greatly acknowledged.</t>
  </si>
  <si>
    <t>10.1016/j.irfa.2023.102808</t>
  </si>
  <si>
    <t>P2UW9</t>
  </si>
  <si>
    <t>WOS:001049251900001</t>
  </si>
  <si>
    <t>Ferrao, LFV; Dhakal, R; Dias, R; Tieman, D; Whitaker, V; Gore, MA; Messina, C; Resende, MFRR</t>
  </si>
  <si>
    <t>Ferrao, Lufs Felipe, V; Dhakal, Rakshya; Dias, Raquel; Tieman, Denise; Whitaker, Vance; Gore, Michael A.; Messina, Carlos; Resende Jr, Marcio F. R.</t>
  </si>
  <si>
    <t>Machine learning applications to improve flavor and nutritional content of horticultural crops through breeding and genetics</t>
  </si>
  <si>
    <t>CURRENT OPINION IN BIOTECHNOLOGY</t>
  </si>
  <si>
    <t>METABOLIC FLUX ANALYSIS; ARTIFICIAL-INTELLIGENCE; NATURAL VARIATION; PLANT-SCIENCE; FRUIT; VEGETABLES; MECHANISM; ROADMAP; TRAITS; GENES</t>
  </si>
  <si>
    <t>Over the last decades, significant strides were made in understanding the biochemical factors influencing the nutritional content and flavor profile of fruits and vegetables. Product differentiation in the produce aisle is the natural consequence of increasing consumer power in the food industry. Cotton-candy grapes, specialty tomatoes, and pineapple-flavored white strawberries provide a few examples. Given the increased demand for flavorful varieties, and pressing need to reduce micronutrient malnutrition, we expect breeding to increase its prioritization toward these traits. Reaching this goal will, in part, necessitate knowledge of the genetic architecture controlling these traits, as well as the development of breeding methods that maximize their genetic gain. Can artificial intelligence (AI) help predict flavor preferences, and can such insights be leveraged by breeding programs? In this Perspective, we outline both the opportunities and challenges for the development of more flavorful and nutritious crops, and how AI can support these breeding initiatives.</t>
  </si>
  <si>
    <t>[Ferrao, Lufs Felipe, V; Tieman, Denise; Whitaker, Vance; Messina, Carlos; Resende Jr, Marcio F. R.] Univ Florida, Hort Sci Dept, Gainesville, FL 32611 USA; [Dhakal, Rakshya; Whitaker, Vance; Messina, Carlos; Resende Jr, Marcio F. R.] Univ Florida, Plant Breeding Grad Program, Gainesville, FL 32611 USA; [Dias, Raquel] Univ Florida, Microbiol &amp; Cell Sci Dept, Gainesville, FL USA; [Gore, Michael A.] Cornell Univ, Sch Integrat Plant Sci, Plant Breeding &amp; Genet Sect, Ithaca, NY USA</t>
  </si>
  <si>
    <t>State University System of Florida; University of Florida; State University System of Florida; University of Florida; State University System of Florida; University of Florida; Cornell University</t>
  </si>
  <si>
    <t>Resende, MFRR (corresponding author), Univ Florida, Hort Sci Dept, Gainesville, FL 32611 USA.;Resende, MFRR (corresponding author), Univ Florida, Plant Breeding Grad Program, Gainesville, FL 32611 USA.</t>
  </si>
  <si>
    <t>mresende@ufl.ed</t>
  </si>
  <si>
    <t>Gore, Michael/0000-0001-6896-8024; Messina, Carlos/0000-0002-5501-9281</t>
  </si>
  <si>
    <t>0958-1669</t>
  </si>
  <si>
    <t>1879-0429</t>
  </si>
  <si>
    <t>CURR OPIN BIOTECH</t>
  </si>
  <si>
    <t>Curr. Opin. Biotechnol.</t>
  </si>
  <si>
    <t>10.1016/j.copbio.2023.102968</t>
  </si>
  <si>
    <t>Q0IP1</t>
  </si>
  <si>
    <t>WOS:001054435400001</t>
  </si>
  <si>
    <t>Fong, KY; Ong, JHW; Chan, YH; Yap, J; Ho, KW; Aslim, EJ; Ng, LG; Gan, VHL; Lim, EJ</t>
  </si>
  <si>
    <t>Fong, Khi Yung; Ong, Julene Hui Wun; Chan, Yiong Huak; Yap, Jonathan; Ho, Kay Woon; Aslim, Edwin Jonathan; Ng, Lay Guat; Gan, Valerie Huei Li; Lim, Ee Jean</t>
  </si>
  <si>
    <t>A Systematic Review and Meta-Analysis of Transcatheter Versus Surgical Aortic Valve Replacement in Kidney Transplant Patients</t>
  </si>
  <si>
    <t>[Fong, Khi Yung] Natl Univ Singapore, Yong Loo Lin Sch Med, Singapore, Singapore; [Ong, Julene Hui Wun; Aslim, Edwin Jonathan; Ng, Lay Guat; Gan, Valerie Huei Li; Lim, Ee Jean] Singapore Gen Hosp, Dept Urol, Singapore, Singapore; [Chan, Yiong Huak] Natl Univ Singapore, Yong Loo Lin Sch Med, Biostat Unit, Singapore, Singapore; [Yap, Jonathan; Ho, Kay Woon] Natl Heart Ctr Singapore, Dept Cardiol, Singapore, Singapore; [Gan, Valerie Huei Li] SingHealth Duke NUS Transplant Ctr, Singapore, Singapore</t>
  </si>
  <si>
    <t>National University of Singapore; Singapore General Hospital; National University of Singapore; National Heart Centre Singapore</t>
  </si>
  <si>
    <t>Lim, EJ (corresponding author), Singapore Gen Hosp, Dept Urol, Singapore, Singapore.</t>
  </si>
  <si>
    <t>eejeanlim@gmail.com</t>
  </si>
  <si>
    <t>Fong, Khi Yung/0000-0001-8194-0800; Lim, Ee Jean/0000-0002-5242-0651</t>
  </si>
  <si>
    <t>10.1016/j.amjcard.2023.07.033</t>
  </si>
  <si>
    <t>P6YJ0</t>
  </si>
  <si>
    <t>WOS:001052107000001</t>
  </si>
  <si>
    <t>Franca, RLS; Silva, FC; Costa, FB; Strunz, K; Rajapakse, AD</t>
  </si>
  <si>
    <t>Franca, Rafael L. S.; Silva Junior, Francisco C.; Costa, Flavio B.; Strunz, Kai; Rajapakse, Athula D.</t>
  </si>
  <si>
    <t>One-terminal traveling wave-based transmission line protection for LCC-HVDC systems</t>
  </si>
  <si>
    <t>Boundary protection; LCC-HVDC transmission line protection; One-terminal protection; Traveling waves</t>
  </si>
  <si>
    <t>SCHEME</t>
  </si>
  <si>
    <t>This paper proposes a one-terminal traveling wave (TW)-based transmission line protection for line commu-tated converter (LCC) of high-voltage direct current (HVDC) systems. The method requires the first and second wavefronts to reach the local bus and considers the boundary conditions of the system. A detailed mathematical analysis of the sampling frequency effects, as the basis for a number of innovations of practical interest, is presented here. Firstly, a definition of a minimum sampling frequency is formulated. This is crucial when dealing with the high sampling frequencies traditionally needed by TW-based methods. Secondly, mathematical expressions of protected, unprotected, and uncertainty zones on the transmission line are defined. Thanks to these calculations, the method is also capable of distinguishing faults at the line terminals from faults on the protected transmission line. Thirdly, the non-requirement for the TW propagation speed estimation is proven. Some TW-based protection elements require knowledge of the TW propagation speed, which is a source of errors. The proposed function presented good dependability and was able to operate below 15 ms for a transmission line of 2900 km in length.</t>
  </si>
  <si>
    <t>[Franca, Rafael L. S.; Silva Junior, Francisco C.] Fed Univ Rio Grande Norte UFRN, Natal, Brazil; [Costa, Flavio B.] Michigan Technol Univ, Houghton, MI USA; [Strunz, Kai] Tech Univ Berlin TUB, Berlin, Germany; [Rajapakse, Athula D.] Univ Manitoba, Winnipeg, MB, Canada</t>
  </si>
  <si>
    <t>Universidade Federal do Rio Grande do Norte; Michigan Technological University; University of Manitoba</t>
  </si>
  <si>
    <t>Franca, RLS (corresponding author), Fed Univ Rio Grande Norte UFRN, Natal, Brazil.</t>
  </si>
  <si>
    <t>rafaellucas03@gmail.com</t>
  </si>
  <si>
    <t>Coordenacao de Aperfeicoamento de Pessoal de Nivel Superior-Brasil (CAPES) [001]; Conselho Nacional de Desenvolvimento Cientifico e Tecnologico-Brasil (CNPq)</t>
  </si>
  <si>
    <t>Coordenacao de Aperfeicoamento de Pessoal de Nivel Superior-Brasil (CAPES)(Coordenacao de Aperfeicoamento de Pessoal de Nivel Superior (CAPES)); Conselho Nacional de Desenvolvimento Cientifico e Tecnologico-Brasil (CNPq)(Conselho Nacional de Desenvolvimento Cientifico e Tecnologico (CNPQ))</t>
  </si>
  <si>
    <t>This study was financed in part by the Coordenacao de Aperfeicoamento de Pessoal de Nivel Superior-Brasil (CAPES) -Finance Code 001, and by the Conselho Nacional de Desenvolvimento Cientifico e Tecnologico-Brasil (CNPq) .</t>
  </si>
  <si>
    <t>10.1016/j.epsr.2023.109650</t>
  </si>
  <si>
    <t>O4IZ5</t>
  </si>
  <si>
    <t>WOS:001043481000001</t>
  </si>
  <si>
    <t>Friman, M; Aurela, M; Saarnio, K; Teinila, K; Kesti, J; Harni, SD; Saarikoski, S; Hyvarinen, A; Timonen, H</t>
  </si>
  <si>
    <t>Friman, Milla; Aurela, Minna; Saarnio, Karri; Teinila, Kimmo; Kesti, Jutta; Harni, Sami D.; Saarikoski, Sanna; Hyvarinen, Antti; Timonen, Hilkka</t>
  </si>
  <si>
    <t>Long-term characterization of organic and elemental carbon at three different background areas in northern Europe</t>
  </si>
  <si>
    <t>ATMOSPHERIC ENVIRONMENT</t>
  </si>
  <si>
    <t>Elemental carbon; Organic carbon; Background area; Long-term measurements</t>
  </si>
  <si>
    <t>HELSINKI METROPOLITAN-AREA; FINE PARTICULATE MATTER; BLACK CARBON; SOURCE APPORTIONMENT; AIR-POLLUTION; AEROSOL; TRENDS; URBAN; PM2.5; VARIABILITY</t>
  </si>
  <si>
    <t>Elemental carbon (EC) and organic carbon (OC) are major components of atmospheric PM2.5. In this article we represent the results of long-term measurements (8-12 years) of EC and OC at three different background sites in Finland: in a rural area (Virolahti) since the summer 2010, in a marine environment (Uto &amp; BULL;) since the summer 2011, and in a clean arctic environment (Pallas/Matorova) since 2014. The concentrations of OC and EC were measured with a semi-continuous organic and elemental carbon analyser (SC-OCEC) in all the sites. The yearly average concentrations of OC varied between 0.96-3.1, 0.76-1.6 and 0.30-0.69 &amp; mu;g m  3 at the rural (Virolahti), marine (Uto &amp; BULL;) and arctic (Pallas/Matorova) sites, respectively. Similarly, the corresponding yearly average concentrations of EC ranged between 0.095-0.48, 0.090-0.2 and 0.010-0.086 &amp; mu;g m  3 at those sites. A clear seasonal variation in OC and EC concentrations was observed at each measurement site. OC concentrations were highest during summertime whereas EC concentrations were highest in wintertime. The seasonality of OC was clearest at the Arctic site that had also the largest temperature variation and shortest growing season resulting in a sharp increase in OC concentrations from June to August. At all the measurement sites, OC concentrations gradually increased when the temperature rose over sub-zero temperatures whereas the daily average EC concentrations did not show as apparent temperature dependence as OC. Based on the cluster analysis, highest OC and EC concentrations, and the highest total load for EC (23-32%), at all the sites were detected with the air mass origin of southeast. In the marine environment, the effect of black carbon from ship plumes was investigated. The limit for ship fuel sulfur content changed during the measurement period (in January 2015), but it was not observed to influence the Optical EC concentrations. Overall, long-term, continuous measurements are crucial when the time trends in air quality and the effect of emission mitigation actions are investigated. In this study, a slight decrease in OC was observed at the Marine site, however, a decrease for EC was seen both at the rural and marine sites suggesting that the emission mitigation actions like EURO limits for light vehicles or improved after-treatment systems developed for industry and energy production have already decreased the background concentrations in rural areas.</t>
  </si>
  <si>
    <t>[Friman, Milla; Aurela, Minna; Saarnio, Karri; Teinila, Kimmo; Kesti, Jutta; Harni, Sami D.; Saarikoski, Sanna; Hyvarinen, Antti; Timonen, Hilkka] Finnish Meteorol Inst, Atmospher Composit Res, Helsinki 00560, Finland; [Timonen, Hilkka] Tampere Univ, Aerosol Phys Lab, Tampere 33100, Finland; [Timonen, Hilkka] POB 503, Helsinki 00101, Finland</t>
  </si>
  <si>
    <t>Finnish Meteorological Institute; Tampere University</t>
  </si>
  <si>
    <t>Timonen, H (corresponding author), POB 503, Helsinki 00101, Finland.</t>
  </si>
  <si>
    <t>hilkka.timonen@fmi.fi</t>
  </si>
  <si>
    <t>; Timonen, Hilkka/M-8141-2014</t>
  </si>
  <si>
    <t>Aurela, Minna/0000-0001-7561-2974; Timonen, Hilkka/0000-0002-7987-7985</t>
  </si>
  <si>
    <t>European Research Infrastructure for the observation of Aerosol, Clouds, and Trace Gases (ACTRIS), under the European Union's Horizon 2020 research and innovation programme [101036245]; Jane and Aatos Erkko Foundation via PoC funding; Academy of Finland [341271]; Business Finland [528/31/2019]; European Union's Horizon 2020 Programme Research and Innovation action [814893]; Academy of Finland Flagship funding for Atmosphere and Climate Competence Center, ACCC [337552]; Urban Air Quality 2.0 project - Technology Industries of Finland Centennial Foundation</t>
  </si>
  <si>
    <t>European Research Infrastructure for the observation of Aerosol, Clouds, and Trace Gases (ACTRIS), under the European Union's Horizon 2020 research and innovation programme; Jane and Aatos Erkko Foundation via PoC funding; Academy of Finland(Research Council of Finland); Business Finland; European Union's Horizon 2020 Programme Research and Innovation action; Academy of Finland Flagship funding for Atmosphere and Climate Competence Center, ACCC; Urban Air Quality 2.0 project - Technology Industries of Finland Centennial Foundation</t>
  </si>
  <si>
    <t>This work was financed by the European Research Infrastructure for the observation of Aerosol, Clouds, and Trace Gases (ACTRIS) , under the European Union's Horizon 2020 research and innovation programme, Grant agreement No 101036245 project RI-URBANS (Research Infrastructures Services Reinforcing Air Quality Monitoring Capacities in European Urban &amp; amp; Industrial AreaS, Jane and Aatos Erkko Foundation via PoC funding, Urban Air Quality 2.0 project funded by Technology Industries of Finland Centennial Foundation, the Academy of Finland via the project Black and Brown Carbon in the Atmosphere and the Cryo-sphere (BBrCAC) (nr. 341271) , Business Finland and participating municipalities and companies via Black Carbon Footprint project (528/31/2019) , and from the European Union's Horizon 2020 Programme Research and Innovation action under grant agreement No 814893, SCIPPER. Support from Academy of Finland Flagship funding for Atmosphere and Climate Competence Center, ACCC (grant no. 337552) is gratefully acknowledged.</t>
  </si>
  <si>
    <t>1352-2310</t>
  </si>
  <si>
    <t>1873-2844</t>
  </si>
  <si>
    <t>ATMOS ENVIRON</t>
  </si>
  <si>
    <t>Atmos. Environ.</t>
  </si>
  <si>
    <t>10.1016/j.atmosenv.2023.119953</t>
  </si>
  <si>
    <t>Environmental Sciences; Meteorology &amp; Atmospheric Sciences</t>
  </si>
  <si>
    <t>Environmental Sciences &amp; Ecology; Meteorology &amp; Atmospheric Sciences</t>
  </si>
  <si>
    <t>P2KB3</t>
  </si>
  <si>
    <t>WOS:001048968700001</t>
  </si>
  <si>
    <t>Fu, MJ; Chai, B; Zhang, XH; Sun, Y; Fan, GZ; Song, GS</t>
  </si>
  <si>
    <t>Fu, Manjun; Chai, Bo; Zhang, Xiaohu; Sun, Ya; Fan, Guozhi; Song, Guangsen</t>
  </si>
  <si>
    <t>Nitrogen self-doped chitosan carbon aerogel integrating with CoAl-LDH for ultra-efficient sulfamethoxazole degradation based on PS-AOPs: From batch to continuous process</t>
  </si>
  <si>
    <t>PS-AOPs; NCCA; CoAl-LDH catalyst; Non-radical and radical; Degradation pathways</t>
  </si>
  <si>
    <t>HETEROGENEOUS ACTIVATION; PEROXYMONOSULFATE; REDUCTION; OXIDATION; OXYGEN</t>
  </si>
  <si>
    <t>Nitrogen self-doped chitosan carbon aerogel (NCCA) integrating with CoAl layered double hydroxide (CoAl-LDH) was successfully fabricated and utilized for the ultra-efficient activation of peroxymonosulfate (PMS) toward sulfamethoxazole (SMX) degradation. And the NCCA/CoAl-LDH-2 catalyst possessed the highest catalytic activity with 97.5% of SMX degradation efficiency in 5 min and 74.8% of total organic carbon (TOC) removal efficiency in 30 min, may being on account of the synergistic interaction between NCCA and CoAl-LDH. Additionally, the NCCA/CoAl-LDH-2 catalyst not only had good reusability and stability, but also could realize continuous degradation of SMX solutions via a fixed-bed reactor. Furthermore, the results of quenching tests, electrochemical measurements as well as electron paramagnetic resonance (EPR) analysis demonstrated that both non-radical and radical processes participated in the SMX degradation, in which the latter played a predominant role. X-ray photoelectron spectroscopy (XPS) corroborated that the main active sites were the C--O groups and graphitic N of NCCA, and the Co3+/Co2+ redox cycle of CoAl-LDH. High-performance liquid chromatography-mass spectrometry (HPLC-MS) analysis and density functional theory (DFT) calculation containing the laplacian bond order (LBO) and Fukui index were carried out to deeply explore the reasonable SMX degradation pathways. This current study provided a theoretical basis to design an efficient PMS activation system toward continuous antibiotics degradation.</t>
  </si>
  <si>
    <t>[Fu, Manjun; Chai, Bo; Sun, Ya; Fan, Guozhi; Song, Guangsen] Wuhan Polytech Univ, Sch Chem &amp; Environm Engn, Wuhan 430023, Peoples R China; [Zhang, Xiaohu] Huazhong Agr Univ, Coll Sci, Wuhan 430070, Peoples R China</t>
  </si>
  <si>
    <t>Wuhan Polytechnic University; Huazhong Agricultural University</t>
  </si>
  <si>
    <t>Chai, B (corresponding author), Wuhan Polytech Univ, Sch Chem &amp; Environm Engn, Wuhan 430023, Peoples R China.</t>
  </si>
  <si>
    <t>willycb@163.com</t>
  </si>
  <si>
    <t>Natural Science Foundation of Hubei Province [2021CFB560]</t>
  </si>
  <si>
    <t>Natural Science Foundation of Hubei Province(Natural Science Foundation of Hubei Province)</t>
  </si>
  <si>
    <t>This work is supported by Natural Science Foundation of Hubei Province (No. 2021CFB560) .</t>
  </si>
  <si>
    <t>10.1016/j.jece.2023.110650</t>
  </si>
  <si>
    <t>P3FV2</t>
  </si>
  <si>
    <t>WOS:001049541600001</t>
  </si>
  <si>
    <t>Furtado, LFV; de Miranda, RRC; Tennessen, JA; Blouin, MS; Rabelo, EML</t>
  </si>
  <si>
    <t>Furtado, Luis Fernando Viana; de Miranda, Rodrigo Rodrigues Cambraia; Tennessen, Jacob Adam; Blouin, Michael Scott; Rabelo, Elida Mara Leite</t>
  </si>
  <si>
    <t>Molecular variability of the Ancylostoma secreted Protein-2 (Aca-asp-2) gene from Ancylostoma caninum contributes to expand information on population genetic studies of hookworms</t>
  </si>
  <si>
    <t>EXPERIMENTAL PARASITOLOGY</t>
  </si>
  <si>
    <t>Molecular epidemiology; Population genetics; Ancylostoma caninum; Hookworm; Ancylostoma secreted protein-2; Helminth</t>
  </si>
  <si>
    <t>LINKAGE DISEQUILIBRIUM; INFECTION; VACCINE; NA-ASP-2; CLONING; DIVERSITY; SOFTWARE; ASP-2</t>
  </si>
  <si>
    <t>Hookworm infection is a major public health problem in many regions of the world. Given the high levels of host morbidity and even mortality of the host caused by these infections, it is crucial to understand the genetic structure of hookworm populations. This understanding can provide insights into the ecology, transmission patterns, mechanisms of drug resistance, and the development of vaccines and immunotherapeutic strategies. Previously, we examined presumably neutral molecular markers, such as microsatellites and COI (Cytochrome C oxidase subunit 1) in Brazilian populations of Ancylostoma caninum. Here we analyze the molecular variability of a genomic fragment of the Aca-asp-2 (Ancylostoma secreted protein-2) gene from Ancylostoma caninum. This gene is a highly expressed and activated following the infection of the L3 larvae in the host. We obtained individuals of A. caninum from five different geographic locations in Brazil, sequenced and analyzed parts of the gene. The results revealed extensive polymorphism at this fragment, especially in the intronic region, indicating low selective pressure acting on these sequences. However, we also observed irregular distributions of nucleotides and polymorphisms in the coding region of this gene, resulting in the identification of 27 alleles. The data presented here contribute to expanding the understanding of population genetic studies of hookworms.</t>
  </si>
  <si>
    <t>[Furtado, Luis Fernando Viana] Univ Fed Minas Gerais, Fac Farm, Dept Anal Clin &amp; Toxicol, Ave Presidente Antonio Carlos 6627, BR-31270901 Belo Horizonte, MG, Brazil; [de Miranda, Rodrigo Rodrigues Cambraia] Univ Fed Uberlandia, Inst Ciencias Biomed, Ave Maranhao 1783, BR-38405318 Uberlandia, MG, Brazil; [Tennessen, Jacob Adam; Blouin, Michael Scott] Oregon State Univ, Dept Integrat Biol, Corvallis, OR USA; [Rabelo, Elida Mara Leite] Univ Fed Minas Gerais, Dept Parasitol, Inst Ciencias Biol, Ave Presidente Antonio Carlos 6627, BR-31270901 Belo Horizonte, MG, Brazil</t>
  </si>
  <si>
    <t>Universidade Federal de Minas Gerais; Universidade Federal de Uberlandia; Oregon State University; Universidade Federal de Minas Gerais</t>
  </si>
  <si>
    <t>Furtado, LFV (corresponding author), Univ Fed Minas Gerais, Fac Farm, Dept Anal Clin &amp; Toxicol, Ave Presidente Antonio Carlos 6627, BR-31270901 Belo Horizonte, MG, Brazil.</t>
  </si>
  <si>
    <t>lfvfurtado@ufmg.br</t>
  </si>
  <si>
    <t>FURTADO, LUIS FERNANDO VIANA/0000-0002-5384-8959</t>
  </si>
  <si>
    <t>Fundacao de Amparo a Pesquisa do Estado de Minas Gerais - FAPEMIG [APQ-02273-21, APQ-01289-21]</t>
  </si>
  <si>
    <t>Fundacao de Amparo a Pesquisa do Estado de Minas Gerais - FAPEMIG(Fundacao de Amparo a Pesquisa do Estado de Minas Gerais (FAPEMIG)Fundacao de Amparo a Pesquisa e Inovacao do Estado de Santa Catarina (FAPESC))</t>
  </si>
  <si>
    <t>This work was supported by the Fundacao de Amparo a Pesquisa do Estado de Minas Gerais - FAPEMIG [grant number APQ-01289-21 and APQ-02273-21] .</t>
  </si>
  <si>
    <t>0014-4894</t>
  </si>
  <si>
    <t>1090-2449</t>
  </si>
  <si>
    <t>EXP PARASITOL</t>
  </si>
  <si>
    <t>Exp. Parasitol.</t>
  </si>
  <si>
    <t>10.1016/j.exppara.2023.108590</t>
  </si>
  <si>
    <t>Q7SM5</t>
  </si>
  <si>
    <t>WOS:001059485200001</t>
  </si>
  <si>
    <t>Futaki, M; Sanda, F</t>
  </si>
  <si>
    <t>Futaki, Masahiro; Sanda, Fumihiko</t>
  </si>
  <si>
    <t>Equivariant homological mirror symmetry for C and CP1</t>
  </si>
  <si>
    <t>JOURNAL OF GEOMETRY AND PHYSICS</t>
  </si>
  <si>
    <t>Homological mirror symmetry; Fukaya category; Landau-Ginzburg model; Matrix factorization; Equivariant Floer cohomology; Cartan model</t>
  </si>
  <si>
    <t>LAGRANGIAN FLOER THEORY; TORUS FIBERS; COHOMOLOGY; CATEGORIES</t>
  </si>
  <si>
    <t>In this paper we define an equivariant Floer A &amp; INFIN; algebra for C and CP1 by using Cartan model. We then prove an equivariant homological mirror symmetry, i.e. an equivalence between an A &amp; INFIN; category of equivariant Lagrangian branes and the category of matrix factorizations of Givental's equivariant Landau-Ginzburg potential function.&amp; COPY; 2023 Elsevier B.V. All rights reserved.</t>
  </si>
  <si>
    <t>[Futaki, Masahiro] Chiba Univ, Grad Sch Sci, Dept Math &amp; Informat, 1-33, Yayoicho,Inage Ku, Chiba, Chiba 2638522, Japan; [Sanda, Fumihiko] Gakushuin Univ, Fac Sci, Dept Math, 1-5-1,Mejiro, Toshima, Tokyo 1718588, Japan</t>
  </si>
  <si>
    <t>Chiba University; Gakushuin University</t>
  </si>
  <si>
    <t>Futaki, M (corresponding author), Chiba Univ, Grad Sch Sci, Dept Math &amp; Informat, 1-33, Yayoicho,Inage Ku, Chiba, Chiba 2638522, Japan.</t>
  </si>
  <si>
    <t>futaki@math.s.chiba-u.ac.jp; fumihiko.sanda@gakushuin.ac.jp</t>
  </si>
  <si>
    <t>Japan Society for the Promotion of Science [18K03269, 22K03282, 17K17817, 16H06337, 21H04994]</t>
  </si>
  <si>
    <t>M.F. is supported by Grant-in-Aid for Scientific Research (C) (18K03269), (C) (22K03282) of the Japan Society for the Promotion of Science. F.S. is partially supported by Grant-in-Aid for Scientific Research (B) (17K17817), (S) (16H06337), (S) (21H04994) of the Japan Society for the Promotion of Science.&amp; nbsp;</t>
  </si>
  <si>
    <t>0393-0440</t>
  </si>
  <si>
    <t>1879-1662</t>
  </si>
  <si>
    <t>J GEOM PHYS</t>
  </si>
  <si>
    <t>J. Geom. Phys.</t>
  </si>
  <si>
    <t>10.1016/j.geomphys.2023.104929</t>
  </si>
  <si>
    <t>Mathematics, Applied; Mathematics; Physics, Mathematical</t>
  </si>
  <si>
    <t>Mathematics; Physics</t>
  </si>
  <si>
    <t>P7TQ7</t>
  </si>
  <si>
    <t>WOS:001052665000001</t>
  </si>
  <si>
    <t>Ganjave, SD; O'Niel, RA; Wangikar, PP</t>
  </si>
  <si>
    <t>Ganjave, Snehal D.; O'Niel, Ruchika Annie; Wangikar, Pramod P.</t>
  </si>
  <si>
    <t>Rate of dilution and redox ratio influence the refolding efficiency of recombinant fungal dehydrogenases</t>
  </si>
  <si>
    <t>Enzyme refolding; Inclusion bodies; Cofactor recycling; Formate dehydrogenases; Alcohol dehydrogenase</t>
  </si>
  <si>
    <t>FORMATE DEHYDROGENASE; ASYMMETRIC REDUCTION; PROTEIN; RENATURATION; LYSOZYME</t>
  </si>
  <si>
    <t>Dehydrogenases from fungi are attracting attention as industrial biocatalysts due to their high activity and chiral selectivity. However, these enzymes form insoluble aggregates when overexpressed in E. coli, limiting their industrial application. In the present study, we report the systematic development of a refolding process for selected, industrially relevant fungal dehydrogenases, viz., formate dehydrogenase from Candida boidinii (CbFDH) and formate and alcohol dehydrogenases from Geotrichum candium (GcFDH and GcADH, respectively). We first employed a screen to evaluate the effects of different variables on refolding including the buffer system, additives, and rate of dilution. The extent of refolding was determined by enzyme assays, circular dichroism, and tryptophan fluorescence. Our results showed that glycerol and reducing environment are essential for refolding of these dehydrogenases. Further, slow dilution of solubilized protein over 16 h dramatically improved the recovery of refolded enzymes compared to rapid dilution. The importance of slow dilution was further confirmed in a 10-fold scaled-up refolding trial. Overall, we demonstrate a robust method for refolding of fungal dehydrogenases, thus improving their availability for various biocatalytic applications.</t>
  </si>
  <si>
    <t>[Ganjave, Snehal D.; O'Niel, Ruchika Annie; Wangikar, Pramod P.] Indian Inst Technol, Dept Chem Engn, Mumbai 400076, India</t>
  </si>
  <si>
    <t>Wangikar, PP (corresponding author), Indian Inst Technol, Dept Chem Engn, Mumbai 400076, India.</t>
  </si>
  <si>
    <t>wangikar@iitb.ac.in</t>
  </si>
  <si>
    <t>Department of Science and Technology (DST) , Government of India; Wadhwani Research Centre for Bioengineering at the Indian Institute of Technology Bombay</t>
  </si>
  <si>
    <t>Department of Science and Technology (DST) , Government of India(Department of Science &amp; Technology (India)); Wadhwani Research Centre for Bioengineering at the Indian Institute of Technology Bombay</t>
  </si>
  <si>
    <t>Snehal Ganjave acknowledges the award of INSPIRE Fellowship by the Department of Science and Technology (DST) , Government of India. This work was partially supported by the Wadhwani Research Centre for Bioengineering at the Indian Institute of Technology Bombay. The authors would like to thank Avinash Sunder for useful suggestions.</t>
  </si>
  <si>
    <t>10.1016/j.ijbiomac.2023.126163</t>
  </si>
  <si>
    <t>Q9IG4</t>
  </si>
  <si>
    <t>WOS:001060575200001</t>
  </si>
  <si>
    <t>Gao, F; Li, P; Yin, Y; Du, XG; Cao, GS; Wu, S; Zhao, YF</t>
  </si>
  <si>
    <t>Gao, Fei; Li, Pan; Yin, Ye; Du, Xuguang; Cao, Gengsheng; Wu, Sen; Zhao, Yaofeng</t>
  </si>
  <si>
    <t>Molecular breeding of livestock for disease resistance</t>
  </si>
  <si>
    <t>VIROLOGY</t>
  </si>
  <si>
    <t>Molecular breeding; Livestock; Disease resistance; CRISPR/Cas9</t>
  </si>
  <si>
    <t>IN-VITRO INHIBITION; AMINOPEPTIDASE-N; RNA INTERFERENCE; PRION PROTEIN; CONFERS RESISTANCE; VIRUS-REPLICATION; KNOCKOUT PIGS; EDITED PIGS; GENE; INFECTION</t>
  </si>
  <si>
    <t>Animal infectious diseases pose a significant threat to the global agriculture and biomedicine industries, leading to significant economic losses and public health risks. The emergence and spread of viral infections such as African swine fever virus (ASFV), porcine reproductive and respiratory syndrome virus (PRRSV), porcine epidemic diarrhea virus (PEDV), and avian influenza virus (AIV) have highlighted the need for innovative approaches to develop resilient and disease-resistant animal populations. Gene editing technologies, such as CRISPR/Cas9, offer a promising avenue for generating animals with enhanced disease resistance. This review summarizes recent advances in molecular breeding strategies for generating disease-resistant animals, focusing on the development of disease-resistant livestock. We also highlight the potential applications of genome-wide CRISPR/Cas9 library screening and base editors in producing precise gene modified livestock for disease resistance in the future. Overall, gene editing technologies have the potential to revolutionize animal breeding and improve animal health and welfare.</t>
  </si>
  <si>
    <t>[Gao, Fei; Li, Pan; Yin, Ye; Du, Xuguang; Wu, Sen; Zhao, Yaofeng] China Agr Univ, Coll Biol Sci, Frontiers Sci Ctr Mol Design Breeding, Natl Engn Lab Anim Breeding,State Key Lab Anim Bio, Beijing, Peoples R China; [Li, Pan] China Agr Univ, Coll Vet Med, Beijing 100193, Peoples R China; [Gao, Fei; Du, Xuguang; Wu, Sen] Sanya Inst China Agr Univ, Sanya 572025, Peoples R China; [Cao, Gengsheng] Henan Univ, Henan Livestock Genome Editing &amp; Biobreeding Engn, Sch Life Sci, Kaifeng 475004, Peoples R China</t>
  </si>
  <si>
    <t>China Agricultural University; China Agricultural University; Henan University</t>
  </si>
  <si>
    <t>Wu, S; Zhao, YF (corresponding author), China Agr Univ, Coll Biol Sci, Frontiers Sci Ctr Mol Design Breeding, Natl Engn Lab Anim Breeding,State Key Lab Anim Bio, Beijing, Peoples R China.</t>
  </si>
  <si>
    <t>swu@cau.edu.cn; yaofengzhao@cau.edu.cn</t>
  </si>
  <si>
    <t>National Key Research and Development Program of China; 2020 Research Program of Sanya Yazhou Bay Science and Technology City [2021YFA0805900]; National Natural Science Foundation of China [202002011, 32002180]; Open Research of State Key Laboratory of Livestock and Poultry Breeding [32272839]; National Key Research and Development Program of China; 2020 Research Program of Sanya Yazhou Bay Science and Technology City [2021YFA0805900]; National Natural Science Foundation of China [202002011, 32002180]; Open Research of State Key Laboratory of Livestock and Poultry Breeding [32272839]; [2022GZ04]</t>
  </si>
  <si>
    <t>National Key Research and Development Program of China; 2020 Research Program of Sanya Yazhou Bay Science and Technology City; National Natural Science Foundation of China(National Natural Science Foundation of China (NSFC)); Open Research of State Key Laboratory of Livestock and Poultry Breeding; National Key Research and Development Program of China; 2020 Research Program of Sanya Yazhou Bay Science and Technology City; National Natural Science Foundation of China(National Natural Science Foundation of China (NSFC)); Open Research of State Key Laboratory of Livestock and Poultry Breeding;</t>
  </si>
  <si>
    <t>This work was supported by grants from The National Key Research and Development Program of China (Grant No. 2021YFA0805900), the 2020 Research Program of Sanya Yazhou Bay Science and Technology City (Grant No. 202002011), the National Natural Science Foundation of China (Grant No. 32002180), (Grant No. 32272839) and the Open Research of State Key Laboratory of Livestock and Poultry Breeding (Grant No.2022GZ04).</t>
  </si>
  <si>
    <t>0042-6822</t>
  </si>
  <si>
    <t>1089-862X</t>
  </si>
  <si>
    <t>Virology</t>
  </si>
  <si>
    <t>10.1016/j.virol.2023.109862</t>
  </si>
  <si>
    <t>S4UU9</t>
  </si>
  <si>
    <t>WOS:001071142800001</t>
  </si>
  <si>
    <t>Gasko, N; Kepes, T; Lung, RI; Suciu, M</t>
  </si>
  <si>
    <t>Gasko, Noemi; Kepes, Tamas; Lung, Rodica Ioana; Suciu, Mihai</t>
  </si>
  <si>
    <t>Identification of influential nodes with Shapley Influence Maximization Extremal Optimization algorithm</t>
  </si>
  <si>
    <t>APPLIED SOFT COMPUTING</t>
  </si>
  <si>
    <t>Influence maximization; Extremal optimization; Shapley value</t>
  </si>
  <si>
    <t>SOCIAL NETWORKS; DIFFUSION</t>
  </si>
  <si>
    <t>The Influence Maximization Problem is a challenging computational task with multiple real-world applications. A new approach to this problem based on cooperative game theory and optimization called the Shapley Influence Maximization Extremal Optimization approach is proposed. The influence maximization problem for the independent cascade model is considered as a cooperative game, where players seek to choose seeder nodes to maximize the size of the influence set of their cascade model by maximizing their average marginal contribution to all possible coalitions. Numerical experiments con-ducted on both synthetic and real-world networks and comparisons with state-of-the-art algorithms show the potential of the proposed approach. &amp; COPY; 2023 Elsevier B.V. All rights reserved.</t>
  </si>
  <si>
    <t>[Gasko, Noemi; Kepes, Tamas; Suciu, Mihai] Babes Bolyai Univ, Fac Math &amp; Comp Sci, str Kogalniceanu 1, Cluj-napoca 400084, Cluj, Romania; [Lung, Rodica Ioana; Suciu, Mihai] Babes Bolyai Univ, Ctr Study Complex, str Fantanele, 30, Cluj napoca 400535, Romania; [Suciu, Mihai] Babes Bolyai Univ, Fac Math &amp; Comp Sci, Str Kogalniceanu 1, Cluj Napoca 400084, Romania</t>
  </si>
  <si>
    <t>Babes Bolyai University from Cluj; Babes Bolyai University from Cluj; Babes Bolyai University from Cluj</t>
  </si>
  <si>
    <t>Suciu, M (corresponding author), Babes Bolyai Univ, Fac Math &amp; Comp Sci, Str Kogalniceanu 1, Cluj Napoca 400084, Romania.</t>
  </si>
  <si>
    <t>noemi.gasko@ubbcluj.ro; tamas.kepes@ubbcluj.ro; rodica.lung@econ.ubbcluj.ro; mihai.suciu@ubbcluj.ro</t>
  </si>
  <si>
    <t>Romanian National Authority for Scientific Research and Innovation; CNCS-UEFISCDI, Romania [PN-III-P1-1.1-TE-2019-1633]</t>
  </si>
  <si>
    <t>Romanian National Authority for Scientific Research and Innovation; CNCS-UEFISCDI, Romania(Consiliul National al Cercetarii Stiintifice (CNCS)Unitatea Executiva pentru Finantarea Invatamantului Superior, a Cercetarii, Dezvoltarii si Inovarii (UEFISCDI))</t>
  </si>
  <si>
    <t>This work was supported by a grant of the Romanian National Authority for Scientific Research and Innovation, CNCS-UEFISCDI, Romania, project number PN-III-P1-1.1-TE-2019-1633.</t>
  </si>
  <si>
    <t>1568-4946</t>
  </si>
  <si>
    <t>1872-9681</t>
  </si>
  <si>
    <t>APPL SOFT COMPUT</t>
  </si>
  <si>
    <t>Appl. Soft. Comput.</t>
  </si>
  <si>
    <t>10.1016/j.asoc.2023.110653</t>
  </si>
  <si>
    <t>Computer Science, Artificial Intelligence; Computer Science, Interdisciplinary Applications</t>
  </si>
  <si>
    <t>R1UJ7</t>
  </si>
  <si>
    <t>WOS:001062259000001</t>
  </si>
  <si>
    <t>Geng, KQ; Chai, JR; Qin, Y; Xu, ZG; Cao, J; Zhang, XW</t>
  </si>
  <si>
    <t>Geng, Kaiqiang; Chai, Junrui; Qin, Yuan; Xu, Zengguang; Cao, Jing; Zhang, Xianwei</t>
  </si>
  <si>
    <t>Material characteristics and pollutant diffusion simulation of cutoff walls made of alkali activated slag/bentonite</t>
  </si>
  <si>
    <t>DEVELOPMENTS IN THE BUILT ENVIRONMENT</t>
  </si>
  <si>
    <t>Cutoff wall; Cement-soil; Alkali activated slag; Bentonite; Two-dimensional; Breakthrough time</t>
  </si>
  <si>
    <t>BENTONITE; WATER; HYDRATION; LINERS</t>
  </si>
  <si>
    <t>To prevent heavy metal pollution, vertical cut-off walls made of cement soil are often used as barriers. This article developed a cementitious material with a low-carbon footprint (alkali activated slag) to replace cement. The performance of alkali activated slag soil and cement soil was comprehensively explored through unconfined compressive strength, hydraulic conductivity, Zn2+ adsorption, and chloride ion diffusion tests. And the micro pore structure and micro morphology characteristics of the cutoff wall were explored through nuclear magnetic resonance testing and scanning electron microscopy testing. Finally, considering the normal distribution of pollutants, the diffusion process of pollutants in the transition layer, cut-off wall and aquifer is simulated by using the COMSOL Multiphysics 5.6. Research has found that alkali activated slag soil meets the requirement of low permeability in the early stage of maintenance, making up for the shortcomings of cement soil maintenance in the early stage. After adding bentonite to alkali activated slag soil, it was found that the hydraulic conductivity and effective diffusion coefficient showed a decreasing trend, while the adsorption rate of Zn2+ was significantly increased. Due to the double layered structure of bentonite and the hinge of C-A-S-H generated by alkali activated slag, it promotes an increase in the proportion of small pores and the generation of free water with poor fluidity, thereby improving the blocking effect of the cut-off wall on pollutants. Through simulation results, it was found that the breakthrough time of alkali activated slag soil as a cutoff wall is 3.07 times that of cement soil. After adding 6% and 12% bentonite to the alkali activated slag soil, the breakthrough time of the cut-off wall increased by 1.74 times and 4.25 times, respectively.</t>
  </si>
  <si>
    <t>[Geng, Kaiqiang; Chai, Junrui; Qin, Yuan; Xu, Zengguang; Cao, Jing] Xian Univ Technol, State Key Lab Ecohydraul Northwest Arid Reg, Xian 710048, Peoples R China; [Zhang, Xianwei] Xian Bur Ecol &amp; Environm, Intelligent Environm Protect Integrated Command Ct, Xian 710018, Peoples R China</t>
  </si>
  <si>
    <t>Chai, JR (corresponding author), Xian Univ Technol, State Key Lab Ecohydraul Northwest Arid Reg, Xian 710048, Peoples R China.</t>
  </si>
  <si>
    <t>jrchai@xaut.edu.cn</t>
  </si>
  <si>
    <t>Zhang, Xianwei/AEO-3117-2022</t>
  </si>
  <si>
    <t>Zhang, Xianwei/0000-0002-0283-4493</t>
  </si>
  <si>
    <t>National Natural Science Foundation of China [52279139, 52079109, 2017JZ013]; Leader- ship Talent Project of Shaanxi Province High -Level Talents Special Support Program in Science and Technology Innovation [2017- TZ0097]; Natural Science Foundation of Shaanxi Province; Shaanxi Province High -Level Talents Special Support Program in Science and Technology Innovation; [51679197]; [2022TD-01]</t>
  </si>
  <si>
    <t>National Natural Science Foundation of China(National Natural Science Foundation of China (NSFC)); Leader- ship Talent Project of Shaanxi Province High -Level Talents Special Support Program in Science and Technology Innovation; Natural Science Foundation of Shaanxi Province(Natural Science Foundation of Shaanxi Province); Shaanxi Province High -Level Talents Special Support Program in Science and Technology Innovation; ;</t>
  </si>
  <si>
    <t>This study was financially supported by the National Natural Science Foundation of China (Nos. 51679197, 52279139, 52079109) . Program 2022TD-01 for Shaanxi Provincial Innovative Research Team, Leadership Talent Project of Shaanxi Province High -Level Talents Special Support Program in Science and Technology Innovation (Nos. 2017- TZ0097) and the Natural Science Foundation of Shaanxi Province (Nos. 2017JZ013) .</t>
  </si>
  <si>
    <t>2666-1659</t>
  </si>
  <si>
    <t>DEV BUILT ENVIRON</t>
  </si>
  <si>
    <t>Dev. Built Environ.</t>
  </si>
  <si>
    <t>10.1016/j.dibe.2023.100200</t>
  </si>
  <si>
    <t>Q0SE4</t>
  </si>
  <si>
    <t>WOS:001054692100001</t>
  </si>
  <si>
    <t>Ghajari, FA; Yousefpour, H</t>
  </si>
  <si>
    <t>Ghajari, Farjam Asghari; Yousefpour, Hossein</t>
  </si>
  <si>
    <t>Cyclic bond behavior in reinforced concrete flexural members exposed to elevated temperatures</t>
  </si>
  <si>
    <t>Elevated temperature; Post-fire residual performance; Bond; Load-slip behavior; Cyclic loading</t>
  </si>
  <si>
    <t>HIGH-STRENGTH CONCRETE</t>
  </si>
  <si>
    <t>After enduring fire incidents, many reinforced concrete (RC) structures require assessment of their ability to withstand future seismic loads. A critical factor contributing to seismic behavior of such structures is residual bond between steel and concrete under cyclic loading. This paper examines cyclic bond-slip behavior in RC flexural members that have experienced elevated temperatures. Twenty-six modified beam-end specimens with different diameters of longitudinal reinforcement, concrete strengths, and confinement levels were fabricated. The specimens were subjected to a variety of heating regimes and a natural cool down before loading of their longitudinal rebar in a monotonic or cyclic pattern. The decrease in bond strength after 2-hr exposure to tem-peratures of 400, 600, and 700 &amp; DEG;C were 23, 58, and 65 percent for monotonic loading but 30, 60, and 65 percent for cyclic loading, respectively. Elevated temperatures also caused a decrease in slope and area of hysteretic bond-slip loops. Cyclic bond strength was 25-45% less than monotonic bond strength and better correlated with the residual compressive strength of concrete, unlike monotonic bond strength, which was better correlated with the square root of this property. A model was proposed for backbone bond-slip curves of RC flexural members that are exposed to elevated temperatures.</t>
  </si>
  <si>
    <t>[Ghajari, Farjam Asghari; Yousefpour, Hossein] Babol Noshirvani Univ Technol, Fac Civil Engn, Babol, Iran</t>
  </si>
  <si>
    <t>Babol Noshirvani University of Technology</t>
  </si>
  <si>
    <t>Yousefpour, H (corresponding author), Babol Noshirvani Univ Technol, Fac Civil Engn, Babol, Iran.</t>
  </si>
  <si>
    <t>hyousefpour@nit.ac.ir</t>
  </si>
  <si>
    <t>Babol Noshirvani University of Technology [BNUT/396026/99]</t>
  </si>
  <si>
    <t>The work presented in this paper was partially funded through the Grant Number BNUT/396026/99 by Babol Noshirvani University of Technology. Thanks are also due to the Istaman Mehr Tabarestan Co. for donating the aggregates used for the fabrication of the specimens.</t>
  </si>
  <si>
    <t>10.1016/j.engstruct.2023.116520</t>
  </si>
  <si>
    <t>O7SK3</t>
  </si>
  <si>
    <t>WOS:001045763000001</t>
  </si>
  <si>
    <t>Ghasemi, A; Naser, MZ</t>
  </si>
  <si>
    <t>Ghasemi, Alireza; Naser, M. Z.</t>
  </si>
  <si>
    <t>Tailoring 3D printed concrete through explainable artificial intelligence</t>
  </si>
  <si>
    <t>3D concrete; Compressive strength; Machine learning; Database</t>
  </si>
  <si>
    <t>COMPRESSIVE STRENGTH; MECHANICAL PERFORMANCE; CEMENTITIOUS MATERIALS; FRESH PROPERTIES; MIX DESIGN; CONSTRUCTION; PREDICTION; PRINTABILITY; KNOWLEDGE; MIXTURES</t>
  </si>
  <si>
    <t>Advances on the construction front continue to rise as the next industrial revolution (Construction 4.0) nears. One promising front revolves around additively fabricated or simply 3D printed concrete. The growing number of ongoing parallel research programs has now made it possible to collect a large amount of data on such concrete as, up to this point, the open literature lacks a comprehensive database. Thus, this paper presents the largest database spanning over 300 experiments on 3D printed concrete. This database is then examined via multilinear regression as well as two explainable artificial intelligence (XAI) algorithms, namely, Random Forest and XGBoost, to arrive at a working model capable of predicting the compressive strength property for 3D concrete mixtures that incorporate the following seven features: age of specimens, as well as the magnitude of cement, water, fly ash, silica fume, fine aggregate, and superplasticizer. Findings from this work infer the superiority of XAI models in predicting the strength property of 3D printed concrete. Our analysis identifies two features, namely, the age of specimens and the quantity of fine aggregate, as the most important features that can accurately predict the compressive strength property. Finally, the deployed explainability methods successfully quantified the highly nonlinear relations between the selected features and compressive strength, and this newly acquired knowledge can help tailor functional concrete mixtures.</t>
  </si>
  <si>
    <t>[Ghasemi, Alireza; Naser, M. Z.] Clemson Univ, Sch Civil &amp; Environm Engn &amp; Earth Sci SCEEES, Clemson, SC 29634 USA; [Naser, M. Z.] Clemson Univ, AI Res Inst Sci &amp; Engn AIRISE, Clemson, SC 29634 USA; [Ghasemi, Alireza] West Virginia Univ, Dept Civil &amp; Environm Engn, Morgantown, WV USA</t>
  </si>
  <si>
    <t>Clemson University; Clemson University; West Virginia University</t>
  </si>
  <si>
    <t>Naser, MZ (corresponding author), Clemson Univ, Sch Civil &amp; Environm Engn &amp; Earth Sci SCEEES, Clemson, SC 29634 USA.;Naser, MZ (corresponding author), Clemson Univ, AI Res Inst Sci &amp; Engn AIRISE, Clemson, SC 29634 USA.</t>
  </si>
  <si>
    <t>ag00085@mix.wvu.edu; mznaser@clemson.edu</t>
  </si>
  <si>
    <t>ghasemi, Alireza/JFS-1916-2023; Naser, Mohannad Z./C-6635-2016</t>
  </si>
  <si>
    <t>Naser, Mohannad Z./0000-0003-1350-3654</t>
  </si>
  <si>
    <t>10.1016/j.istruc.2023.07.040</t>
  </si>
  <si>
    <t>O5TP2</t>
  </si>
  <si>
    <t>WOS:001044434800001</t>
  </si>
  <si>
    <t>Gokul, V; Swapna, MNS; Ambadas, G; Sankararaman, SI</t>
  </si>
  <si>
    <t>Gokul, Vijayakumar; Swapna, Mohanachandran Nair S.; Ambadas, Govind; Sankararaman, Sankaranarayana Iyer</t>
  </si>
  <si>
    <t>Development of semiconducting graphitic carbon nitride nanofluid for heat transfer applications: A mode mismatched thermal lens study</t>
  </si>
  <si>
    <t>Graphitic carbon nitride; Hydrothermal synthesis; Portobello mushroom; Thermal lens spectroscopy</t>
  </si>
  <si>
    <t>CHEMICAL-COMPOSITION; PREDICTION; NANOSHEETS</t>
  </si>
  <si>
    <t>The present work delineates the heat transfer potential of the semiconducting graphitic carbon nitride (g-C3N4) nanofluid. The paper also discusses the eco-friendly green synthesis of g-C3N4 nanoparticles from the natural carbon precursor portobello mushroom by the hydrothermal method. The nanoparticles synthesised are sub-jected to structural, morphological, thermal, and optical characterizations. The flower-like laminar structure of the sample revealed through field emission scanning electron microscope (FESEM) analysis exhibited a semi-conducting nature with an optical bandgap of 2.58 eV. The formation of g-C3N4 is confirmed by X-ray diffraction (XRD), Fourier transform infrared (FTIR), X-ray photoelectron (XPS) and Raman spectroscopic analyses. The thermogravimetric analysis (TGA) reveals good thermal stability up to 500 degrees C, which suggests possible appli-cations in heat transfer fluids. The concentration-dependent thermal diffusivity variation of the g-C3N4 semi-conductor nanofluid, investigated using the sensitive mode mismatched dual beam thermal lens technique, divulges its potential as an organic, metal-free additive in engine coolants for automobile applications.</t>
  </si>
  <si>
    <t>[Gokul, Vijayakumar; Sankararaman, Sankaranarayana Iyer] Univ Kerala, Dept Optoelect, Trivandrum 695581, India; [Swapna, Mohanachandran Nair S.] Univ Nova Gor, Lab Environm &amp; Life Sci, Vipavska 13, Nova Gorica SI-5000, Slovenia; [Ambadas, Govind] Univ Coll, Dept Chem, Trivandrum 695034, India</t>
  </si>
  <si>
    <t>University of Kerala; University of Nova Gorica</t>
  </si>
  <si>
    <t>Sankararaman, SI (corresponding author), Univ Kerala, Dept Optoelect, Trivandrum 695581, India.</t>
  </si>
  <si>
    <t>drssraman@gmail.com</t>
  </si>
  <si>
    <t>10.1016/j.diamond.2023.110215</t>
  </si>
  <si>
    <t>O8EO3</t>
  </si>
  <si>
    <t>WOS:001046086200001</t>
  </si>
  <si>
    <t>Gong, YC; Qu, CX; Yi, TH; Ren, L; Zhang, J; Li, HN</t>
  </si>
  <si>
    <t>Gong, Ya-Chao; Qu, Chun-Xu; Yi, Ting-Hua; Ren, Liang; Zhang, Jian; Li, Hong-Nan</t>
  </si>
  <si>
    <t>A theoretical analysis method of transverse modal shapes of hollow slab bridge with hinge joint damage</t>
  </si>
  <si>
    <t>Assembled hollow slab bridge; Hinge joint damage; Analytical transverse modal shape; Equivalent orthotropic plate; Torsional stiffness</t>
  </si>
  <si>
    <t>WORKING PERFORMANCE; VIBRATION ANALYSIS; VISUAL INSPECTION; FORCED VIBRATION; SYSTEMS; INDEX; PLATE; MODEL</t>
  </si>
  <si>
    <t>Damage identification method based on modal shape change can be used to detect hinge joint damage of hollow slab bridges. However, in general, the modal shapes are usually obtained by identifying experimental data or finite element simulation, but the theoretical mechanism between hinge joint damage and the modal shape change is rarely investigated. In this paper, the influence of damage on modal shape is explored from the structural level, and an analytical transverse modal shape calculation method for the hollow slab bridge with hinge joint damage based on equivalent orthotropic plate is proposed. The analytical relationship between hinge joint damage and transverse modal shapes is obtained by equivalent hinge joint to elastic boundary condition. The finite element model of a hollow slab bridge is compared and verified with this method. The comparison results demonstrate that the analytical solution of the modal shape of hollow slab bridge with hinge joint damage can be precisely obtained by the proposed method, and the analytical transverse modal shape of hollow slab bridge with different crack heights coincide with the ones of the finite element solution.</t>
  </si>
  <si>
    <t>[Gong, Ya-Chao; Qu, Chun-Xu; Yi, Ting-Hua; Ren, Liang; Li, Hong-Nan] Dalian Univ Technol, Sch Civil Engn, Dalian 116023, Peoples R China; [Zhang, Jian] Tianjin Chengjian Univ, Sch Civil Engn, Tianjin, Peoples R China</t>
  </si>
  <si>
    <t>Dalian University of Technology; Tianjin Chengjian University</t>
  </si>
  <si>
    <t>Qu, CX (corresponding author), Dalian Univ Technol, Sch Civil Engn, Dalian 116023, Peoples R China.</t>
  </si>
  <si>
    <t>GongYC@mail.dlut.edu.cn; quchunxu@dlut.edu.cn; yth@dlut.edu.cn; renliang@dlut.edu.cn; hnli@dlut.edu.cn</t>
  </si>
  <si>
    <t>National Natural Sci- ence Foundation of China [52222807, 52078100]; National Key R amp; D Program of China [2022YFB2602700]; Natural Science Foundation of Liaoning Province of China [2023 -MS-106]; Fundamental Research Funds for the Central Universities [DUT22JC19]</t>
  </si>
  <si>
    <t>National Natural Sci- ence Foundation of China(National Natural Science Foundation of China (NSFC)); National Key R amp; D Program of China; Natural Science Foundation of Liaoning Province of China(Natural Science Foundation of Liaoning Province); Fundamental Research Funds for the Central Universities(Fundamental Research Funds for the Central Universities)</t>
  </si>
  <si>
    <t>This research work was jointly supported by National Natural Sci- ence Foundation of China (Grant Nos. 52222807, 52078100) , National Key R &amp; D Program of China (Grant No. 2022YFB2602700) , Natural Science Foundation of Liaoning Province of China (Grant No. 2023 -MS-106) , and Fundamental Research Funds for the Central Universities (Grant No. DUT22JC19) .</t>
  </si>
  <si>
    <t>10.1016/j.istruc.2023.07.022</t>
  </si>
  <si>
    <t>O4LU9</t>
  </si>
  <si>
    <t>WOS:001043554600001</t>
  </si>
  <si>
    <t>Gonzalez-Fernandez, D; De Risi, R; Rezgui, D; Macdonald, JHG; Margnelli, A; Titurus, B</t>
  </si>
  <si>
    <t>Gonzalez-Fernandez, Daniel; De Risi, Raffaele; Rezgui, Djamel; Macdonald, John H. G.; Margnelli, Alessandro; Titurus, Branislav</t>
  </si>
  <si>
    <t>Identification of varying modal parameters of a tall building from the full-scale wind-induced responses</t>
  </si>
  <si>
    <t>Tall building; Finite element model; Amplitude-dependent; Natural frequencies; Damping ratios; Wind speed; Wind directions; Aeroelasticity</t>
  </si>
  <si>
    <t>MODELS; PERIOD; BRIDGE</t>
  </si>
  <si>
    <t>The dynamic behaviour of a tall building can change notably during the construction phases, under the varying degree of occupation, loading patterns, wind conditions, and aeroelastic phenomena. In this study, acceleration measurements taken over a period of one year and the corresponding wind conditions for a 150 m tall building in London, UK, are analysed to identify the reasons for variations in the structural modal parameters. Several environmental parameters are investigated, including the magnitude and the relative directions of the wind with respect to the building motion. The identified dominant effects are the response amplitude and the observation time. A finite element model of the tower is employed to support the experimental observations. The amplitude-dependent behaviour is studied for the natural frequencies and damping ratios of the first three vibration modes. The changes in the identified natural frequencies, with the monitoring time and response amplitudes, are attributed to the mass increase under the increasing occupancy and large-amplitude structural softening, respectively. In particular, it is shown that the natural frequencies experience an asymptotic drop of up to 5% with increasing time. The identified trends between the measured total damping and wind speed for different relative wind directions indicate that the amplitude of the lateral building motion, rather than aerodynamic wind characteristics, primarily influence the observed variation in the modal damping. Based only on the operational observations, an updated empirical model is proposed and compared against previous results from the literature. The established empirical model indicates the increase of the damping ratio values from around 0.6 % for the near-zero amplitude conditions to up to 2.1 % for the high amplitude conditions.</t>
  </si>
  <si>
    <t>[Gonzalez-Fernandez, Daniel; De Risi, Raffaele; Macdonald, John H. G.] Univ Bristol, Dept Civil Engn, Bristol BS8 1TR, England; [Rezgui, Djamel; Titurus, Branislav] Univ Bristol, Dept Aerosp Engn, Bristol BS8 1TR, England; [Margnelli, Alessandro] AKT II Ltd, White Collar Factory, 1 Old St Yard, London EC1Y 8AF, England</t>
  </si>
  <si>
    <t>University of Bristol; University of Bristol</t>
  </si>
  <si>
    <t>Gonzalez-Fernandez, D (corresponding author), Univ Bristol, Dept Civil Engn, Bristol BS8 1TR, England.</t>
  </si>
  <si>
    <t>d.gonzalez-fernandez@bristol.ac.uk</t>
  </si>
  <si>
    <t>De Risi, Raffaele/0000-0002-5496-9656; Titurus, Brano/0000-0001-7621-7765</t>
  </si>
  <si>
    <t>10.1016/j.istruc.2023.06.101</t>
  </si>
  <si>
    <t>O9CB7</t>
  </si>
  <si>
    <t>WOS:001046715400001</t>
  </si>
  <si>
    <t>Gorzkiewicz, M; Cramer, J; Xu, HC; Lang, PA</t>
  </si>
  <si>
    <t>Gorzkiewicz, Michal; Cramer, Jonathan; Xu, Haifeng C.; Lang, Philipp A.</t>
  </si>
  <si>
    <t>The role of glycosylation patterns of viral glycoproteins and cell entry receptors in arenavirus infection.</t>
  </si>
  <si>
    <t>Mammarenavirus; Glycosylation; Glycoprotein; Lassa; LCMV</t>
  </si>
  <si>
    <t>LYMPHOCYTIC CHORIOMENINGITIS VIRUS; ALPHA-DYSTROGLYCAN; HEMORRHAGIC-FEVER; DC-SIGN; POSTTRANSLATIONAL MODIFICATION; SURFACE GLYCOPROTEIN; MOLECULAR-MECHANISM; WORLD ARENAVIRUS; STRUCTURAL BASIS; OLD-WORLD</t>
  </si>
  <si>
    <t>Mammarenaviruses are enveloped RNA viruses that can be associated with rodent-transmitted diseases in humans. Their virions are composed of a nucleocapsid surrounded by a lipid bilayer with glycoprotein (GP) spikes interacting with receptors on target cells. Both the GP and receptors are highly glycosylated, with glycosylation patterns being crucial for virus binding and cell entry, viral tropism, immune responses, or therapy strategies. These effects have been previously described for several different viruses. In case of arenaviruses, they remain insufficiently understood. Thus, it is important to determine the mechanisms of glycosylation of viral proteins and receptors responsible for infection, in order to fully understand the biology of arenaviruses. In this article, we have summarized and critically evaluated the available literature data on the glycosylation of mammarenavirus-associated proteins to facilitate further research in this field.</t>
  </si>
  <si>
    <t>[Gorzkiewicz, Michal; Xu, Haifeng C.; Lang, Philipp A.] Heinrich Heine Univ Dusseldorf, Med Fac, Dept Mol Med 2, Univ Str 1, D-40225 Dusseldorf, Germany; [Gorzkiewicz, Michal] Univ Lodz, Fac Biol &amp; Environm Protect, Dept Gen Biophys, 141-143 Pomorska St, PL-90236 Lodz, Poland; [Cramer, Jonathan] Heinrich Heine Univ Dusseldorf, Inst Pharmaceut &amp; Med Chem, Univ Str 1, D-40225 Dusseldorf, Germany</t>
  </si>
  <si>
    <t>Heinrich Heine University Dusseldorf; University of Lodz; Heinrich Heine University Dusseldorf</t>
  </si>
  <si>
    <t>Gorzkiewicz, M; Lang, PA (corresponding author), Heinrich Heine Univ Dusseldorf, Med Fac, Dept Mol Med 2, Univ Str 1, D-40225 Dusseldorf, Germany.</t>
  </si>
  <si>
    <t>michalandrzej.gorzkiewicz@med.uni-duesseldorf.de; langp@uni-duesseldorf.de</t>
  </si>
  <si>
    <t>Gorzkiewicz, Michał/V-4988-2018</t>
  </si>
  <si>
    <t>Gorzkiewicz, Michał/0000-0001-9258-3626; Cramer, Jonathan/0000-0001-9869-5645</t>
  </si>
  <si>
    <t>Faculty of Medicine of Heinrich Heine University Dusseldorf [9772816]; Jurgen Manchot Foundation (MOI); Volkswagen Foundation; Deutsche Forschungsgemeinschaft (DFG) [RTG1949, LA2558/8-1]</t>
  </si>
  <si>
    <t>Faculty of Medicine of Heinrich Heine University Dusseldorf; Jurgen Manchot Foundation (MOI); Volkswagen Foundation(Volkswagen); Deutsche Forschungsgemeinschaft (DFG)(German Research Foundation (DFG))</t>
  </si>
  <si>
    <t>This work was supported by The Faculty of Medicine of Heinrich Heine University Dusseldorf (Project 9772816, The role of poly-saccharides in arenavirus infection) , the Jurgen Manchot Foundation (MOI) , the Volkswagen Foundation, and the Deutsche Forschungsgemeinschaft (DFG, RTG1949, LA2558/8-1) .</t>
  </si>
  <si>
    <t>10.1016/j.biopha.2023.115196</t>
  </si>
  <si>
    <t>R1SE5</t>
  </si>
  <si>
    <t>WOS:001062201400001</t>
  </si>
  <si>
    <t>Granados, GE; Miorelli, R; Gatti, F; Robert, S; Clouteau, D</t>
  </si>
  <si>
    <t>Granados, G. E.; Miorelli, R.; Gatti, F.; Robert, S.; Clouteau, D.</t>
  </si>
  <si>
    <t>Towards a multi-fidelity deep learning framework for a fast and realistic generation of ultrasonic multi-modal Total Focusing Method images in complex geometries</t>
  </si>
  <si>
    <t>NDT &amp; E INTERNATIONAL</t>
  </si>
  <si>
    <t>Ultrasonic array; Total focusing method; Weld inspection; Multi-fidelity; Deep learning; Conditional UNet; Generative models; Meta-model</t>
  </si>
  <si>
    <t>INVERSION; MATRIX; MODEL</t>
  </si>
  <si>
    <t>This paper presents a deep-learning surrogate model tailored for a fast generation of realistic ultrasonic images in the Multi-modal Total Focusing Method (M-TFM) framework. The method employs both physics -and data-driven data-sets. To this end, we propose a Conditional U-Net (cU-Net) to perform a controlled generative process of high-resolution M-TFM images by spanning the set of inspection parameters, employing both the experimental data (high-fidelity acquisitions) and the simulated ones (a low-fidelity counterpart). Once trained on experimental and simulated images, the cU-Net embodies an enhanced realism, learnt from the experimental data, coupled with a quasi-real-time prediction that prevents the need for extra simulations. Moreover, our surrogate model provides a controlled M-TFM generation conditioned by the steering parameters of the simulation as well as by the physics underlying the ultrasonic testing schema. The performances of our approach are demonstrated in a case study of M-TFM images of a component with planar defects in a complex weld-like profile. Furthermore, we consider uncertainties in M-TFM image parameters reconstruction in both numerical and experimental data to reproduce the on-site inspection. Additionally, we show how the trained neural network can learn its inner layers (i.e., the cU-Net layers) according to the physical parameters at stake so that it can be considered an white-box model enabling a qualitative interpretation of the generative process.</t>
  </si>
  <si>
    <t>[Granados, G. E.; Miorelli, R.; Robert, S.] Univ Paris Saclay, CEA, List, F-91120 Palaiseau, France; [Gatti, F.; Clouteau, D.] Univ Paris Saclay, CNRS, CentraleSupelec, ENS Paris Saclay,Lab Mecanique Paris Saclay, Gif Sur Yvette, France</t>
  </si>
  <si>
    <t>CEA; UDICE-French Research Universities; Universite Paris Saclay; UDICE-French Research Universities; Universite Paris Saclay; Centre National de la Recherche Scientifique (CNRS)</t>
  </si>
  <si>
    <t>Granados, GE; Miorelli, R (corresponding author), Univ Paris Saclay, CEA, List, F-91120 Palaiseau, France.</t>
  </si>
  <si>
    <t>gerardo.granados@cea.fr; roberto.miorelli@cea.fr; filippo.gatti@centralesupelec.fr; roberto.miorelli@cea.fr; didier.clouteau@centralesupelec.fr</t>
  </si>
  <si>
    <t>European Union [800945]</t>
  </si>
  <si>
    <t>This project has received funding from the European Union's Horizon 2020 research and innovation programme under grant agreement No 800945-NUMERICS-H2020-MSCA-COFUND-2017.</t>
  </si>
  <si>
    <t>0963-8695</t>
  </si>
  <si>
    <t>1879-1174</t>
  </si>
  <si>
    <t>NDT&amp;E INT</t>
  </si>
  <si>
    <t>NDT E Int.</t>
  </si>
  <si>
    <t>10.1016/j.ndteint.2023.102906</t>
  </si>
  <si>
    <t>Materials Science, Characterization &amp; Testing</t>
  </si>
  <si>
    <t>P1II8</t>
  </si>
  <si>
    <t>WOS:001048241900001</t>
  </si>
  <si>
    <t>Grandidier, J; Akins, A; Crisp, D; Lee, YJ; Schwartz, J; Bugga, R; Hall, JL; Limaye, S; Brandon, EJ</t>
  </si>
  <si>
    <t>Grandidier, Jonathan; Akins, Alex; Crisp, David; Lee, Yeon Joo; Schwartz, Joel; Bugga, Ratnakumar; Hall, Jeffery L.; Limaye, Sanjay; Brandon, Erik J.</t>
  </si>
  <si>
    <t>Feasibility of power beaming through the Venus atmosphere</t>
  </si>
  <si>
    <t>Venus exploration; Power beaming; Wireless power transfer; Space power</t>
  </si>
  <si>
    <t>LABORATORY MEASUREMENT; MICROWAVE-ABSORPTION; FIBER LASER; VOLCANISM; SPECTRUM; MODEL; NM</t>
  </si>
  <si>
    <t>Despite great interest by the planetary science community in the robotic exploration of Venus, solutions for operating in this extreme environment present significant challenges to mission architects. A particular challenge in designing any in situ Venus mission of reasonable duration is the selection of a suitable power source. State-ofthe-art space power technologies comprising solar arrays, batteries and radioisotope thermoelectric generators are not capable of operating on the surface of Venus, limited by the high temperatures, high pressures and corrosive environment. Despite its proximity to the Sun, the solar resource on the surface is limited by the dense cloud layers. One potential approach for circumventing this limitation includes collecting the abundant visible solar energy above the Venus atmosphere, and wirelessly transferring this power to the surface at a wavelength that can more effectively penetrate the dense cloud layer. The feasibility of such an approach and other related mission concepts are discussed herein from a perspective of atmospheric absorption and scattering of the beamed energy.</t>
  </si>
  <si>
    <t>[Grandidier, Jonathan; Akins, Alex; Crisp, David; Schwartz, Joel; Bugga, Ratnakumar; Hall, Jeffery L.; Brandon, Erik J.] CALTECH, Jet Prop Lab, Pasadena, CA 91109 USA; [Lee, Yeon Joo] Tech Univ Berlin, Berlin, Germany; [Lee, Yeon Joo] Inst for Basic Sci Korea, Pioneer Res Ctr Climate &amp; Earth Sci, Daejeon, South Korea; [Limaye, Sanjay] Univ Wisconsin Madison, Madison, WI 53706 USA</t>
  </si>
  <si>
    <t>National Aeronautics &amp; Space Administration (NASA); NASA Jet Propulsion Laboratory (JPL); California Institute of Technology; Technical University of Berlin; Institute for Basic Science - Korea (IBS); University of Wisconsin System; University of Wisconsin Madison</t>
  </si>
  <si>
    <t>Brandon, EJ (corresponding author), CALTECH, Jet Prop Lab, Pasadena, CA 91109 USA.</t>
  </si>
  <si>
    <t>erik.j.brandon@jpl.nasa.gov</t>
  </si>
  <si>
    <t>Bugga, Ratnakumar/JFT-1042-2023; Lee, Yeon Joo/W-5738-2019</t>
  </si>
  <si>
    <t>Lee, Yeon Joo/0000-0002-4571-0669; Bugga, Ratnakumar/0000-0001-7520-8429</t>
  </si>
  <si>
    <t>National Aeronautics and Space Administra-tion; NASA Space Technology Mission Directorate; [80NM0018D0004]</t>
  </si>
  <si>
    <t>National Aeronautics and Space Administra-tion(National Aeronautics &amp; Space Administration (NASA)); NASA Space Technology Mission Directorate;</t>
  </si>
  <si>
    <t>The authors acknowledge the NASA Innovative Advanced Concepts (NIAC) Program for supporting this effort. The research was carried out at the Jet Propulsion Laboratory, California Institute of Technology, under a contract with the National Aeronautics and Space Administration (80NM0018D0004). This work was supported by the NASA Space Technology Mission Directorate. 2023. All rights reserved. The information presented about future NASA mission concepts is predecisional and is provided for planning and discussion purposes only. The authors report no competing interests.r at the Jet Propulsion Laboratory, California Institute of Technology, under a contract with the National Aeronautics and Space Administra-tion (80NM0018D0004) . This work was supported by the NASA Space Technology Mission Directorate. 2023. All rights reserved. The in-formation presented about future NASA mission concepts is pre-decisional and is provided for planning and discussion purposes only. The authors report no competing interests.</t>
  </si>
  <si>
    <t>10.1016/j.actaastro.2023.06.042</t>
  </si>
  <si>
    <t>P9CC1</t>
  </si>
  <si>
    <t>WOS:001053570700001</t>
  </si>
  <si>
    <t>Graves, CA; Best, M; Atkinson, A; Bear, B; Bresnan, E; Holland, M; Johns, DG; Machairopoulou, M; McQuatters-Gollop, A; Mellor, A; Ostle, C; Paxman, K; Pitois, S; Tett, P; Devlin, M</t>
  </si>
  <si>
    <t>Graves, C. A.; Best, M.; Atkinson, A.; Bear, B.; Bresnan, E.; Holland, M.; Johns, D. G.; Machairopoulou, M.; McQuatters-Gollop, A.; Mellor, A.; Ostle, C.; Paxman, K.; Pitois, S.; Tett, P.; Devlin, M.</t>
  </si>
  <si>
    <t>At what scale should we assess the health of pelagic habitats? Trade-offs between small-scale manageable pressures and the need for regional upscaling</t>
  </si>
  <si>
    <t>ECOLOGICAL INDICATORS</t>
  </si>
  <si>
    <t>Assessment areas; Ecohydrodynamic Units; Plankton; Functional groups; Plankton Index; Monitoring</t>
  </si>
  <si>
    <t>PHYTOPLANKTON COMMUNITY INDEX; PLANKTON; CLASSIFICATION</t>
  </si>
  <si>
    <t>Major planktonic lifeforms such as diatoms, dinoflagellates, meroplankton and holoplankton have recently shown significant and alarming changes in abundance -mainly downwards trends -around the northwest European shelf. This has major implications for food web connections and for ecosystem services including seafood provision and carbon storage. We have quantified these changes in abundance for 2006-2019/20 using a Plankton Index (PI) and show that the scale of spatial aggregation is critical to the ability of the PI to detect change, understand causal mechanisms, and provide advice to policymakers.We derived PI statistics in the Celtic and North Seas from data from the Continuous Plankton Recorder survey offshore and England's Environment Agency inshore using three sets of spatial units: (i) Ecohydrodynamic (EHD) units based on hydro-biogeochemical modelling, (ii) 'COMP4 &amp; PRIME; areas based on cluster analysis of satellite data for chlorophyll a and primary productivity, and (iii) English coastal and estuarine Water Framework Directive (WFD) waterbodies. For the largest scale areas, the EHD units (median size 87,000 km2), we find greater change in plankton communities than previously reported, suggesting that these shifts have continued and possibly intensified in recent years. The smaller-scale COMP4 areas (median size 6,700 km2) appear to encompass more spatially coherent changes in plankton community structure than EHD units; at this scale PI values indicate community shifts of greater magnitude. These COMP4 areas provide a reasonable compromise scale for linking offshore plankton communities to large-scale drivers of change such as climate warming. For inshore plankton communities, larger changes are detected at the smaller WFD waterbody scale (median size 11 km2). This scale allows direct links to coastal management measures and is more suitable for linking to land-sourced pressures.Recent integration of the UK's OSPAR and WFD plankton monitoring data management enables the exploration of changes across spatial scales to develop a holistic understanding of ecosystem health. Regional-sea scale derivation of the PI for coastal waters provides a clear indication that changes are occurring, at least in phytoplankton communities, while localised PI statistics offer an additional layer of information which can be an important tool for linking to localised drivers of change including coastal anthropogenic pressures. Broadscale inshore zooplankton monitoring is needed to evaluate the coastal plankton community holistically; zooplankton communities offshore are also changing but these changes cannot currently be linked to coastal processes. Layering information across spatial scales provides a breadth of system-level understanding beyond what any one typology can provide.</t>
  </si>
  <si>
    <t>[Graves, C. A.] Ctr Environm Fisheries &amp; Aquaculture Sci Cefas, Weymouth, England; [Best, M.] Goldhay Way, Peterborough PE4 6HL, England; [Atkinson, A.] Plymouth Marine Lab, Prospect Pl, Plymouth PL1 3DH, England; [Pitois, S.; Devlin, M.] Ctr Environm Fisheries &amp; Aquaculture Sci Cefas, Lowestoft, England; [Machairopoulou, M.] Marine Scotland Sci, Marine Lab, 375 Victoria Rd, Aberdeen AB11 9DB, Scotland; [Holland, M.; McQuatters-Gollop, A.] Univ Plymouth, Marine Conservat Res Grp, Drake Circus, Plymouth PL4 8AA, England; [Johns, D. G.; Ostle, C.] The Laboratory, Marine Biol Assoc MBA, Citadel Hill, Plymouth PL1 2PB, England; [Mellor, A.; Paxman, K.] Agrifood &amp; Biosci Inst, Fisheries &amp; Aquat Ecosyst Branch, 18a Newforge Lane, Belfast BT9 5PX, North Ireland; [Tett, P.] Scottish Assoc Marine Sci, Scottish Marine Inst, Oban PA37 1QA, Scotland</t>
  </si>
  <si>
    <t>Centre for Environment Fisheries &amp; Aquaculture Science; Plymouth Marine Laboratory; Centre for Environment Fisheries &amp; Aquaculture Science; Marine Scotland Science (MSS); University of Plymouth; Agri-Food &amp; Biosciences Institute; UHI Millennium Institute</t>
  </si>
  <si>
    <t>Graves, CA (corresponding author), Ctr Environm Fisheries &amp; Aquaculture Sci Cefas, Weymouth, England.</t>
  </si>
  <si>
    <t>carolyn.graves@cefas.gov.uk</t>
  </si>
  <si>
    <t>Defra/HBDSEG project DDIPA: Next-level pelagic habitat analysis: Making use of improved data flows to Delve Deeper into Integrated UK Plankton Assessment' [ME414135]; UK Natural Environment Research Council (NERC) [ST02GH]; Scottish Government [NE/R002738/1]; UK Natural Environment Research Council [NE/M007855/1, ME-5308]; DEFRA UK [ME-414135, OCE-1657887]; NSF USA [NE/R015953/1]; Defra Grant in Aid (GIA); EU INTEEREG project: S-3 EUROHAB (Sentinel-3 satellite products for detecting Eutrophication and Harmful Algal Bloom events in the French-English CHANNEL); Cefas' Environment and People science theme; EMFF; Climate Linked Atlantic Sector Science; DFO; NERC UK; Horizon 2020; IMR Norway; DTU Aqua Denmark; French Ministry of Environment Energy and the Sea (MEEM); [CA F5955-150026/001/HAL]; [NC-R8/H12/100]; [862428]; [AtlantECO 862923]</t>
  </si>
  <si>
    <t>Defra/HBDSEG project DDIPA: Next-level pelagic habitat analysis: Making use of improved data flows to Delve Deeper into Integrated UK Plankton Assessment'; UK Natural Environment Research Council (NERC)(UK Research &amp; Innovation (UKRI)Natural Environment Research Council (NERC)); Scottish Government; UK Natural Environment Research Council(UK Research &amp; Innovation (UKRI)Natural Environment Research Council (NERC)); DEFRA UK(Department for Environment, Food &amp; Rural Affairs (DEFRA)); NSF USA(National Science Foundation (NSF)); Defra Grant in Aid (GIA); EU INTEEREG project: S-3 EUROHAB (Sentinel-3 satellite products for detecting Eutrophication and Harmful Algal Bloom events in the French-English CHANNEL); Cefas' Environment and People science theme; EMFF; Climate Linked Atlantic Sector Science; DFO; NERC UK(UK Research &amp; Innovation (UKRI)Natural Environment Research Council (NERC)); Horizon 2020(Horizon 2020); IMR Norway; DTU Aqua Denmark; French Ministry of Environment Energy and the Sea (MEEM); ; ; ;</t>
  </si>
  <si>
    <t>This work was supported by the Defra/HBDSEG project ME414135 DDIPA: Next-level pelagic habitat analysis: Making use of improved data flows to Delve Deeper into Integrated UK Plankton Assessment', and Cefas' Environment and People science theme. AA's contribution was also funded by the UK Natural Environment Research Council (NERC) through its National Capability Long-term Single Centre Science Programme, Climate Linked Atlantic Sector Science, grant number NE/R015953/1, contributing to Theme 3.1-Biological dynamics in a changing Atlantic. EB and MM were additionally supported by the Scottish Government's Schedule of Service ST02GH. We would like to acknowledge and thank all who contributed to plankton data collection for both the CPR and EA datasets. Funding for the CPR Survey has come from a number of contracts since its inception, recent funded projects that have supported this work include: the UK Natural Environment Research Council, Grant/AwardNumber: NE/R002738/1 and NE/M007855/1; EMFF; Climate Linked Atlantic Sector Science, Grant/Award Number: NE/R015953/1, DEFRA UK ME-5308 and ME-414135, NSF USA OCE-1657887, DFO CA F5955-150026/001/HAL, NERC UK NC-R8/H12/100, Horizon 2020: 862428 Atlantic Mission and AtlantECO 862923, IMR Norway, DTU Aqua Denmark and the French Ministry of Environment Energy and the Sea (MEEM) . The Environment Agency's phytoplankton monitoring programme is funded mainly by Defra Grant in Aid (GIA) to the Environment Agency monitoring program; additional Western Channel Monitoring was funded by an EU INTEEREG project: S-3 EUROHAB (Sentinel-3 satellite products for detecting Eutrophication and Harmful Algal Bloom events in the French-English CHANNEL) .</t>
  </si>
  <si>
    <t>1470-160X</t>
  </si>
  <si>
    <t>1872-7034</t>
  </si>
  <si>
    <t>ECOL INDIC</t>
  </si>
  <si>
    <t>Ecol. Indic.</t>
  </si>
  <si>
    <t>10.1016/j.ecolind.2023.110571</t>
  </si>
  <si>
    <t>Biodiversity Conservation; Environmental Sciences</t>
  </si>
  <si>
    <t>Biodiversity &amp; Conservation; Environmental Sciences &amp; Ecology</t>
  </si>
  <si>
    <t>O6RT5</t>
  </si>
  <si>
    <t>WOS:001045063500001</t>
  </si>
  <si>
    <t>Gu, R; Wang, GT; Lu, JS; Zhang, JY; Lei, WH; Chen, YN; Liao, WJ; Zhang, SC; Li, K; Metaxas, DN; Zhang, ST</t>
  </si>
  <si>
    <t>Gu, Ran; Wang, Guotai; Lu, Jiangshan; Zhang, Jingyang; Lei, Wenhui; Chen, Yinan; Liao, Wenjun; Zhang, Shichuan; Li, Kang; Metaxas, Dimitris N.; Zhang, Shaoting</t>
  </si>
  <si>
    <t>CDDSA: Contrastive domain disentanglement and style augmentation for generalizable medical image segmentation</t>
  </si>
  <si>
    <t>Disentanglement; Domain generalization; Contrastive learning; Medical image segmentation</t>
  </si>
  <si>
    <t>Generalization to previously unseen images with potential domain shifts is essential for clinically applicable medical image segmentation. Disentangling domain-specific and domain-invariant features is key for Domain Generalization (DG). However, existing DG methods struggle to achieve effective disentanglement. To address this problem, we propose an efficient framework called Contrastive Domain Disentanglement and Style Augmentation (CDDSA) for generalizable medical image segmentation. First, a disentangle network decomposes the image into domain-invariant anatomical representation and domain-specific style code, where the former is sent for further segmentation that is not affected by domain shift, and the disentanglement is regularized by a decoder that combines the anatomical representation and style code to reconstruct the original image. Second, to achieve better disentanglement, a contrastive loss is proposed to encourage the style codes from the same domain and different domains to be compact and divergent, respectively. Finally, to further improve generalizability, we propose a style augmentation strategy to synthesize images with various unseen styles in real time while maintaining anatomical information. Comprehensive experiments on a public multi-site fundus image dataset and an in-house multi-site Nasopharyngeal Carcinoma Magnetic Resonance Image (NPC-MRI) dataset show that the proposed CDDSA achieved remarkable generalizability across different domains, and it outperformed several state-of-the-art methods in generalizable segmentation. Code is available at https: //github.com/HiLab-git/DAG4MIA.</t>
  </si>
  <si>
    <t>[Gu, Ran; Wang, Guotai; Lu, Jiangshan; Zhang, Shaoting] Univ Elect Sci &amp; Technol China, Sch Mech &amp; Elect Engn, Chengdu, Peoples R China; [Zhang, Jingyang] Shanghai Jiao Tong Univ, Sch Biomed Engn, Shanghai, Peoples R China; [Zhang, Jingyang] ShanghaiTech Univ, Sch Biomed Engn, Shanghai, Peoples R China; [Lei, Wenhui] Shanghai Jiao Tong Univ, Sch Elect Informat &amp; Elect Engn, Shanghai, Peoples R China; [Chen, Yinan; Zhang, Shaoting] SenseTime Res, Shanghai, Peoples R China; [Liao, Wenjun; Zhang, Shichuan] Univ Elect Sci &amp; Technol China, Sichuan Canc Hosp &amp; Inst, Dept Radiat Oncol, Chengdu, Peoples R China; [Chen, Yinan; Li, Kang] Sichuan Univ, West China Hosp, SenseTime Joint Lab, West China Biomed Big Data Ctr, Chengdu, Peoples R China; [Metaxas, Dimitris N.] Rutgers State Univ, Dept Comp Sci, Piscataway, NJ 08854 USA; [Wang, Guotai; Zhang, Shaoting] Shanghai AI Lab, Shanghai, Peoples R China</t>
  </si>
  <si>
    <t>University of Electronic Science &amp; Technology of China; Shanghai Jiao Tong University; ShanghaiTech University; Shanghai Jiao Tong University; University of Electronic Science &amp; Technology of China; Sichuan University; Rutgers State University New Brunswick; Shanghai Artificial Intelligence Laboratory</t>
  </si>
  <si>
    <t>Wang, GT (corresponding author), Univ Elect Sci &amp; Technol China, Sch Mech &amp; Elect Engn, Chengdu, Peoples R China.</t>
  </si>
  <si>
    <t>Guotai.Wang@uestc.edu.cn; Zhangshaoting@uestc.edu.cn</t>
  </si>
  <si>
    <t>Li, Yuan/IXD-9067-2023</t>
  </si>
  <si>
    <t>Lei, Wenhui/0000-0002-2952-3441; Gu, Ran/0000-0002-2011-7623; Li, Kang/0000-0002-8136-9816; Zhang, Jingyang/0000-0002-1788-6501</t>
  </si>
  <si>
    <t>National Natural Science Founda-tion of China [62271115]; National Key Research and Development Program of China [2020YFB1711500]; 1.3.5 project for disciplines of excellence, West China Hospital, Sichuan University [ZYYC21004]; Radiation Oncology Key Laboratory of Sichuan Province Open Fund [2022ROKF04]</t>
  </si>
  <si>
    <t>National Natural Science Founda-tion of China(National Natural Science Foundation of China (NSFC)); National Key Research and Development Program of China; 1.3.5 project for disciplines of excellence, West China Hospital, Sichuan University; Radiation Oncology Key Laboratory of Sichuan Province Open Fund</t>
  </si>
  <si>
    <t>This work was supported by the National Natural Science Founda-tion of China (No. 62271115) , National Key Research and Development Program of China (2020YFB1711500) , the 1.3.5 project for disciplines of excellence, West China Hospital, Sichuan University (ZYYC21004) and Radiation Oncology Key Laboratory of Sichuan Province Open Fund (2022ROKF04) .</t>
  </si>
  <si>
    <t>10.1016/j.media.2023.102904</t>
  </si>
  <si>
    <t>P2GW6</t>
  </si>
  <si>
    <t>WOS:001048885900001</t>
  </si>
  <si>
    <t>Guiducci, N; Tortorici, C; Ferrari, C; Berretti, S</t>
  </si>
  <si>
    <t>Guiducci, Niccolo; Tortorici, Claudio; Ferrari, Claudio; Berretti, Stefano</t>
  </si>
  <si>
    <t>Learning graph-based features for relief patterns classification on mesh manifolds</t>
  </si>
  <si>
    <t>COMPUTERS &amp; GRAPHICS-UK</t>
  </si>
  <si>
    <t>Graph Neural Networks; Graph Attention Networks; Relief pattern classification; Features learning</t>
  </si>
  <si>
    <t>LOCAL BINARY PATTERNS; RETRIEVAL</t>
  </si>
  <si>
    <t>Relief patterns represent a surface characteristic that can be seen as the 3D counterpart of the texture concept in 2D images. Such characteristic is well distinct from the 3D object shape but represents a good information source to recognize the object itself. The majority of state-of-the-art techniques for 2D images rely on convolution-based filtering so, the idea of extending such techniques to the mesh manifold domain is quite intriguing as much as challenging. In this paper, we propose a novel approach based on Graph Neural Networks for 3D mesh relief pattern classification. To this end, we designed a bi-level architecture that learns on data structures computed thanks to a mesh resampling algorithm that allows us to represent local surface patches uniformly, while keeping a consistent points order. The local mesh structures are represented by SpiderPatches, that aim to capture local features of the 3D mesh surface, providing a fine-grained rich representation of the relief patterns; global structures are instead captured by MeshGraphs, whose nodes are SpiderPatches, representing the mesh at a macroscopic level. We tested our architecture using SpiderPatches and MeshGraphs on the original meshes of the SHREC'17 and SHREC'20 relief patterns track datasets, showing superior performance to that reported in the literature using a comparable experimental setting. &amp; COPY; 2023 The Author(s). Published by Elsevier Ltd. This is an open access article under the CC BY-NC-ND license (http://creativecommons.org/licenses/by-nc-nd/4.0/).</t>
  </si>
  <si>
    <t>[Guiducci, Niccolo; Berretti, Stefano] Univ Florence, Florence, Italy; [Tortorici, Claudio] Technol Innovat Inst, Abu Dhabi, U Arab Emirates; [Ferrari, Claudio] Univ Parma, Parma, Italy</t>
  </si>
  <si>
    <t>University of Florence; Technology Innovation Institute; University of Parma</t>
  </si>
  <si>
    <t>Berretti, S (corresponding author), Univ Florence, Florence, Italy.</t>
  </si>
  <si>
    <t>niccolo.guiducci@stud.unifi.it; claudio.tortorici@tii.ae; claudio.ferrai2@unipr.it; stefano.berretti@unifi.it</t>
  </si>
  <si>
    <t>Berretti, Stefano/0000-0003-1219-4386</t>
  </si>
  <si>
    <t>Technology Innovation Institute (TII) , Abu Dhabi, UAE [TII/ARRC/2053/2021]</t>
  </si>
  <si>
    <t>Technology Innovation Institute (TII) , Abu Dhabi, UAE</t>
  </si>
  <si>
    <t>The research is funded by the Technology Innovation Institute (TII) , Abu Dhabi, UAE under grant TII/ARRC/2053/2021.</t>
  </si>
  <si>
    <t>0097-8493</t>
  </si>
  <si>
    <t>1873-7684</t>
  </si>
  <si>
    <t>COMPUT GRAPH-UK</t>
  </si>
  <si>
    <t>Comput. Graph.-UK</t>
  </si>
  <si>
    <t>10.1016/j.cag.2023.07.004</t>
  </si>
  <si>
    <t>Computer Science, Software Engineering</t>
  </si>
  <si>
    <t>O3GV6</t>
  </si>
  <si>
    <t>WOS:001042745000001</t>
  </si>
  <si>
    <t>Guo, TT; Deng, YR; Huang, X; Yan, CW; Gao, X; Wu, Y; Yan, XX; Liu, ZQ; Hu, S; Tan, JS; Chong, LT; Zhu, SS; Ma, MJ; Ye, MT; Hua, L; Cao, J; Wang, XJ; Yang, WX</t>
  </si>
  <si>
    <t>Guo, Ting-Ting; Deng, Yuan-Rui; Huang, Xin; Yan, Chao-Wu; Gao, Xin; Wu, Yan; Yan, Xin-Xin; Liu, Zhi-Qiang; Hu, Song; Tan, Jiang-Shan; Chong, Ling-Tao; Zhu, Sheng-Song; Ma, Ming-Jie; Ye, Meng-Ting; Hua, Lu; Cao, Jian; Wang, Xiao-Jian; Yang, Wei-Xian</t>
  </si>
  <si>
    <t>Untargeted metabolomics reveal the metabolic profile of normal pulmonary circulation</t>
  </si>
  <si>
    <t>RESPIRATORY MEDICINE</t>
  </si>
  <si>
    <t>Pulmonary circulation; Untargeted metabolomics; Damage; Repair</t>
  </si>
  <si>
    <t>Background: As an important place of material exchange, the homeostasis of the pulmonary circulation environment and function lays an essential foundation for the normal execution of various physiological functions of the body. Small metabolic molecules in the circulation can reflect the corresponding state of the pulmonary circulation. Methods: We enrolled patients with Patent Foramen Ovale and obtained blood from the pulmonary arteries and veins through heart catheterization. UPLC-MS based untargeted metabolomics was used to compare the changes and metabolic differences of plasma between pulmonary vein and pulmonary artery. Results: The plasma metabolomics revealed that pulmonary artery had a different metabolomic profile compared to venous. 1060 metabolites were identified, and 61 metabolites were differential metabolites. Purine, Amino acids, Nicotinamide, Tetradecanedioic acid and Bile acid were the most markedly. Conclusion: The differential metabolites are mostly related to immune inflammation and damage repaired. It is suggested that the pulmonary circulation is always in a steady state of injury and repair while pathological changes may be triggered when the homeostasis is broken. These changes play an important role in revealing the development process and etiology of lung homeostasis and related diseases. Relevant metabolites can be used as potential targets for further study of pulmonary circulation homeostasis.</t>
  </si>
  <si>
    <t>[Guo, Ting-Ting; Deng, Yuan-Rui; Gao, Xin; Wu, Yan; Yan, Xin-Xin; Liu, Zhi-Qiang; Hu, Song; Tan, Jiang-Shan; Chong, Ling-Tao; Zhu, Sheng-Song; Hua, Lu] Chinese Acad Med Sci &amp; Peking Union Med Coll, Fuwai Hosp, Ctr Resp &amp; Pulm Vasc Dis, Natl Clin Res Ctr Cardiovasc Dis,Natl Ctr Cardiova, Beijing, Peoples R China; [Huang, Xin; Cao, Jian] Chinese Peoples Liberat Army Gen Hosp, Med Ctr 2, Dept Cardiol, Beijing 100853, Peoples R China; [Huang, Xin; Cao, Jian] Chinese Peoples Liberat Army Gen Hosp, Natl Clin Res Ctr Geriatr Dis, Beijing 100853, Peoples R China; [Ma, Ming-Jie; Ye, Meng-Ting; Wang, Xiao-Jian; Yang, Wei-Xian] Chinese Acad Med Sci &amp; Peking Union Med Coll, Fuwai Hosp, Ctr Resp &amp; Pulm Vasc Dis, Natl Ctr Cardiovasc Dis,Key Lab Pulm Vasc Med,Stat, Beijing, Peoples R China; [Yan, Chao-Wu] Chinese Acad Med Sci &amp; Peking Union Med Coll, Cardiovasc Inst, Dept Struct Heart Dis, Beijing 100037, Peoples R China; [Yan, Chao-Wu] Chinese Acad Med Sci &amp; Peking Union Med Coll, Fuwai Hosp, Natl Ctr Cardiovasc Dis, Beijing 100037, Peoples R China; [Hua, Lu] Chinese Acad Med Sci, Fuwai Hosp, Shenzhen 100037, Peoples R China; [Hua, Lu] Chinese Acad Med Sci &amp; Peking Union Med Coll, Fuwai Hosp, Ctr Resp &amp; Pulm Vasc Dis, Dept Cardiol,Natl Clin Res Ctr Cardiovasc Dis,Stat, Beijing, Peoples R China; [Yang, Wei-Xian] Chinese Acad Med Sci &amp; Peking Union Med Coll, Fuwai Hosp, Ctr Resp &amp; Pulm Vasc Dis, Dept Cardiol,Natl Clin Res Ctr Cardiovasc Dis,Stat, Beijing 100037, Peoples R China</t>
  </si>
  <si>
    <t>Chinese Academy of Medical Sciences - Peking Union Medical College; Fu Wai Hospital - CAMS; Peking Union Medical College; Chinese People's Liberation Army General Hospital; Chinese People's Liberation Army General Hospital; Chinese Academy of Medical Sciences - Peking Union Medical College; Peking Union Medical College; Fu Wai Hospital - CAMS; Chinese Academy of Medical Sciences - Peking Union Medical College; Peking Union Medical College; Chinese Academy of Medical Sciences - Peking Union Medical College; Fu Wai Hospital - CAMS; Peking Union Medical College; Chinese Academy of Medical Sciences - Peking Union Medical College; Fu Wai Hospital - CAMS; Chinese Academy of Medical Sciences - Peking Union Medical College; Fu Wai Hospital - CAMS; Peking Union Medical College; Chinese Academy of Medical Sciences - Peking Union Medical College; Peking Union Medical College; Fu Wai Hospital - CAMS</t>
  </si>
  <si>
    <t>Cao, J (corresponding author), Chinese Peoples Liberat Army Gen Hosp, Med Ctr 2, Dept Cardiol, Beijing 100853, Peoples R China.;Cao, J (corresponding author), Chinese Peoples Liberat Army Gen Hosp, Natl Clin Res Ctr Geriatr Dis, Beijing 100853, Peoples R China.;Wang, XJ; Yang, WX (corresponding author), Chinese Acad Med Sci &amp; Peking Union Med Coll, Fuwai Hosp, Ctr Resp &amp; Pulm Vasc Dis, Natl Ctr Cardiovasc Dis,Key Lab Pulm Vasc Med,Stat, Beijing, Peoples R China.;Hua, L (corresponding author), Chinese Acad Med Sci &amp; Peking Union Med Coll, Fuwai Hosp, Ctr Resp &amp; Pulm Vasc Dis, Dept Cardiol,Natl Clin Res Ctr Cardiovasc Dis,Stat, Beijing, Peoples R China.;Yang, WX (corresponding author), Chinese Acad Med Sci &amp; Peking Union Med Coll, Fuwai Hosp, Ctr Resp &amp; Pulm Vasc Dis, Dept Cardiol,Natl Clin Res Ctr Cardiovasc Dis,Stat, Beijing 100037, Peoples R China.</t>
  </si>
  <si>
    <t>ethannan@126.com; calvin@163.com; wang_xiaojian@vip.163.com; wxyang2009@sina.com</t>
  </si>
  <si>
    <t>Deng, Yuanrui/0000-0002-5874-9570</t>
  </si>
  <si>
    <t>Research Project of the National High Level Hospital Clinical Research Funding [2022-I2M-C]; CAMS Innovation Fund for Medical Sciences (CIFMS) [T-B-040, NCRC2020007]; National Clinical Research Center for Cardiovascular Diseases, Fuwai Hospital, Chinese Academy of Medical Sciences; [2022-GSP-QN-4]</t>
  </si>
  <si>
    <t>Research Project of the National High Level Hospital Clinical Research Funding; CAMS Innovation Fund for Medical Sciences (CIFMS); National Clinical Research Center for Cardiovascular Diseases, Fuwai Hospital, Chinese Academy of Medical Sciences;</t>
  </si>
  <si>
    <t>The study was supported by grants from the Research Project of the National High Level Hospital Clinical Research Funding (2022-GSP-QN-4) , CAMS Innovation Fund for Medical Sciences (CIFMS) (2022-I2M-C &amp; amp; T-B-040) , National Clinical Research Center for Cardiovascular Diseases, Fuwai Hospital, Chinese Academy of Medical Sciences (NCRC2020007) .</t>
  </si>
  <si>
    <t>W B SAUNDERS CO LTD</t>
  </si>
  <si>
    <t>32 JAMESTOWN RD, LONDON NW1 7BY, ENGLAND</t>
  </si>
  <si>
    <t>0954-6111</t>
  </si>
  <si>
    <t>1532-3064</t>
  </si>
  <si>
    <t>RESP MED</t>
  </si>
  <si>
    <t>Respir. Med.</t>
  </si>
  <si>
    <t>10.1016/j.rmed.2023.107369</t>
  </si>
  <si>
    <t>Cardiac &amp; Cardiovascular Systems; Respiratory System</t>
  </si>
  <si>
    <t>Cardiovascular System &amp; Cardiology; Respiratory System</t>
  </si>
  <si>
    <t>Q1FN3</t>
  </si>
  <si>
    <t>WOS:001055044900001</t>
  </si>
  <si>
    <t>Guo, WQ; Liu, P; Wu, P</t>
  </si>
  <si>
    <t>Guo, Weiqi; Liu, Peng; Wu, Ping</t>
  </si>
  <si>
    <t>Effect of Cu on the diffusion behavior of Bi in Sn matrix during electromigration</t>
  </si>
  <si>
    <t>MATERIALS CHARACTERIZATION</t>
  </si>
  <si>
    <t>Solidification; Electromigration; Sn-58Bi solder</t>
  </si>
  <si>
    <t>MECHANICAL-PROPERTIES; SOLDER ALLOYS; HETEROGENEOUS NUCLEATION; GRAPHENE NANOSHEETS; PARTICLES ADDITION; ZN ADDITIONS; MICROSTRUCTURE; CU6SN5; AL</t>
  </si>
  <si>
    <t>The segregation of Bi phase during current stressing deteriorates the mechanical property of Sn-58Bi solder joint. To improve the reliability of Sn-58Bi solder joint, a thorough understanding of the diffusion behavior of Bi elements is necessary. In this study, a Cu/SnBi/Sn-xCu/SnBi/Cu multi-layer solder joint structure was adopted to reveal the diffusion path of Bi element and the effect of Cu on the diffusion behavior of Bi during electromigration. The result showed that the Bi element diffused along the grain boundary. The presence of Cu had two competing mechanisms on the diffusion of Bi: it slowed the process by forming Cu6Sn5 intermetallic compounds that blocked and prolonged the diffusion path, yet also accelerated it by refining the Sn and creating more diffusion channels. A data processing method was used to estimate the diffusion rate of Bi and determine the dominant mechanism. The results indicated that the diffusion rate was accelerated by Cu doping, confirming that the dominant mechanism was the refining effect, which promoted the diffusion of Bi element.</t>
  </si>
  <si>
    <t>[Guo, Weiqi; Liu, Peng; Wu, Ping] Tianjin Univ, Fac Sci, Dept Appl Phys, Tianjin Key Lab Low Dimens Mat Phys &amp; Preparing Te, Tianjin 300354, Peoples R China</t>
  </si>
  <si>
    <t>Tianjin University</t>
  </si>
  <si>
    <t>Wu, P (corresponding author), Tianjin Univ, Fac Sci, Dept Appl Phys, Tianjin Key Lab Low Dimens Mat Phys &amp; Preparing Te, Tianjin 300354, Peoples R China.</t>
  </si>
  <si>
    <t>pingwu@tju.edu.cn</t>
  </si>
  <si>
    <t>National Natural Science Foundation of China [51572190]</t>
  </si>
  <si>
    <t>This work was supported by the National Natural Science Foundation of China [Grant No. 51572190] .</t>
  </si>
  <si>
    <t>1044-5803</t>
  </si>
  <si>
    <t>1873-4189</t>
  </si>
  <si>
    <t>MATER CHARACT</t>
  </si>
  <si>
    <t>Mater. Charact.</t>
  </si>
  <si>
    <t>10.1016/j.matchar.2023.113185</t>
  </si>
  <si>
    <t>Materials Science, Multidisciplinary; Metallurgy &amp; Metallurgical Engineering; Materials Science, Characterization &amp; Testing</t>
  </si>
  <si>
    <t>P1CL4</t>
  </si>
  <si>
    <t>WOS:001048085200001</t>
  </si>
  <si>
    <t>Gupta, SC</t>
  </si>
  <si>
    <t>Gupta, Subodh C.</t>
  </si>
  <si>
    <t>Issue with Stone-II three phase permeability model, and a novel robust fundamentals-based alternative to it</t>
  </si>
  <si>
    <t>The objective of this paper is to present a fundamentals-based, consistent with observation, three-phase flow model that avoids the pitfalls of conventional models such as Stone-II or Baker's three-phase permeability models. While investigating the myth of residual oil saturation in SAGD with comparing model generated results against field data, Gupta et al. (2020) highlighted the difficulty in matching observed residual oil saturation in steamed reservoir with Stone-II and Baker's linear models. Though the use of Stone-II model is very popular for three-phase flow across the industry, one issue in the context of gravity drainage is how it appears to counter-intuitively limit the flow of oil when water is present near its irreducible saturation. The current work begins with describing the problem with existing combinatorial methods such as Stone-II, which in turn combine the water-oil, and gas-oil relative permeability curves to yield the oil relative permeability curve in presence of water and gas. Then starting with the fundamentals of laminar flow in capillaries and with successive analogical formulations, it develops expressions that directly yield the relative permeabilities for all three phases. In this it assumes a pore size distribution approximated by functions used earlier in the literature for deriving two-phase relative permeability curves. The outlined approach by-passes the need for having combinatorial functions such as prescribed by Stone or Baker. The model so developed is simple to use, and it avoids the unnatural phenomenon or discrepancy due to a mathematical artefact described in the context of Stone II above. The model also explains why in the past some researchers have found relative permeability to be a function of temperature. The new model is also amenable to be determined experimentally, instead of being based on an assumed pore-size distribution. In that context it serves as a set of skeletal functions of known dependencies on various saturations, leaving constants to be determined experimentally. The novelty of the work is in development of a three-phase relative permeability model that is based on fundamentals of flow in fine channels and which explains the observed results in the context of flow in porous media better. The significance of the work includes, aside from predicting results more in line with expectations and an explanation of temperature dependent relative permeabilities of oil, a more reliable time dependent residual oleic-phase saturation in the context of gravity based oil recovery methods.</t>
  </si>
  <si>
    <t>[Gupta, Subodh C.] Heretech Energy Inc, Calgary, AB, Canada</t>
  </si>
  <si>
    <t>Gupta, SC (corresponding author), Heretech Energy Inc, Calgary, AB, Canada.</t>
  </si>
  <si>
    <t>subodh.gupta@heretechenergy.com</t>
  </si>
  <si>
    <t>10.1016/j.geoen.2023.211979</t>
  </si>
  <si>
    <t>Q2FY9</t>
  </si>
  <si>
    <t>WOS:001055739300001</t>
  </si>
  <si>
    <t>Gururani, K; Kothyari, GC; Kotlia, BS</t>
  </si>
  <si>
    <t>Gururani, Kalpana; Kothyari, Girish Ch; Kotlia, Bahadur Singh</t>
  </si>
  <si>
    <t>Morphotectonic assessment of the Gaula river basin, Kumaun lesser Himalaya, Uttarakhand</t>
  </si>
  <si>
    <t>Chi integral ( &amp; chi; ); Gaula river basin; Morphotectonic; Relative index of active tectonics (RIAT); Stream power incision model (SPIM); Tectonic activity</t>
  </si>
  <si>
    <t>NORTH ALMORA THRUST; ACTIVE TECTONICS; SURFACE DEFORMATION; LANDSCAPE EVOLUTION; CRYSTALLINE ZONE; INDIA; VALLEY; GEOMORPHOLOGY; CONSTRAINTS; INDICATORS</t>
  </si>
  <si>
    <t>Morphotectonics is a discipline of geomorphology that explores how landforms are formed or modified by tectonic action. In the present study we uthe sed application of geospatial technology to evaluate the active deformation owing to Main Boundary Thrust (MBT) and Ramgarh Thrust (RT) in Outer part of Kumaun Lesser Himalaya. Active deformation inside river valleys is ascribed downcuttinging and incision of bedrock, offset of river channel, lateral migration of the river, and development of Knickpoints. Therefore, we used quantitative geo-mathematical analysis of The Gaula river basin using ASTER DEM along with survey of India Toposheet (1:50,000) supplemented by field observations. Four morphotectonic metrics, including the basin elongation ratio, the asymmetry factor, the channel sinuosity, and the hypsometric integral, were derived to examine the relative index of active tectonics (RIAT). We applied Stream Power Incision Model (SPIM) by analysing the steepness index (K-sn) using the stream power law. Additionally, a comprehensive evaluation of tributary streams of the Gaula watershed has been carried out to understand relative tectonic activity. Further we used Chi integral (?) to measure transience dynamics and geometric disequilibrium of Gaula basin. We conclude that most sub-basins are tectonically enhanced, structurally organized and elongated in nature. The landform in the study area is largely controlled by presence of MBT, RT and subsidiary thrusts spread over in the vicinity. Based on our activity classes we concluded that approximately 31% of the area in Gaula river basin falls in very active whereas-34% is potentially active. Furthermore, we suggest that the results will be very useful for estimation of hazard potential zones in sub-Himalayan region of foothill zone of Kumaun Himalaya.</t>
  </si>
  <si>
    <t>[Gururani, Kalpana; Kotlia, Bahadur Singh] Kumaun Univ, Ctr Adv Studies Geol, Dept Geol, Naini Tal, India; [Kothyari, Girish Ch] Univ Petr &amp; Energy Studies, Dept Petr Engn &amp; Earth Sci, Dehra Dun, India</t>
  </si>
  <si>
    <t>Kumaun University; University of Petroleum &amp; Energy Studies (UPES)</t>
  </si>
  <si>
    <t>Gururani, K (corresponding author), Kumaun Univ, Ctr Adv Studies Geol, Dept Geol, Naini Tal, India.;Kothyari, GC (corresponding author), Univ Petr &amp; Energy Studies, Dept Petr Engn &amp; Earth Sci, Dehra Dun, India.</t>
  </si>
  <si>
    <t>kalpana.gururani2009@gmail.com; kothyarigirish_k@rediffmail.com; bahadur.kotlia@gmail.com</t>
  </si>
  <si>
    <t>10.1016/j.qsa.2023.100115</t>
  </si>
  <si>
    <t>S3MR8</t>
  </si>
  <si>
    <t>WOS:001070248500001</t>
  </si>
  <si>
    <t>Haines, KL; Ohnuma, T; Grisel, B; Krishnamoorthy, V; Raghunathan, K; Sulo, S; Kerr, KW; Besecker, B; Cassady, BA; Wischmeyer, PE</t>
  </si>
  <si>
    <t>Haines, Krista L.; Ohnuma, Tetsu; Grisel, Braylee; Krishnamoorthy, Vijay; Raghunathan, Karthik; Sulo, Suela; Kerr, Kirk W.; Besecker, Beth; Cassady, Bridget A.; Wischmeyer, Paul E.</t>
  </si>
  <si>
    <t>Early enteral nutrition is associated with improved outcomes in critically ill mechanically ventilated medical and surgical patients</t>
  </si>
  <si>
    <t>Nutrition support; Critically ill; Early feeding; Patient outcomes; Healthcare costs</t>
  </si>
  <si>
    <t>SUPPORT; GUIDELINES; RISK; MULTICENTER; EDUCATION</t>
  </si>
  <si>
    <t>Background and aims: Data suggest that guidelines for enteral nutrition (EN) initiation are not closely followed in clinical practice. In addition, critically ill mechanically ventilated (MV) patients have varying metabolic needs, which often increase and persist over time, requiring personalized nutrition inter-vention. While both over-and under-nutrition can impact patient outcomes, recent data suggest that targeted early EN delivery may reduce mortality and improve clinical outcomes. This study examined if early EN improves clinical outcomes and decreases costs in critically ill patients on MV. Methods: Data from a nationwide administrative-financial database between 2018 and 2020 was utilized to identify eligible adult critical care patients. Patients who received EN within 3 days after intubation (early EN) were compared to patients who started EN after 3 days of intubation (late EN). Outcomes of interest included hospital mortality, discharge disposition, hospital and intensive care unit (ICU) length of stay (LOS), MV days, and total cost. After inverse-probability-of-treatment weighting, outcomes were modeled using a nominal logistic regression model for hospital mortality and discharge disposition, a linear regression model for cost, and Cox proportional-hazards model for MV days, hospital and ICU LOS. Results: A total of 27,887 adult patients with early MV were identified, of which 16,772 (60.1%) received early EN. Regression analyses showed that the early EN group had lower hospital mortality (OR = 0.88, 95% CI, 0.82 to 0.94), were more likely to be discharged home (OR = 1.47, 95% CI 1.38 to 1.56), had fewer MV days (HR = 1.23, 95% CI, 1.11 to 1.37), shorter hospital LOS (HR = 1.43, 95% CI, 1.33 to 1.54) and ICU LOS (HR = 1.36, 95% CI, 1.27 to 1.46), and lower cost (-$21,226; 95% CI,-$23,605 to-$18,848) compared to the late EN group. Conclusions: Early EN within 3 days of MV initiation in real-world practice demonstrated improved clinical and economic outcomes. These data suggest that early EN is associated with decreased hospital mortality, increased discharge to home, and decreased hospital and ICU LOS, time on MV, and cost compared to delayed initiation of EN; highlighting the importance of early EN to optimize utcomes ando support the recovery of critically ill patients on MV. &amp; COPY; 2023 European Society for Clinical Nutrition and Metabolism. Published by Elsevier Ltd. All rights reserved.</t>
  </si>
  <si>
    <t>[Haines, Krista L.; Grisel, Braylee] Duke Univ Med Ctr, Dept Surg, Div Trauma &amp; Crit Care &amp; Acute Care Surg, 2301 Erwin Rd, Durham, NC 27710 USA; [Haines, Krista L.; Ohnuma, Tetsu; Krishnamoorthy, Vijay; Raghunathan, Karthik; Sulo, Suela] Duke Univ Med Ctr, Crit Care &amp; Perioperat Epidemiol Res CAPER Unit, 2301 Erwin Rd, Durham, NC 27710 USA; [Ohnuma, Tetsu; Krishnamoorthy, Vijay; Raghunathan, Karthik; Wischmeyer, Paul E.] Duke Univ Med Ctr, Dept Anesthesiol, 2301 Erwin Rd, Durham, NC 27710 USA; [Kerr, Kirk W.; Besecker, Beth; Cassady, Bridget A.] Abbott Nutr, Sci &amp; Med Affairs, Columbus, OH USA; [Haines, Krista L.] MABMH Duke Univ Med Ctr, Dept Surg Div Trauma Crit Care &amp; Acute Care Surg, DUMC 2837, Durham, NC 27710 USA</t>
  </si>
  <si>
    <t>Duke University; Duke University; Duke University</t>
  </si>
  <si>
    <t>Haines, KL (corresponding author), MABMH Duke Univ Med Ctr, Dept Surg Div Trauma Crit Care &amp; Acute Care Surg, DUMC 2837, Durham, NC 27710 USA.</t>
  </si>
  <si>
    <t>krista.haines@duke.edu; tetsu.ohnuma@duke.edu; braylee.grisel@duke.edu; karthik.raghunathan@duke.edu; suela.sulo@abbott.com; kirk.kerr@abbott.com; beth.besecker@abbott.com; bridget.cassady@abbott.com; paul.wischmeyer@duke.edu</t>
  </si>
  <si>
    <t>Ohnuma, Tetsu/ABA-5625-2022</t>
  </si>
  <si>
    <t>Ohnuma, Tetsu/0000-0002-2303-6802; Grisel, Braylee/0000-0002-0410-593X; Haines, Krista/0000-0002-2056-1820; Raghunathan, Karthik/0000-0003-2809-5374</t>
  </si>
  <si>
    <t>Abbott, USA</t>
  </si>
  <si>
    <t>Financial support for this project was provided by Abbott, USA.</t>
  </si>
  <si>
    <t>10.1016/j.clnesp.2023.07.001</t>
  </si>
  <si>
    <t>P0IT0</t>
  </si>
  <si>
    <t>WOS:001047569000001</t>
  </si>
  <si>
    <t>Han, JY; Wang, XQ; Miao, HQ; Hou, BW; El Naggar, MH; Du, XL</t>
  </si>
  <si>
    <t>Han, Junyan; Wang, Xiaoqiang; Miao, Huiquan; Hou, Benwei; El Naggar, M. Hesham; Du, Xiuli</t>
  </si>
  <si>
    <t>Performance of parallel double pipelines under non-uniform seismic excitation</t>
  </si>
  <si>
    <t>Parallel double pipelines; Non-uniform seismic excitation; Seismic response; Pipe-soil interaction</t>
  </si>
  <si>
    <t>LONG TUNNEL; DYNAMIC-RESPONSE; WAVES</t>
  </si>
  <si>
    <t>This paper investigates the structural safety of parallel double-buried pipelines under non-uniform seismic excitation considering the soil-pipeline interaction. A three-dimensional nonlinear numerical model has been established to study the effects of seismic wave propagation and ground motion intensity, as well as the pipeline internal pressure and spacing between the pipelines on their structural safety. The dynamic response of the parallel double buried pipelines was evaluated in terms of the acceleration amplification, settlement of ground surface, and strain, displacement, and elliptical deformation of the pipeline. The results demonstrate that the seismic response of buried pipelines under non-uniform excitation has obvious nonlinear characteristics, especially when the loading intensity is high. It is found that the internal pressure has virtually no effect on the site acceleration response, but it amplifies the settlement of the ground surface. Meawhile, it inhibits the elliptic deformation of the pipeline. Furthermore, the variation of the elliptic deformation of parallel buried pipelines is found to be the same for different pipeline spacings considered in this study. On the other hand, the pipelines spacing has a significant influence on their seismic response as the interaction between the two pipelines gradually decreases with the increase in the spacing.</t>
  </si>
  <si>
    <t>[Han, Junyan; Wang, Xiaoqiang] Beijing Univ Technol, Key Lab Urban Secur &amp; Disaster Engn, Minist China Educ, Beijing 100124, Peoples R China; [Miao, Huiquan; Hou, Benwei; Du, Xiuli] Beijing Univ Technol, Key Lab Urban Secur &amp; Disaster Engn, China Minist Educ, Beijing 100124, Peoples R China; [El Naggar, M. Hesham] Western Univ, Geotech Res Ctr, Dept Civil &amp; Environm Engn, London, ON, Canada</t>
  </si>
  <si>
    <t>Beijing University of Technology; Beijing University of Technology; Western University (University of Western Ontario)</t>
  </si>
  <si>
    <t>Miao, HQ (corresponding author), Beijing Univ Technol, Key Lab Urban Secur &amp; Disaster Engn, China Minist Educ, Beijing 100124, Peoples R China.</t>
  </si>
  <si>
    <t>junyanhan@bjut.edu.cn; wangxq283537@emails.bjut.edu.cn; miaohq@bjut.edu.cn; benweihou@bjut.edu.cn; naggar@uwo.ca; duxiuli2015@163.com</t>
  </si>
  <si>
    <t>Beijing Municipal Natural Science Foundation [8212005, 8222008]; National Natural Science Foundation of China [U1839201, 52108427]</t>
  </si>
  <si>
    <t>Beijing Municipal Natural Science Foundation(Beijing Natural Science Foundation); National Natural Science Foundation of China(National Natural Science Foundation of China (NSFC))</t>
  </si>
  <si>
    <t>This work was funded by the Beijing Municipal Natural Science Foundation (No. 8212005 , No. 8222008) , and the National Natural Science Foundation of China (No. U1839201, No. 52108427) . The financial supports are greatly appreciated.</t>
  </si>
  <si>
    <t>10.1016/j.soildyn.2023.108079</t>
  </si>
  <si>
    <t>P5BW5</t>
  </si>
  <si>
    <t>WOS:001050831300001</t>
  </si>
  <si>
    <t>Hao, ZP; Hu, JC; Fan, YH; Li, LJ; Kong, LH</t>
  </si>
  <si>
    <t>Hao, Zhaopeng; Hu, Jincan; Fan, Yihang; Li, Lijia; Kong, Linghao</t>
  </si>
  <si>
    <t>Research on the dynamic plasticity mechanism of additive manufactured nickel-chromium-molybdenum corrosion-resistant alloy steel under impact load</t>
  </si>
  <si>
    <t>ENGINEERING FAILURE ANALYSIS</t>
  </si>
  <si>
    <t>022Cr17Ni12Mo2 alloy steel; Dynamic plasticity mechanism; Impact load; Dislocation; Molecular dynamics simulation</t>
  </si>
  <si>
    <t>AUSTENITIC STAINLESS-STEEL; STRENGTH; DEFORMATION; EVOLUTION; SINGLE</t>
  </si>
  <si>
    <t>In this paper, the dynamic mechanical response and microstructure evolution of 022Cr17Ni12Mo2 alloy steel under different impact velocities were studied at the atomic scale by Split Hopkinson pressure bar (SHPB) tests combined with molecular dynamics simulation, and the microstructure was characterized by TEM, HRTEM and EBSD. The results show that when the impact velocity (Up) is greater than 0.5 km/s, plastic waves appear in the material. The main reason for plastic deformation is that the impact load exceeds the Huguenot elastic limit of the material. At this time, the deformation of the microstructure is controlled by the nucleation and slip of dislocations. When the impact velocity is greater than 0.75 km/s, both elastic waves and plastic waves exist at the same time, and more dislocation junctions and L-C locks begin to appear. The movement of dislocations is restricted, and the plasticity decreases. When the impact velocity is greater than 1.5 km/s, due to the sharp increase of shear stress, more slip systems are activated, dislocations multiply, and plasticity is enhanced. Because the distribution of Mo element makes the grain boundary more stable, it affects the plastic deformation of the material. This work has important guiding significance for the in-depth understanding of the enhancement and failure mechanism of 022Cr17Ni12Mo2 alloy steel under impact load.</t>
  </si>
  <si>
    <t>[Hao, Zhaopeng; Hu, Jincan; Fan, Yihang; Li, Lijia; Kong, Linghao] ChangChun Univ Technol, Sch Mechatron Engn, Changchun 130012, Peoples R China</t>
  </si>
  <si>
    <t>Changchun University of Technology</t>
  </si>
  <si>
    <t>Fan, YH (corresponding author), ChangChun Univ Technol, Sch Mechatron Engn, Changchun 130012, Peoples R China.</t>
  </si>
  <si>
    <t>fyh1911@126.com</t>
  </si>
  <si>
    <t>National Natural Science Foundation of China [52275404]; Project of Science and Technology Bureau of Changchun City, Jilin Province [21ZY40]; Scientific research projects of Education Department of Jilin Province [JJKH20230753KJ]</t>
  </si>
  <si>
    <t>National Natural Science Foundation of China(National Natural Science Foundation of China (NSFC)); Project of Science and Technology Bureau of Changchun City, Jilin Province; Scientific research projects of Education Department of Jilin Province</t>
  </si>
  <si>
    <t>This work is supported by National Natural Science Foundation of China (52275404) , Project of Science and Technology Bureau of Changchun City, Jilin Province (21ZY40) , Scientific research projects of Education Department of Jilin Province (JJKH20230753KJ) .</t>
  </si>
  <si>
    <t>1350-6307</t>
  </si>
  <si>
    <t>1873-1961</t>
  </si>
  <si>
    <t>ENG FAIL ANAL</t>
  </si>
  <si>
    <t>Eng. Fail. Anal.</t>
  </si>
  <si>
    <t>10.1016/j.engfailanal.2023.107503</t>
  </si>
  <si>
    <t>Engineering, Mechanical; Materials Science, Characterization &amp; Testing</t>
  </si>
  <si>
    <t>P0DE2</t>
  </si>
  <si>
    <t>WOS:001047422500001</t>
  </si>
  <si>
    <t>Hazra, SK; Nandi, TK</t>
  </si>
  <si>
    <t>Hazra, S. K.; Nandi, T. K.</t>
  </si>
  <si>
    <t>Performance prediction and determination of optimum optical property of the nanofluid for energy storage in direct absorption solar collectors</t>
  </si>
  <si>
    <t>Direct absorption solar collector; Parametric behavior; Optimized mean extinction coefficient</t>
  </si>
  <si>
    <t>PHOTOTHERMAL CONVERSION CHARACTERISTICS; HEAT-TRANSFER; THERMAL-CONVERSION; EFFICIENCY; OPTIMIZATION; IMPROVEMENT; SPECTRUM; RECEIVER</t>
  </si>
  <si>
    <t>A direct absorption solar collector converts solar energy into thermal energy and stores it directly in the working fluid. Usually, a nanofluid is used as the working fluid. This work aims to study the behavior of the collector with wide variations of constructional and operating conditions, and then to arrive at the optimum mean extinction coefficients of the nanofluid for obtaining maximum energy storage efficiency. Some studies on these issues with limited scopes are available in the literature. A generalized way of choosing an optimized mean extinction coefficient of the nanofluid for applications in a direct absorption solar collector is not available elsewhere. The parametric behavior of a direct absorption solar collector is studied through a transient finite difference model that considers radiation and convection heat losses from the top surface and mirror reflection from the bottom. Node-wise transient energy equations are developed in terms of the mean extinction coefficient of the working fluid. The optimized mean extinction coefficient points, corresponding to the maximum energy storage efficiency under one sun incident illumination, are identified over a large number of parametric computations. These data show that the optimum mean extinction coefficient decreases with fluid height and illumination time. Correlations for optimum mean extinction coefficient as functions of fluid height and illumination time are derived through regression analyses over the maxima points. A simplified time-averaged correlation solely as a function of fluid height is also presented. In addition, an average optical thickness, a product of the fluid height and optimum mean extinction coefficient, of 2.35 is recommended while using a fluid height between 20 and 80 mm. It is expected that this work would enable one not only to understand the parametric behavior of the collector but also to design it optimally.</t>
  </si>
  <si>
    <t>[Hazra, S. K.; Nandi, T. K.] Indian Inst Technol Kharagpur, Cryogen Engn Ctr, Kharagpur 721302, West Bengal, India</t>
  </si>
  <si>
    <t>Hazra, SK (corresponding author), Indian Inst Technol Kharagpur, Cryogen Engn Ctr, Kharagpur 721302, West Bengal, India.</t>
  </si>
  <si>
    <t>soumyakantihazra@gmail.com</t>
  </si>
  <si>
    <t>Hazra, PhD, Dr. Soumya Kanti/0000-0001-7608-9871</t>
  </si>
  <si>
    <t>10.1016/j.applthermaleng.2023.121189</t>
  </si>
  <si>
    <t>P0BN7</t>
  </si>
  <si>
    <t>WOS:001047380000001</t>
  </si>
  <si>
    <t>He, YH; Liang, KX; Han, BY; Chi, XL</t>
  </si>
  <si>
    <t>He, Yunhan; Liang, Kaixin; Han, Binyao; Chi, Xinli</t>
  </si>
  <si>
    <t>A digital ally: The potential roles of ChatGPT in mental health services</t>
  </si>
  <si>
    <t>ASIAN JOURNAL OF PSYCHIATRY</t>
  </si>
  <si>
    <t>ChatGPT; Mental health services</t>
  </si>
  <si>
    <t>[He, Yunhan] Shenzhen Univ, Sch Psychol, Shenzhen, Peoples R China; [Liang, Kaixin] Univ Macau, Fac Social Sci, Dept Psychol, Taipa, Macao, Peoples R China; [Han, Binyao] Univ Rochester, Warner Sch Educ, Rochester, NY USA; [Chi, Xinli] Shenzhen Univ, Sch Psychol, Shenzhen, Peoples R China; [He, Yunhan] Shenzhen Univ, Sch Psychol, Shenzhen 518061, Peoples R China</t>
  </si>
  <si>
    <t>Shenzhen University; University of Macau; University of Rochester; Shenzhen University; Shenzhen University</t>
  </si>
  <si>
    <t>He, YH (corresponding author), Shenzhen Univ, Sch Psychol, Shenzhen 518061, Peoples R China.</t>
  </si>
  <si>
    <t>psylink_hyh@163.com</t>
  </si>
  <si>
    <t>1876-2018</t>
  </si>
  <si>
    <t>1876-2026</t>
  </si>
  <si>
    <t>ASIAN J PSYCHIATR</t>
  </si>
  <si>
    <t>Asian J. Psychiatr.</t>
  </si>
  <si>
    <t>10.1016/j.ajp.2023.103726</t>
  </si>
  <si>
    <t>Psychiatry</t>
  </si>
  <si>
    <t>R5SF6</t>
  </si>
  <si>
    <t>WOS:001064942800001</t>
  </si>
  <si>
    <t>He, ZZ; Chen, SZ; Liu, Y; Long, LL; He, Y; Wang, XJ; Zeng, ZX; He, JS; Shen, F; Zhang, YZ</t>
  </si>
  <si>
    <t>He, Zhaozhi; Chen, Sizhu; Liu, Yan; Long, Lulu; He, Yan; Wang, Xiaojing; Zeng, Zhenxing; He, Jinsong; Shen, Fei; Zhang, Yanzong</t>
  </si>
  <si>
    <t>Bioinspired spiderweb-liked protective hydrophobic layer for improving the durability of superhydrophilic/air superoleophobic coatings</t>
  </si>
  <si>
    <t>Aluminate coupling agent; Porous ceramics; Coexistence mechanism; Oil -water mixture; Oil -water emulsion; Cellulose</t>
  </si>
  <si>
    <t>OIL-ADHESION; WATER; SEPARATION; MEMBRANE; UNDERWATER; ROBUST; MESH</t>
  </si>
  <si>
    <t>Oily wastewater and oil spill have always been a common concern of environmental problems, and superwetting materials are the key to oil-water separation. However, the superwetting material is constantly blocked by oil, which is a crucial obstacle to its practical application. In this study, we proposed a novel strategy to protect the underlying superhydrophilic layer by using a hydrophobic aluminate coupling agent. And we constructed the superhydrophilic layer with cellulose and the superoleophobic surface with FS50-modified rough nanoparticles. Porous ceramics could achieve stable superhydrophilic/air superoleophobic properties through a simple soaking step (modified CM). The advanced and receding contact angles on the modified CM surface were 151.74 &amp; DEG; and 149.11 &amp; DEG; for crude oil. The modified CM could maintain the contact angle of oil above 150 &amp; DEG; at various temperatures, pH values, and abrasion. In the continuous separation process, the flux remained above 1.4 x 104 L m- 2 h-1, and the separation efficiency could achieve above 99 % for soybean oil. Besides, the modified CM could also separate oil-in-water emulsion. Further, we proposed the coexistence and fabrication mechanism of superhydrophilic/air superoleophobic interface. This study provides new design ideas for developing durable oil-water separation materials.</t>
  </si>
  <si>
    <t>[He, Zhaozhi; Chen, Sizhu; Liu, Yan; Long, Lulu; He, Yan; Wang, Xiaojing; Zeng, Zhenxing; He, Jinsong; Shen, Fei; Zhang, Yanzong] Sichuan Agr Univ, Coll Environm Sci, Chengdu 611130, Peoples R China</t>
  </si>
  <si>
    <t>Sichuan Agricultural University</t>
  </si>
  <si>
    <t>Liu, Y; Zhang, YZ (corresponding author), Sichuan Agr Univ, Coll Environm Sci, Chengdu 611130, Peoples R China.</t>
  </si>
  <si>
    <t>liuly@sicau.edu.cn; yzzhang@sicau.edu.cn</t>
  </si>
  <si>
    <t>He, Jinsong/N-1899-2014</t>
  </si>
  <si>
    <t>Science and Technology Department of Sichuan Province; [2021YFG0275]</t>
  </si>
  <si>
    <t>Science and Technology Department of Sichuan Province;</t>
  </si>
  <si>
    <t>This work was supported by the Science and Technology Department of Sichuan Province (2021YFG0275) .</t>
  </si>
  <si>
    <t>10.1016/j.compstruct.2023.117309</t>
  </si>
  <si>
    <t>Q1FP2</t>
  </si>
  <si>
    <t>WOS:001055046900001</t>
  </si>
  <si>
    <t>He, ZJ; Li, XQ; Zhang, HJ; Liu, X; Han, SX; Abdurahman, A; Shen, LM; Du, XB; Li, N; Yang, XD; Liu, Q</t>
  </si>
  <si>
    <t>He, Zhijun; Li, Xiaoqian; Zhang, Huajie; Liu, Xin; Han, Shuangxue; Abdurahman, Anwar; Shen, Liming; Du, Xiubo; Li, Nan; Yang, Xiaoda; Liu, Qiong</t>
  </si>
  <si>
    <t>A novel vanadium complex VO(p-dmada) inhibits neuroinflammation induced by lipopolysaccharide</t>
  </si>
  <si>
    <t>CHINESE CHEMICAL LETTERS</t>
  </si>
  <si>
    <t>Vanadium; VanadylN-(p-N,N-dimethylaminophenylcarbamoylmethyl)iminodiacetate (VO(p-dmada)); Neuroinflammation; Microglia; Proteomics; Peroxisome proliferator activated receptor; gamma(PPAR gamma)</t>
  </si>
  <si>
    <t>PPAR-GAMMA; MICROGLIAL ACTIVATION; INFLAMMATORY RESPONSE; TRANSCRIPTION FACTOR; CEREBRAL-ISCHEMIA; MECHANISMS; CELLS; GENE</t>
  </si>
  <si>
    <t>Uncontrolled microglial activation is decisively involved in the neuroinflammatory pathogenesis of brain diseases. Consequently, suppression of microglial overactivation appears to be a strategy for the prevention of nerve injury. In this paper, a novel vanadium complex, vanadyl N -( p-N,N dimethylaminophenylcarbamoylmethyl)iminodiacetate (VO(p-dmada)), was synthesized from vanadyl sulfate and N,N -dimethyl-p-phenylenediamine, which was structurally characterized by Fourier transform infrared spectrum and ESI-MS analysis. The effect of VO(p-dmada) on neuroinflammation was investigated by using the models of lipopolysaccharide (LPS)-induced BV2 microglial cells and BALB/c mice. Our data demonstrated that VO(p-dmada) significantly suppressed microglial activation by downregulating inflammatory mediators and associated proteins, and inactivating nuclear factor-kappa B (NF-kappa B) signaling pathway. VO(p-dmada) also upregulated peroxisome proliferator activated receptor gamma (PPAR gamma ) by reducing transglutaminase 2 and heat shock protein 60 expression. Co-treatment with PPAR gamma antagonist GW9662 significantly impeded the inhibitory effect of VO(p-dmada) on LPS-induced neuroinflammation. These cumulative findings demonstrated that VO(p-dmada) is a potential new drug for the treatment of neuroinflammation-related neurodegenerative diseases. (c) 2023 Published by Elsevier B.V. on behalf of Chinese Chemical Society and Institute of Materia Medica, Chinese Academy of Medical Sciences.</t>
  </si>
  <si>
    <t>[He, Zhijun; Li, Xiaoqian; Zhang, Huajie; Han, Shuangxue; Abdurahman, Anwar; Shen, Liming; Du, Xiubo; Li, Nan; Liu, Qiong] Shenzhen Univ, Coll Life Sci &amp; Oceanog, Shenzhen Key Lab Marine Biotechnol &amp; Ecol, Shenzhen 518055, Peoples R China; [He, Zhijun] Wuhan Polytech Univ, Natl R&amp;D Ctr Se Rrich Agr Prod Proc, Hubei Engn Res Ctr Deep Proc Green Se Rich Agr Pro, Sch Modern Ind Selenium Sci &amp; Engn, Wuhan 430023, Peoples R China; [Du, Xiubo; Liu, Qiong] Shenzhen Bay Lab, Shenzhen 518055, Peoples R China; [Yang, Xiaoda] Peking Univ, Sch Pharmaceut Sci, Dept Chem Biol, State Key Labs Nat &amp; Biomimet Drugs,Hlth Sci Ctr, Beijing 100191, Peoples R China; [Liu, Xin] Jinan Univ, Shenzhen Peoples Hosp, Dept Pharm, Clin Med Coll 2, Shenzhen 518020, Peoples R China; [Liu, Xin] Southern Univ Sci &amp; Technol, Affiliated Hosp 1, Shenzhen 518020, Peoples R China; [Li, Nan] Shenzhen Fundamental Res Inst, Shenzhen Hong Kong Inst Brain Sci, Shenzhen 518055, Peoples R China</t>
  </si>
  <si>
    <t>Shenzhen University; Wuhan Polytechnic University; Shenzhen Bay Laboratory; Peking University; Jinan University; Southern University of Science &amp; Technology</t>
  </si>
  <si>
    <t>Li, N; Liu, Q (corresponding author), Shenzhen Univ, Coll Life Sci &amp; Oceanog, Shenzhen Key Lab Marine Biotechnol &amp; Ecol, Shenzhen 518055, Peoples R China.;Liu, Q (corresponding author), Shenzhen Bay Lab, Shenzhen 518055, Peoples R China.;Yang, XD (corresponding author), Peking Univ, Sch Pharmaceut Sci, Dept Chem Biol, State Key Labs Nat &amp; Biomimet Drugs,Hlth Sci Ctr, Beijing 100191, Peoples R China.;Li, N (corresponding author), Shenzhen Fundamental Res Inst, Shenzhen Hong Kong Inst Brain Sci, Shenzhen 518055, Peoples R China.</t>
  </si>
  <si>
    <t>lin@szu.edu.cn; xyang@bjmu.edu.cn; liuqiong@szu.edu.cn</t>
  </si>
  <si>
    <t>National Natural Science Foundation of China [21877081]; China Postdoctoral Science Foundation [2021M692210]; Guangdong Provincial Key ST Program [2018B030336001]; Shenzhen Science and Technology Innovation Commission [JCYJ20200109110001818]; Shenzhen-Hong Kong Institute of brain Science-Shenzhen Fundamental Research institutions [2022SHIBS0003]</t>
  </si>
  <si>
    <t>National Natural Science Foundation of China(National Natural Science Foundation of China (NSFC)); China Postdoctoral Science Foundation(China Postdoctoral Science Foundation); Guangdong Provincial Key ST Program; Shenzhen Science and Technology Innovation Commission; Shenzhen-Hong Kong Institute of brain Science-Shenzhen Fundamental Research institutions</t>
  </si>
  <si>
    <t>This study was financially supported by grants from the National Natural Science Foundation of China (No. 21877081 ), the China Postdoctoral Science Foundation (No. 2021M692210 ), Guangdong Provincial Key S&amp;T Program (No. 2018B030336001 ), the Shenzhen Science and Technology Innovation Commission (No. JCYJ20200109110001818), and the Shenzhen-Hong Kong Institute of brain Science-Shenzhen Fundamental Research institutions (No. 2022SHIBS0003). We would like to thank the Instrumental Analysis Center of Shenzhen University and the Central Research Facilities of College of Life Sciences and Oceanography of Shenzhen University for the use of laser scanning confocal microscope.</t>
  </si>
  <si>
    <t>1001-8417</t>
  </si>
  <si>
    <t>1878-5964</t>
  </si>
  <si>
    <t>CHINESE CHEM LETT</t>
  </si>
  <si>
    <t>Chin. Chem. Lett.</t>
  </si>
  <si>
    <t>10.1016/j.cclet.2023.108236</t>
  </si>
  <si>
    <t>R2VZ9</t>
  </si>
  <si>
    <t>WOS:001062992000001</t>
  </si>
  <si>
    <t>He, ZM; Wang, PP; Liu, YX</t>
  </si>
  <si>
    <t>He, Zhongming; Wang, Panpan; Liu, Yaxin</t>
  </si>
  <si>
    <t>Cumulative deformation prediction and microstructure change of coarse-grained soil under cyclic loading</t>
  </si>
  <si>
    <t>Coarse-grained soil filler; Cyclic loading; Cumulative deformation; Prediction model; Microstructure</t>
  </si>
  <si>
    <t>UNBOUND GRANULAR-MATERIALS; PLASTIC-DEFORMATION</t>
  </si>
  <si>
    <t>This research aims to reveal the macroscopic cumulative deformation development pattern and internal structural change characteristics of coarse-grained soils under moving vehicle loads. Dynamic triaxial tests are used to investigate the development of cumulative deformation of coarse-grained soils under various deviatoric stresses, moisture contents, and loading frequencies. Based on the results of indoor tests, a comprehensive prediction model for the cumulative deformation of coarse-grained soils was established. The cumulative deformation increases with the increasing deviatoric stress, moisture content, and loading frequency. As the deviatoric stress grows, the cumulative deformation rate increases correspondingly. The cumulative deformation prediction model for coarse-grained soils proposed in this study has high accuracy. Cyclic loading reduces the number of large pores, increases the number of smaller pores, and increases the proportion of micropores with increasing deviatoric stress and moisture content. The effect of loading frequency on the deformation of coarse-grained soils is relatively small but still not negligible. Cyclic dynamic loading can transform the long pores in coarse-grained soil subgrade filler into elliptical and circular pores. The increase in moisture content can increase the proportion of long pores in coarse-grained soil filler. This research can deliver a valuable reference for analyzing the cumulative deformation of coarse-grained soils subjected to cyclic loading.</t>
  </si>
  <si>
    <t>[He, Zhongming; Wang, Panpan; Liu, Yaxin] Changsha Univ Sci &amp; Technol, Sch Traff &amp; Transportat Engn, Changsha 410114, Hunan, Peoples R China</t>
  </si>
  <si>
    <t>Changsha University of Science &amp; Technology</t>
  </si>
  <si>
    <t>Wang, PP (corresponding author), Changsha Univ Sci &amp; Technol, Sch Traff &amp; Transportat Engn, Changsha 410114, Hunan, Peoples R China.</t>
  </si>
  <si>
    <t>wangpanpan@stu.csust.edu.cn</t>
  </si>
  <si>
    <t>National Nature Science Foundation of China [51978084]; Innovation Project of Changsha University of Science and Technology for Postgraduate [CXCLY2022014]</t>
  </si>
  <si>
    <t>National Nature Science Foundation of China(National Natural Science Foundation of China (NSFC)); Innovation Project of Changsha University of Science and Technology for Postgraduate</t>
  </si>
  <si>
    <t>Financial support for this project was provided by the National Nature Science Foundation of China [grant number 51978084] and the Innovation Project of Changsha University of Science and Technology for Postgraduate [grant number CXCLY2022014] . We want to express our sincere thanks to the editors and anonymous reviewers for their valuable comments and suggestions.</t>
  </si>
  <si>
    <t>10.1016/j.soildyn.2023.108136</t>
  </si>
  <si>
    <t>P2YT6</t>
  </si>
  <si>
    <t>WOS:001049353600001</t>
  </si>
  <si>
    <t>Heikinheimo, V; Tiitu, M; Viinikka, A</t>
  </si>
  <si>
    <t>Heikinheimo, Vuokko; Tiitu, Maija; Viinikka, Arto</t>
  </si>
  <si>
    <t>Data on different types of green spaces and their accessibility in the seven largest urban regions in Finland</t>
  </si>
  <si>
    <t>Article; Data Paper</t>
  </si>
  <si>
    <t>Urban green space; Green space quality; Spatial accessibility; Network distances; Environmental equity; Open data</t>
  </si>
  <si>
    <t>Access to green spaces in urban regions is vital for the wellbeing of citizens. In this article, we present data on green space quality and path distances to different types of green spaces. The path distances represent green space accessibility using active travel modes (walking, cycling). The path distances were calculated using the pedestrian street network across the seven largest urban regions in Finland. We derived the green space typology from the Urban Atlas Data that is available across functional urban areas in Europe and enhanced it with national data on water bodies, conservation areas and recreational facilities and routes from Finland. We extracted the walkable street network from OpenStreetMap and calculated shortest paths to different types of green spaces using open-source Python programming tools. Network distances were calculated up to ten kilometers from each green space edge and the distances were aggregated into a 250 m x250 m statistical grid that is interoperable with various statistical data from Finland. The geospatial data files representing the different types of green spaces, network distances across the seven urban regions, as well as the processing and analysis scripts are shared in an open repository. These data offer actionable information about greenspace accessibility in Finnish urban regions and support the integration of green space quality and active travel modes into further research and planning activities.</t>
  </si>
  <si>
    <t>[Heikinheimo, Vuokko; Tiitu, Maija; Viinikka, Arto] Finnish Environm Inst Syke, Latokartanonkaari 11, Helsinki 00790, Finland</t>
  </si>
  <si>
    <t>Finnish Environment Institute</t>
  </si>
  <si>
    <t>Heikinheimo, V (corresponding author), Finnish Environm Inst Syke, Latokartanonkaari 11, Helsinki 00790, Finland.</t>
  </si>
  <si>
    <t>vuokko.heikinheimo@syke.fi</t>
  </si>
  <si>
    <t>Tiitu, Maija/AAE-2497-2021</t>
  </si>
  <si>
    <t>Tiitu, Maija/0000-0003-4759-4670</t>
  </si>
  <si>
    <t>Finnish Ministry of the Environment through the HYVIOE project [VN/10679/2020-YM-3]; Strategic Research Council (SRC) at Academy of Finland through the STYLE project [320402]; Finnish Environment Institute Syke</t>
  </si>
  <si>
    <t>Finnish Ministry of the Environment through the HYVIOE project; Strategic Research Council (SRC) at Academy of Finland through the STYLE project; Finnish Environment Institute Syke</t>
  </si>
  <si>
    <t>The authors thank the HYVIOE project team at the Finnish Environment Institute Syke and Finnish Institute for Health and Welfare (THL) . This work would not have been possible with-out open data from OpenStreetMap contributors, Finnish Environment Institute Syke and the European Environment Agency (EEA) , and open-source software from the open source developer community. This work was supported by the 'Laehioeohjelma' programme 2020-2022 at the Finnish Ministry of the Environment through the HYVIOE project (Spatial information and residents' experiences for development of comfortable living environments, decision number VN/10679/2020-YM-3) , the Strategic Research Council (SRC) at Academy of Finland through the STYLE project (Healthy Lifestyles to Boost Sustainable Growth, project number 320402) and the Finnish Environment Institute Syke.</t>
  </si>
  <si>
    <t>10.1016/j.dib.2023.109458</t>
  </si>
  <si>
    <t>R2PR8</t>
  </si>
  <si>
    <t>Green Published, Green Submitted, hybrid</t>
  </si>
  <si>
    <t>WOS:001062826000001</t>
  </si>
  <si>
    <t>Heinz, MVF; Sieuw, L; Lan, T; Turconi, A; Basso, D; Vagliani, F; Pozzi, A; Battaglia, C</t>
  </si>
  <si>
    <t>Heinz, Meike V. F.; Sieuw, Louis; Lan, Tu; Turconi, Alberto; Basso, Diego; Vagliani, Fabrizio; Pozzi, Andrea; Battaglia, Corsin</t>
  </si>
  <si>
    <t>Cell design strategies for sodium-zinc chloride (Na-ZnCl2) batteries, and first demonstration of tubular cells with 38 Ah capacity</t>
  </si>
  <si>
    <t>Stationary energy storage; ZEBRA battery; High-temperature metal chloride battery; Molten-salt battery; Molten sodium anode</t>
  </si>
  <si>
    <t>At present, high-temperature sodium-nickel chloride (Na-NiCl2) batteries with nickel-based cathode are pro-duced for specialty markets (e.g. backup power supply) at relatively low volumes. Replacing the nickel in the cathode by cheap and abundant zinc may enable this technology to provide sustainable large-scale energy storage for stationary applications at competitive cost. In this study, we derive design strategies from state-of-the-art Na-NiCl2 cells, and transfer them to Na-ZnCl2 cells. First, we evaluate the influence of cathode compartment filling level, sodium tetrachloroaluminate (NaAlCl4) secondary electrolyte volume, and active metal content on the pressure evolution during battery cell cycling. Based on this evaluation, we define a suitable Zn/NaCl cathode composition for integration into state-of-the-art high-temperature cells with tubular geometry. Second, we present cycling results of Na-ZnCl2 cells with 38 Ah capacity and 0.9 g/cm2 mass loading, corresponding to an areal capacity of 146 mAh/cm2 (100% state-of-charge, SOC). During operation at 280-300 degrees C, tubular cells cycled to high SOC (97-100% SOC) exhibit voltage fading with each cycle. We show that this voltage fading is related to the coarsening and segregation of zinc metal at the cathode, while conductivity and crystalline phase content of the ceramic Na-&amp; beta;-Al2O3 electrolyte are not significantly altered. In contrast, cell voltage and cathode structure remain stable when keeping the cell below 80% SOC. Under these cycling conditions, a cumulative capacity of &gt;550 Ah (22 cycles, 2.1 Ah/cm2) was transferred at discharge current densities of 10 mA/cm2 (C/ 15). Our experiments demonstrate successful integration of zinc electrodes in state-of-the-art tubular cells at commercially relevant mass loadings.</t>
  </si>
  <si>
    <t>[Heinz, Meike V. F.; Sieuw, Louis; Lan, Tu; Battaglia, Corsin] Swiss Fed Labs Mat Sci &amp; Technol, Empa, CH-8600 Dubendorf, Switzerland; [Turconi, Alberto; Basso, Diego; Vagliani, Fabrizio; Pozzi, Andrea] FZSoNick SA, CH-6855 Stabio, Switzerland</t>
  </si>
  <si>
    <t>Swiss Federal Institutes of Technology Domain; Swiss Federal Laboratories for Materials Science &amp; Technology (EMPA)</t>
  </si>
  <si>
    <t>Heinz, MVF (corresponding author), Swiss Fed Labs Mat Sci &amp; Technol, Empa, CH-8600 Dubendorf, Switzerland.</t>
  </si>
  <si>
    <t>Meike.Heinz@empa.ch</t>
  </si>
  <si>
    <t>Lan, Tu/CAG-1095-2022</t>
  </si>
  <si>
    <t>Lan, Tu/0000-0001-5188-6241</t>
  </si>
  <si>
    <t>European Union [963599]</t>
  </si>
  <si>
    <t>This project has received funding from the European Union's Horizon 2020 research and innovation program under grant agreement No 963599 (SOLSTICE) .</t>
  </si>
  <si>
    <t>10.1016/j.electacta.2023.142881</t>
  </si>
  <si>
    <t>P3II0</t>
  </si>
  <si>
    <t>WOS:001049606900001</t>
  </si>
  <si>
    <t>Holmes, M; Campbell, EE; de Wit, M; Taylor, JC</t>
  </si>
  <si>
    <t>Holmes, M.; Campbell, E. E.; de Wit, M.; Taylor, J. C.</t>
  </si>
  <si>
    <t>Can diatoms be used as a biomonitoring tool for surface and groundwater? Towards a baseline for Karoo water</t>
  </si>
  <si>
    <t>SOUTH AFRICAN JOURNAL OF BOTANY</t>
  </si>
  <si>
    <t>Hydraulic fracturing; Karoo; Diatom; Bioindicator; Water quality</t>
  </si>
  <si>
    <t>MONITORING EUTROPHICATION; SOUTHERN AFRICA; BENTHIC DIATOMS; SUBSTRATE TYPE; KOWIE RIVER; QUALITY; ASSEMBLAGES; INDICATORS; COMMUNITY; CHALLENGES</t>
  </si>
  <si>
    <t>The environmental risks from shale gas extraction through the unconventional method of 'fracking' are considerable and impact on water supplies below and above ground. Since 2010 the recovery of natural shale gas through fracking has been proposed in parts of the fragile semi-arid ecosystems that make up the Karoo biome in South Africa. These unique ecosystems are heavily reliant on underground water, intermittent and ephemeral springs, which are at great risk of contamination by fracking processes. Diatoms are present in all water bodies and reflect aspects of the environment in which they are located. As the possibility of fracking has not been removed, the aim of the project was to determine if diatoms could be used for rapid biomonitoring of underground and surface waters in the Karoo. Over a period of 24 months, water samples and diatom species were collected simultaneously from 65 sites. A total of 388 diatom taxa were identified from 290 samples with seasonal and substrate variation affecting species composition but not the environmental information. Species diversity information, on the other hand, often varied significantly between substrates within a single sample. Analysis using CCA established that the diatom composition was affected by lithium, oxidized nitrogen, electrical conductivity, and sulphate levels in the sampled water. We conclude that changes in diatom community composition in the Karoo do reflect the water chemistry and could be useful as bioindicators.&amp; COPY; 2023 SAAB. Published by Elsevier B.V. All rights reserved.</t>
  </si>
  <si>
    <t>[Holmes, M.; Campbell, E. E.] Nelson Mandela Univ, Dept Bot, South Campus, ZA-6001 Nelson Mandela Bay, South Africa; [de Wit, M.] Nelson Mandela Univ, Africa Earth Observ Network AEON, Earth Stewardship Sci Res Inst ESSRI, Nelson Mandela Bay, South Africa; [Taylor, J. C.] North West Univ, Unit Environm Sci &amp; Management, Potchefstroom, South Africa; [Taylor, J. C.] South African Inst Aquat Biodivers SAIAB, Grahamstown 6140, ZA-1015 Grahamstown, South Africa</t>
  </si>
  <si>
    <t>Nelson Mandela University; Nelson Mandela University; North West University - South Africa; National Research Foundation - South Africa; South African Institute for Aquatic Biodiversity</t>
  </si>
  <si>
    <t>Holmes, M (corresponding author), Nelson Mandela Univ, Dept Bot, South Campus, ZA-6001 Nelson Mandela Bay, South Africa.</t>
  </si>
  <si>
    <t>info@karoocats.org</t>
  </si>
  <si>
    <t>Holmes, Marion/0000-0003-1251-6939; Taylor, Jonathan Charles/0000-0003-2717-3246</t>
  </si>
  <si>
    <t>Iphakade [UID 9475]</t>
  </si>
  <si>
    <t>Iphakade</t>
  </si>
  <si>
    <t>Mr R.C. Holmes is thanked for his financial and logistical support during this project. Thank you to all the landowners on which the study sites are situated for allowing unlimited access as well as SAN-Parks for access to the Mountain Zebra National Park (Permit reference HOLM1332) . The project was funded by Iphakade (reference UID 9475) and formed part of the AEON Karoo Shale Gas Project base-line study.</t>
  </si>
  <si>
    <t>0254-6299</t>
  </si>
  <si>
    <t>1727-9321</t>
  </si>
  <si>
    <t>S AFR J BOT</t>
  </si>
  <si>
    <t>S. Afr. J. Bot.</t>
  </si>
  <si>
    <t>10.1016/j.sajb.2023.08.013</t>
  </si>
  <si>
    <t>Plant Sciences</t>
  </si>
  <si>
    <t>R4VS0</t>
  </si>
  <si>
    <t>WOS:001064343000001</t>
  </si>
  <si>
    <t>Holmes, MA</t>
  </si>
  <si>
    <t>Holmes, Melissa A.</t>
  </si>
  <si>
    <t>Creating equitable spaces for all learners: Transforming classrooms through biography-driven instructional conversations</t>
  </si>
  <si>
    <t>LINGUISTICS AND EDUCATION</t>
  </si>
  <si>
    <t>Biography-driven instruction; Classroom communication; Culturally relevant education; Culturally responsive teaching; Discourse analysis; Positive discourse analysis</t>
  </si>
  <si>
    <t>CULTURALLY SUSTAINING PEDAGOGY; TEACHER SENSEMAKING; EDUCATION; IDENTITIES; RELEVANT</t>
  </si>
  <si>
    <t>This paper employs positive discourse analysis to explore the discourse practices of grade-level teachers at a diverse elementary school. It examines how discourse was used to invite and nurture learners' willingness to share about and maximize the sociocultural and linguistic dimensions of their biographies. Two episodes of instructional conversation are used to illustrate how formal text properties of instructional conversations as well as social practices of the classroom influenced discourse and instantiated culturally responsive/sustaining pedagogy. Among findings, the discourse was found to position students as knowledgeable and capable, with use of mediation tools and teachers' situational responsiveness emerging as pivotal instructional practices. Results highlighted the benefits of biography-driven discourse for culturally and linguistically diverse learners and illustrated the potential of positive discourse analysis to advance social transformation.</t>
  </si>
  <si>
    <t>[Holmes, Melissa A.] Kansas State Univ, Coll Educ, Ctr Intercultural &amp; Multilingual Advocacy CIMA, 238 Bluemont Hall,1114 Midcampus Dr North, Manhattan, KS 66506 USA</t>
  </si>
  <si>
    <t>Kansas State University</t>
  </si>
  <si>
    <t>Holmes, MA (corresponding author), Kansas State Univ, Coll Educ, Ctr Intercultural &amp; Multilingual Advocacy CIMA, 238 Bluemont Hall,1114 Midcampus Dr North, Manhattan, KS 66506 USA.</t>
  </si>
  <si>
    <t>melissa@k-state.edu</t>
  </si>
  <si>
    <t>0898-5898</t>
  </si>
  <si>
    <t>1873-1864</t>
  </si>
  <si>
    <t>LINGUIST EDUC</t>
  </si>
  <si>
    <t>Linguist. Educ.</t>
  </si>
  <si>
    <t>10.1016/j.linged.2023.101230</t>
  </si>
  <si>
    <t>Education &amp; Educational Research; Linguistics; Language &amp; Linguistics</t>
  </si>
  <si>
    <t>Social Science Citation Index (SSCI); Arts &amp; Humanities Citation Index (A&amp;HCI)</t>
  </si>
  <si>
    <t>Education &amp; Educational Research; Linguistics</t>
  </si>
  <si>
    <t>S1SW5</t>
  </si>
  <si>
    <t>WOS:001069049800001</t>
  </si>
  <si>
    <t>Hu, G; Zhong, JY; Zhao, CY; Wei, G; Chang, CT</t>
  </si>
  <si>
    <t>Hu, Gang; Zhong, Jingyu; Zhao, Congyao; Wei, Guo; Chang, Ching-Ter</t>
  </si>
  <si>
    <t>LCAHA: A hybrid artificial hummingbird algorithm with multi-strategy for engineering applications</t>
  </si>
  <si>
    <t>Artificial hummingbird algorithm; Engineering optimization; Sinusoidal chaotic map; Levy flight; Cross and update foraging strategy; Benchmark</t>
  </si>
  <si>
    <t>CUCKOO SEARCH ALGORITHM; OPTIMIZATION ALGORITHM; DESIGN OPTIMIZATION; DIFFERENTIAL EVOLUTION; METAHEURISTIC APPROACH; PARAMETER-ESTIMATION; SYSTEM; SOLVE; MODEL</t>
  </si>
  <si>
    <t>The recently introduced Artificial Hummingbird Algorithm (AHA) exhibits competitive performance in developing optimization concerns. However, AHA has an imbalance between exploration and utilization abilities, often prematurely converging with low precision. Therefore, in this paper, a multi-strategy boosted hybrid artificial hummingbird algorithm called LCAHA combined with sinusoidal chaotic map strategy, Levy flight, cross, and update foraging strategy is proposed. Firstly, LCAHA is initialized by the sinusoidal chaotic map strategy to obtain a population with better ergodicity. Secondly, introducing the Levy flight can boost the diversity of the population, control premature convergence and boost the stability of the population. Then, two new strategies, cross foraging and update foraging, are introduced. The introduction of new foraging strategies further enhances the exploration and developmental capabilities. These three strategies work together to improve the overall performance of the AHA. Finally, the performance of the LCAHA is examined on 23 classical test suites, the CEC2017, CEC2019, and CEC2020 test suites, and six engineering optimization cases. The numerical experimental results show that LCAHA provides very promising numerical results in solving challenging optimization problems. The algorithm is applied to two spacecraft trajectory optimization cases. The experimental results demonstrate the applicability and potential of the LCAHA in solving practical applications.&amp; COPY; 2023 Elsevier B.V. All rights reserved.</t>
  </si>
  <si>
    <t>[Hu, Gang; Zhong, Jingyu; Zhao, Congyao] Xian Univ Technol, Dept Appl Math, Xian 710054, Peoples R China; [Wei, Guo] Univ North Carolina Pembroke, Pembroke, NC 28372 USA; [Chang, Ching-Ter] Chang Gung Univ, Dept Informat Management, Taoyuan, Taiwan</t>
  </si>
  <si>
    <t>Xi'an University of Technology; University of North Carolina; Chang Gung University</t>
  </si>
  <si>
    <t>Hu, G (corresponding author), Xian Univ Technol, Dept Appl Math, Xian 710054, Peoples R China.</t>
  </si>
  <si>
    <t>hugang@xaut.edu.cn</t>
  </si>
  <si>
    <t>Hu, Gang/0000-0003-4916-3460</t>
  </si>
  <si>
    <t>National Natural Science Foundation of China [51875454]</t>
  </si>
  <si>
    <t>Acknowledgments This work is supported by the National Natural Science Foundation of China (Grant Nos. 51875454) .</t>
  </si>
  <si>
    <t>10.1016/j.cma.2023.116238</t>
  </si>
  <si>
    <t>P1BO0</t>
  </si>
  <si>
    <t>WOS:001048061800001</t>
  </si>
  <si>
    <t>Hu, JT; Zhang, H; Li, Z; Yang, SQ; Zhang, SR; Li, HC; Lu, M</t>
  </si>
  <si>
    <t>Hu, Jintao; Zhang, Hu; Li, Zheng; Yang, Suiqiao; Zhang, Shengrong; Li, Hongchun; Lu, Ming</t>
  </si>
  <si>
    <t>Study on pore-water pressure variation and deformation characteristics of warm frozen soils under confined dynamic loading</t>
  </si>
  <si>
    <t>COLD REGIONS SCIENCE AND TECHNOLOGY</t>
  </si>
  <si>
    <t>Warm frozen soil; Confined compression test; Dynamic load; Pore-water pressure; Frozen soil deformation</t>
  </si>
  <si>
    <t>BEHAVIOR</t>
  </si>
  <si>
    <t>Warm frozen soil is currently the subject of research by many researchers in cold regions. Its highly unstable mechanical properties, particularly its dynamic properties, play an essential role in the instability of frozen soil foundations. The deformation of warm frozen soils and pore-water pressure are related, the confined compression tests under dynamic load were performed to clarify the relationship between them. And the variation law of pore-water pressure and deformation in frozen soils under the effect of four factors: temperature, dynamic stress amplitude, dry density and frequency were discussed, and the mechanism of pore-water pressure and deformation is also elaborated. The results show that the pore-water pressure of frozen soils varies greatly during the test, with a general three-stage pattern of increasing-dissipating-increasing. And the deformation of frozen soil has a significant regularity, and the overall variation trend is rapid increase followed by dynamic stability or slow growth. Meanwhile, creep and consolidation deformation are important components of frozen soil deformation, and the deformation generated by both in the test basically accounts for about 50% or more of the total deformation, and in some cases even up to about 64%. In addition, it is indicated that there is a positive linear relationship between the deformation of the specimen and the pore-water pressure. In conclusion, it can be helpful to carry out work in cold regions safely by studying the variation of pore-water pressure and deformation characteristics of warm frozen soils under dynamic loading.</t>
  </si>
  <si>
    <t>[Hu, Jintao; Zhang, Hu; Yang, Suiqiao; Zhang, Shengrong; Li, Hongchun; Lu, Ming] Northeast Forestry Univ, Sch Civil Engn &amp; Transportat, Harbin 150040, Heilongjiang, Peoples R China; [Hu, Jintao; Zhang, Hu; Yang, Suiqiao; Zhang, Shengrong; Li, Hongchun; Lu, Ming] Northeast Forestry Univ, Permafrost Inst, Harbin 150040, Heilongjiang, Peoples R China; [Zhang, Hu] Chinese Acad Sci, Northwest Inst Ecoenvironm &amp; Resources, State Key Lab Frozen Soil Engn, Lanzhou 730000, Gansu, Peoples R China; [Li, Zheng] Lanzhou Univ Technol, Sch Civil Engn, Lanzhou 730000, Gansu, Peoples R China</t>
  </si>
  <si>
    <t>Northeast Forestry University - China; Northeast Forestry University - China; Chinese Academy of Sciences; Lanzhou University of Technology</t>
  </si>
  <si>
    <t>Zhang, H (corresponding author), Northeast Forestry Univ, Sch Civil Engn &amp; Transportat, Harbin 150040, Heilongjiang, Peoples R China.</t>
  </si>
  <si>
    <t>zhanghu@nefu.edu.cn</t>
  </si>
  <si>
    <t>National Natural Science Founda- tion of China [41971085]; Science Foundation for Outstanding Young Scholars of Heilongjiang Province, China [YQ2022D001]; Innovation Foundation for Doctoral Program of Forestry Engineer- ing of Northeast Forestry University [LYGC202221]</t>
  </si>
  <si>
    <t>National Natural Science Founda- tion of China(National Natural Science Foundation of China (NSFC)); Science Foundation for Outstanding Young Scholars of Heilongjiang Province, China; Innovation Foundation for Doctoral Program of Forestry Engineer- ing of Northeast Forestry University</t>
  </si>
  <si>
    <t>This research was funded by the National Natural Science Founda- tion of China (No. 41971085) ; Science Foundation for Outstanding Young Scholars of Heilongjiang Province, China (No. YQ2022D001) ; The Innovation Foundation for Doctoral Program of Forestry Engineer- ing of Northeast Forestry University (No. LYGC202221) .</t>
  </si>
  <si>
    <t>0165-232X</t>
  </si>
  <si>
    <t>1872-7441</t>
  </si>
  <si>
    <t>COLD REG SCI TECHNOL</t>
  </si>
  <si>
    <t>Cold Reg. Sci. Tech.</t>
  </si>
  <si>
    <t>10.1016/j.coldregions.2023.103968</t>
  </si>
  <si>
    <t>Engineering, Environmental; Engineering, Civil; Geosciences, Multidisciplinary</t>
  </si>
  <si>
    <t>P4WF3</t>
  </si>
  <si>
    <t>WOS:001050673900001</t>
  </si>
  <si>
    <t>Hu, LZ; Liu, JY; Huang, XX; Nie, QQ; Liu, PL; Tan, ZC; Yu, HS</t>
  </si>
  <si>
    <t>Hu, Lizhen; Liu, Jiayou; Huang, Xiaoxiang; Nie, Qianqian; Liu, Penglei; Tan, Zhongchao; Yu, Hesheng</t>
  </si>
  <si>
    <t>Carbon-bridged atomically dispersed platinum on MOF-derived ZnO/C for selective photocatalytic oxidation of NO into Nitrates and Nitrites</t>
  </si>
  <si>
    <t>Photocatalytic oxidation; Single Pt atoms; Nanoclusters; ZnO; C; Selective NO oxidation</t>
  </si>
  <si>
    <t>METAL-ORGANIC FRAMEWORK; VISIBLE-LIGHT; CHARGE-TRANSFER; CATALYTIC-REDUCTION; FLUE-GAS; DEGRADATION; NANOPARTICLES; ABSORPTION; PERFORMANCE; ZIF-8</t>
  </si>
  <si>
    <t>Using nanoclusters and single atoms with unique activity to replace nanoparticles is a promising strategy to enhance catalyst activity. However, stable loading of nanoclusters and single atoms remain a challenge. This paper reports atomically dispersed Pt bridged with metal-organic framework (MOF)-derived ZnO/C through carbon atoms (Pt-ZnO/C), by impregnation combined with calcination, for photocatalytic oxidation of NO. The MOF-derived ZnO/C has a larger specific surface area than pure ZnO. The presence of C enhances the visible light absorption, promotes the migration of photogenerated carriers, and more importantly facilitates the stabilization of Pt single atoms through Pt-C interactions. The Pt species present in the Pt-ZnO/C catalysts in the form of single atoms and nanoclusters. The Pt-ZnO/C catalysts show high NO conversion rates and selectivity towards NO3 /NO2  ions formation. Specifically, the NO conversion rate of 81.9% is much higher than those of ZnO/C (31.4%) and Pt nanoparticles loaded ZnO/C (Pt NPs-ZnO/C, 58.6%). In addition, the selectivity of NO3 /NO2  (i. e., 98.6%) formation over the Pt-ZnO/C catalyst is much higher than that of NO2 (i.e., 1.4%). Furthermore, the photocatalysis tests and ESR results suggest that the Pt single atoms and nanoclusters can enhance the oxidation of NO by promoting the production of O2 &amp; BULL;- and OH &amp; BULL;. The DFT results also reveal that single Pt atoms promote the adsorption of O2 and H2O to form O2 &amp; BULL;- and OH &amp; BULL;. More importantly, OH &amp; BULL; can promote the selective oxidation of NO to NO3  /NO2  ions. In addition, the projected density of states of single Pt atoms loaded on the ZnO/C catalysts show that the presence of C atom bridge favors the stability of single Pt atoms because of the interaction between C and Pt atoms. This work provides a new strategy for the design of single-atom-loaded metal oxide catalysts.</t>
  </si>
  <si>
    <t>[Hu, Lizhen; Liu, Jiayou; Huang, Xiaoxiang; Nie, Qianqian; Liu, Penglei; Yu, Hesheng] China Univ Min &amp; Technol, Sch Chem Engn &amp; Technol, Xuzhou 221116, Jiangsu, Peoples R China; [Hu, Lizhen; Tan, Zhongchao] Univ Waterloo, Dept Mech &amp; Mechatron Engn, 200 Univ Ave West, Waterloo, ON N2L 3G1, Canada; [Tan, Zhongchao] Tsinghua Univ, Dept Energy &amp; Power Engn, Beijing 100084, Peoples R China; [Tan, Zhongchao] Univ Waterloo, Dept Mech &amp; Mechatron Engn, Waterloo, ON N2L 3G1, Canada</t>
  </si>
  <si>
    <t>China University of Mining &amp; Technology; University of Waterloo; Tsinghua University; University of Waterloo</t>
  </si>
  <si>
    <t>Yu, HS (corresponding author), China Univ Min &amp; Technol, Sch Chem Engn &amp; Technol, Xuzhou 221116, Jiangsu, Peoples R China.;Tan, ZC (corresponding author), Univ Waterloo, Dept Mech &amp; Mechatron Engn, Waterloo, ON N2L 3G1, Canada.</t>
  </si>
  <si>
    <t>tanz@uwaterloo.ca; heshengyu@cumt.edu.cn</t>
  </si>
  <si>
    <t>Liu, Jiayou/0000-0002-9116-8938</t>
  </si>
  <si>
    <t>National Natural Science Foundation of China [51878655]; Jiangsu Specially-Appointed Professor Fund, The Sponsored Project of Jiangsu Provincial Six Talent Peaks [JNHB-088]; Jiangsu Overseas Visiting Scholar Program for University Prominent Young amp; Middle-aged Teachers and Presidents; Xuzhou Municipal Key Research and Development Plan (Social Development) Program [KC21289]; Xuzhou International Technology Cooperation and Foreign Expert Program [KC 21374]</t>
  </si>
  <si>
    <t>National Natural Science Foundation of China(National Natural Science Foundation of China (NSFC)); Jiangsu Specially-Appointed Professor Fund, The Sponsored Project of Jiangsu Provincial Six Talent Peaks; Jiangsu Overseas Visiting Scholar Program for University Prominent Young amp; Middle-aged Teachers and Presidents; Xuzhou Municipal Key Research and Development Plan (Social Development) Program; Xuzhou International Technology Cooperation and Foreign Expert Program</t>
  </si>
  <si>
    <t>This work is financially supported by The National Natural Science Foundation of China (No. 51878655), Jiangsu Specially-Appointed Professor Fund, The Sponsored Project of Jiangsu Provincial Six Talent Peaks (No. JNHB-088), and Jiangsu Overseas Visiting Scholar Program for University Prominent Young &amp; amp; Middle-aged Teachers and Presidents, Xuzhou Municipal Key Research and Development Plan (Social Development) Program (No. KC21289), and Xuzhou International Technology Cooperation and Foreign Expert Program (No. KC 21374). The authors also acknowledge the technical support from Advanced Analysis and Computation Center, China University of Mining and Technology.</t>
  </si>
  <si>
    <t>0008-6223</t>
  </si>
  <si>
    <t>1873-3891</t>
  </si>
  <si>
    <t>Carbon</t>
  </si>
  <si>
    <t>10.1016/j.carbon.2023.118299</t>
  </si>
  <si>
    <t>Chemistry, Physical; Materials Science, Multidisciplinary</t>
  </si>
  <si>
    <t>O9YP4</t>
  </si>
  <si>
    <t>WOS:001047303300001</t>
  </si>
  <si>
    <t>Hu, MW; Tan, QY; Knibbe, R; Xu, M; Jiang, B; Wang, S; Li, X; Zhang, MX</t>
  </si>
  <si>
    <t>Hu, Mingwei; Tan, Qiyang; Knibbe, Ruth; Xu, Miao; Jiang, Bin; Wang, Sen; Li, Xue; Zhang, Ming-Xing</t>
  </si>
  <si>
    <t>Recent applications of machine learning in alloy design: A review</t>
  </si>
  <si>
    <t>MATERIALS SCIENCE &amp; ENGINEERING R-REPORTS</t>
  </si>
  <si>
    <t>Machine learning; Alloy design; Alloy composition; Mechanical properties; Forward prediction; Inverse design</t>
  </si>
  <si>
    <t>HIGH-ENTROPY ALLOYS; ARTIFICIAL NEURAL-NETWORKS; HIGH-THROUGHPUT EXPERIMENTS; MECHANICAL-PROPERTIES; MATERIALS DISCOVERY; FEATURE-SELECTION; PHASE PREDICTION; PHYSICAL METALLURGY; PATTERN-RECOGNITION; GENETIC ALGORITHMS</t>
  </si>
  <si>
    <t>The history of machine learning (ML) can be traced back to the 1950 s, and its application in alloy design has recently begun to flourish and expand rapidly. The driving force behind this is partially due to the inefficiency of traditional methods in designing better-performing alloys, partially due to the success of ML in other areas and alloy data becoming more accessible. ML methods can quickly predict the properties of the alloy from the data and suggest compositions for particularly required properties, thereby minimizing the need for resource -intensive experiments or simulations. The present work provides a critical review of this domain starting with an introduction to ML components, followed by an overview of the forward prediction of alloy properties, and an elaboration of the inverse design of alloys. This paper aims to summarize crucial findings, reveal key trends, and provide guidance for future directions.</t>
  </si>
  <si>
    <t>[Hu, Mingwei; Tan, Qiyang; Knibbe, Ruth; Zhang, Ming-Xing] Univ Queensland, Sch Mech &amp; Min Engn, St Lucia, Qld 4072, Australia; [Xu, Miao; Wang, Sen; Li, Xue] Univ Queensland, Sch Informat Technol &amp; Elect Engn, St Lucia, Qld 4072, Australia; [Jiang, Bin] Chongqing Univ, Coll Mat Sci &amp; Engn, Natl Engn Res Ctr Magnesium Alloys, Chongqing 400044, Peoples R China; [Jiang, Bin] Chongqing Inst Adv Light Met, Chongqing 400030, Peoples R China</t>
  </si>
  <si>
    <t>University of Queensland; University of Queensland; Chongqing University</t>
  </si>
  <si>
    <t>Tan, QY; Knibbe, R; Zhang, MX (corresponding author), Univ Queensland, Sch Mech &amp; Min Engn, St Lucia, Qld 4072, Australia.</t>
  </si>
  <si>
    <t>q.tan@uq.edu.au; ruth.knibbe@uq.edu.au; mingxing.zhang@uq.edu.au</t>
  </si>
  <si>
    <t>Hu, Mingwei/0000-0002-4395-7289</t>
  </si>
  <si>
    <t>ARC Discovery Project [DP180102454]</t>
  </si>
  <si>
    <t>ARC Discovery Project(Australian Research Council)</t>
  </si>
  <si>
    <t>Acknowledgements The authors are very grateful to ARC Discovery Project for funding support (No. DP180102454) .</t>
  </si>
  <si>
    <t>0927-796X</t>
  </si>
  <si>
    <t>1879-212X</t>
  </si>
  <si>
    <t>MAT SCI ENG R</t>
  </si>
  <si>
    <t>Mater. Sci. Eng. R-Rep.</t>
  </si>
  <si>
    <t>10.1016/j.mser.2023.100746</t>
  </si>
  <si>
    <t>N7ID1</t>
  </si>
  <si>
    <t>WOS:001038694700001</t>
  </si>
  <si>
    <t>Huan, JM; Chen, MS; Hou, YP; Zheng, YM</t>
  </si>
  <si>
    <t>Huan, Jinmu; Chen, Mingshuo; Hou, Yongping; Zheng, Yongmei</t>
  </si>
  <si>
    <t>Special fog harvesting mode on bioinspired hydrophilic dual-thread spider silk fiber</t>
  </si>
  <si>
    <t>CHEMICAL ENGINEERING JOURNAL</t>
  </si>
  <si>
    <t>Bioinspired spider silk fiber; Liquid film; Microchannel; Capillary force; Fog harvesting</t>
  </si>
  <si>
    <t>WATER COLLECTION; HANGING ABILITY; TRANSPORT; SURFACE</t>
  </si>
  <si>
    <t>Normal bioinspired spider silk fibers (BSSFs) show effective fog collection abilities but are weak in the rapid transport of captured droplets, which could potentially hinder the further improvement of fog harvesting efficiency. Factually, previous works have shown that the main axis of natural spider silk consists of two separate, parallel threads, similar to the microchannel structure of Sarracenia trichome. This structural feature may be an important factor contributing to the highly efficient fog harvesting ability of spider silks. However, to the best of our knowledge, previous studies on BSSFs have ignored this feature. In this work, inspired by spider silk and Sarracenia trichome, a novel bioinspired hydrophilic dual-thread spider silk fiber (HDSSF) is obtained via a simple dipping coating method to introduce capillary force. On the HDSSF, compared to previous works, a totally different fog harvesting mode was observed, i.e., captured droplets could be rapidly transported to spindle knots under the effect of capillary force and internal Laplace pressure difference via the connectivity of liquid film and no obvious droplets could be observed on the threads. The experimental observations and underlying mechanism analyses have verified that this special fog harvesting mode allows rapid transport and directional collection of droplets to accelerate the surface reconstruction rate, coupled with the high droplet capture ability of fiber, resulting in a significant improvement of fog harvesting efficiency (9.03 g cm(-2)center dot h(-1), a 590% increase compared with normal BSSF). Such HDSSF is potentially applicable in high-efficiency fog harvesting systems, droplet transport devices and other engineering applications related to fog harvesting.</t>
  </si>
  <si>
    <t>[Huan, Jinmu; Chen, Mingshuo; Hou, Yongping; Zheng, Yongmei] Beihang Univ BUAA, Sch Chem, Key Lab Bioinspired Smart Interfacial Sci &amp; Techno, Minist Educ, Beijing 100191, Peoples R China</t>
  </si>
  <si>
    <t>Hou, YP; Zheng, YM (corresponding author), Beihang Univ BUAA, Sch Chem, Key Lab Bioinspired Smart Interfacial Sci &amp; Techno, Minist Educ, Beijing 100191, Peoples R China.</t>
  </si>
  <si>
    <t>houyongping09@buaa.edu.cn; zhengym@buaa.edu.cn</t>
  </si>
  <si>
    <t>Hou, Yongping/0000-0001-6732-2002</t>
  </si>
  <si>
    <t>National Natural Science Foundation of China [2020Z030051001]; Aeronautical Science Foundation of China; [22275008]</t>
  </si>
  <si>
    <t>National Natural Science Foundation of China(National Natural Science Foundation of China (NSFC)); Aeronautical Science Foundation of China;</t>
  </si>
  <si>
    <t>This work is supported by the National Natural Science Foundation of China (22275008) and Aeronautical Science Foundation of China (2020Z030051001) .</t>
  </si>
  <si>
    <t>1385-8947</t>
  </si>
  <si>
    <t>1873-3212</t>
  </si>
  <si>
    <t>CHEM ENG J</t>
  </si>
  <si>
    <t>Chem. Eng. J.</t>
  </si>
  <si>
    <t>10.1016/j.cej.2023.145174</t>
  </si>
  <si>
    <t>P8WJ1</t>
  </si>
  <si>
    <t>WOS:001053418700001</t>
  </si>
  <si>
    <t>Huang, QQ; Wu, JP; Le, NT; Shen, YQ; Guo, PF; Schreck, KC; Kamson, D; Blair, L; Heo, HY; Li, X; Li, WB; Sair, HL; Blakeley, JO; Laterra, J; Holdhoff, M; Grossman, SA; Mukherjee, D; Bettegowda, C; van Zijl, P; Zhou, JY; Jiang, SS</t>
  </si>
  <si>
    <t>Huang, Qianqi; Wu, Jingpu; Le, Nhat; Shen, Yiqing; Guo, Pengfei; Schreck, Karisa C.; Kamson, David; Blair, Lindsay; Heo, Hye-Young; Li, Xu; Li, Wenbo; Sair, Haris L.; Blakeley, Jaishri O.; Laterra, John; Holdhoff, Matthias; Grossman, Stuart A.; Mukherjee, Debraj; Bettegowda, Chetan; van Zijl, Peter; Zhou, Jinyuan; Jiang, Shanshan</t>
  </si>
  <si>
    <t>CEST2022: Amide proton transfer-weighted MRI improves the diagnostic performance of multiparametric non-contrast-enhanced MRI techniques in patients with post-treatment high-grade gliomas</t>
  </si>
  <si>
    <t>Glioblastoma; Treatment effect; Magnetic resonance imaging; Amide proton transfer-weighted imaging; Arterial spin labeling imaging</t>
  </si>
  <si>
    <t>MAGNETIC-RESONANCE-SPECTROSCOPY; POSITRON-EMISSION-TOMOGRAPHY; BRAIN-TUMOR; TRUE PROGRESSION; RESPONSE ASSESSMENT; HISTOGRAM ANALYSIS; PERFUSION MRI; DIFFERENTIATION; PSEUDOPROGRESSION; TEMOZOLOMIDE</t>
  </si>
  <si>
    <t>New or enlarged lesions in malignant gliomas after surgery and chemoradiation can be associated with tumor recurrence or treatment effect. Due to similar radiographic characteristics, conventional-and even some advanced MRI techniques-are limited in distinguishing these two pathologies. Amide proton transfer-weighted (APTw) MRI, a protein-based molecular imaging technique that does not require the administration of any exogenous contrast agent, was recently introduced into the clinical setting. In this study, we evaluated and compared the diagnostic performances of APTw MRI with several non-contrast-enhanced MRI sequences, such as diffusion-weighted imaging, susceptibility-weighted imaging, and pseudo-continuous arterial spin labeling. Thirty-nine scans from 28 glioma patients were obtained on a 3 T MRI scanner. A histogram analysis approach was employed to extract parameters from each tumor area. Statistically significant parameters (P &lt; 0.05) were selected to train multivariate logistic regression models to evaluate the performance of MRI sequences. Multiple histogram parameters, particularly from APTw and pseudo-continuous arterial spin labeling images, demonstrated significant differences between treatment effect and recurrent tumor. The regression model trained on the combination of all significant histogram parameters achieved the best result (area under the curve = 0.89). We found that APTw images added value to other advanced MR images for the differentiation of treatment effect and tumor recurrence.</t>
  </si>
  <si>
    <t>[Huang, Qianqi; Wu, Jingpu; Le, Nhat; Shen, Yiqing; Guo, Pengfei; Heo, Hye-Young; Li, Xu; Li, Wenbo; Sair, Haris L.; van Zijl, Peter; Zhou, Jinyuan; Jiang, Shanshan] Johns Hopkins Univ, Sch Med, Dept Radiol, Baltimore, MD 21287 USA; [Huang, Qianqi] Johns Hopkins Univ, Whiting Sch Engn, Dept Biomed Engn, Baltimore, MD USA; [Wu, Jingpu] Johns Hopkins Univ, Whiting Sch Engn, Dept Appl Math &amp; Stat, Baltimore, MD USA; [Le, Nhat; Shen, Yiqing; Guo, Pengfei] Johns Hopkins Univ, Whiting Sch Engn, Dept Comp Sci, Baltimore, MD USA; [Schreck, Karisa C.; Blair, Lindsay; Blakeley, Jaishri O.; Laterra, John] Johns Hopkins Univ, Sch Med, Dept Neurol, Baltimore, MD USA; [Schreck, Karisa C.; Kamson, David; Blakeley, Jaishri O.; Laterra, John; Holdhoff, Matthias; Grossman, Stuart A.] Johns Hopkins Univ, Sch Med, Dept Oncol, Baltimore, MD USA; [Sair, Haris L.] Johns Hopkins Univ, Malone Ctr Engn Healthcare, Whiting Sch Engn, Baltimore, MD USA; [Mukherjee, Debraj; Bettegowda, Chetan] Johns Hopkins Univ, Sch Med, Dept Neurosurg, Baltimore, MD USA; [Li, Xu; Li, Wenbo] Kennedy Krieger Inst, FM Kirby Res Ctr Funct Brain Imaging, Baltimore, MD USA; [Jiang, Shanshan] Johns Hopkins Univ, Dept Radiol, 600 N Wolfe St,Pk 332, Baltimore, MD 21287 USA</t>
  </si>
  <si>
    <t>Johns Hopkins University; Johns Hopkins University; Johns Hopkins University; Johns Hopkins University; Johns Hopkins University; Johns Hopkins University; Johns Hopkins University; Johns Hopkins University; Kennedy Krieger Institute; Johns Hopkins University</t>
  </si>
  <si>
    <t>Jiang, SS (corresponding author), Johns Hopkins Univ, Dept Radiol, 600 N Wolfe St,Pk 332, Baltimore, MD 21287 USA.</t>
  </si>
  <si>
    <t>sjiang21@jhmi.edu</t>
  </si>
  <si>
    <t>Le, Nhat/0009-0009-8193-0288</t>
  </si>
  <si>
    <t>National Institutes of Health [R37CA248077, R01CA228188]; NIH [1S10ODO21648]</t>
  </si>
  <si>
    <t>National Institutes of Health(United States Department of Health &amp; Human ServicesNational Institutes of Health (NIH) - USA); NIH(United States Department of Health &amp; Human ServicesNational Institutes of Health (NIH) - USA)</t>
  </si>
  <si>
    <t>This work was supported in part by grants from the National Institutes of Health (R37CA248077, R01CA228188) . The MRI equipment in this study was funded by the NIH grant: 1S10ODO21648. The authors thank Ms. Mary McAllister for editorial assistance.</t>
  </si>
  <si>
    <t>10.1016/j.mri.2023.06.003</t>
  </si>
  <si>
    <t>P3HU9</t>
  </si>
  <si>
    <t>WOS:001049593600001</t>
  </si>
  <si>
    <t>Huang, TL; Pan, HH; Sun, WC</t>
  </si>
  <si>
    <t>Huang, Tenglong; Pan, Huihui; Sun, Weichao</t>
  </si>
  <si>
    <t>A sensor fault detection, isolation, and estimation method for intelligent vehicles</t>
  </si>
  <si>
    <t>CONTROL ENGINEERING PRACTICE</t>
  </si>
  <si>
    <t>Intelligent vehicles; Sensor fault; Interval bounds; Fault detection; Isolation; Estimation</t>
  </si>
  <si>
    <t>PRINCIPAL COMPONENT ANALYSIS; FINITE-TIME CONTROL; TOLERANT CONTROL; INTERVAL OBSERVERS; NONLINEAR-SYSTEMS; LPV SYSTEMS; DIAGNOSIS; TRACKING</t>
  </si>
  <si>
    <t>Accurate and reliable sensor information is crucial for intelligent vehicles to ensure safety and reliability. It is significant to devise effective solutions to diagnose possible sensor faults. In this paper, a sensor fault detection, isolation, and estimation approach is developed for intelligent vehicle-integrated motion systems. The Luenberger observer is designed and embedded into the fault diagnosis framework to real-time estimate the system states. Interval observers are constructed for vehicle subsystems to estimate the interval bounds of the corresponding observation errors. The estimation errors enter into the corresponding intervals generated by the adaptive laws when the sensor fault is free. In the event of a sensor fault, it can be detected efficiently and the faulty sensor can be isolated. Moreover, occurred sensor fault can be estimated by modifying the interval observer structure. The simulation results in the standard J-Turn test scenario are provided to evaluate and verify the effectiveness of the proposed method.</t>
  </si>
  <si>
    <t>[Huang, Tenglong; Pan, Huihui; Sun, Weichao] Harbin Inst Technol, Res Inst Intelligent Control &amp; Syst, Harbin 150001, Peoples R China</t>
  </si>
  <si>
    <t>Harbin Institute of Technology</t>
  </si>
  <si>
    <t>Pan, HH (corresponding author), Harbin Inst Technol, Res Inst Intelligent Control &amp; Syst, Harbin 150001, Peoples R China.</t>
  </si>
  <si>
    <t>huihuipan@hit.edu.cn</t>
  </si>
  <si>
    <t>National Natural Science Foundation of China [U1964201, 62173108, 62022031]; Post-Doctoral Science Foundation of Heilongjiang Province [LBH-TZ2111]; Major Scientific and Technological Special Project of Heilongjiang Province [2021ZX05A01]; Fundamental Research Funds for the Central Universities [HIT.OCEF.2022012]</t>
  </si>
  <si>
    <t>National Natural Science Foundation of China(National Natural Science Foundation of China (NSFC)); Post-Doctoral Science Foundation of Heilongjiang Province(China Postdoctoral Science Foundation); Major Scientific and Technological Special Project of Heilongjiang Province; Fundamental Research Funds for the Central Universities(Fundamental Research Funds for the Central Universities)</t>
  </si>
  <si>
    <t>Acknowledgments This work was supported in part by the National Natural Science Foundation of China under Grant U1964201, Grant 62173108, and Grant 62022031; in part by the Post-Doctoral Science Foundation of Heilongjiang Province under Grant LBH-TZ2111; in part by the Major Scientific and Technological Special Project of Heilongjiang Province under Grant 2021ZX05A01; and in part by the Fundamental Research Funds for the Central Universities under Grant HIT.OCEF.2022012.</t>
  </si>
  <si>
    <t>0967-0661</t>
  </si>
  <si>
    <t>1873-6939</t>
  </si>
  <si>
    <t>CONTROL ENG PRACT</t>
  </si>
  <si>
    <t>Control Eng. Practice</t>
  </si>
  <si>
    <t>10.1016/j.conengprac.2023.105620</t>
  </si>
  <si>
    <t>P1QE8</t>
  </si>
  <si>
    <t>WOS:001048449200001</t>
  </si>
  <si>
    <t>Hunter, EA; Meyer, JM; Brown, GM; Hanks, MA</t>
  </si>
  <si>
    <t>Hunter, Evelyn A.; Meyer, J. M.; Brown, G. M.; Hanks, M. A.</t>
  </si>
  <si>
    <t>Stress indicators in minorities with multiple sclerosis</t>
  </si>
  <si>
    <t>Multiple sclerosis; Health disparities; Discrimination; Well-being</t>
  </si>
  <si>
    <t>QUALITY-OF-LIFE; RACIAL-DISCRIMINATION; PERCEIVED DISCRIMINATION; PSYCHOLOGICAL DISTRESS; PSYCHIATRIC-DISORDERS; AFRICAN-AMERICANS; MENTAL-HEALTH; UNITED-STATES; RACE; DEPRESSION</t>
  </si>
  <si>
    <t>Black Americans with multiple sclerosis (MS) experience higher levels of disease-related disability compared to White Americans (Marrie et al., 2006). Comorbidities such as depression and anxiety, which are underdiagnosed and undertreated in this population, negatively impact quality of life and treatment outcomes for people living with multiple sclerosis (plwMS) (D'Alisa et al., 2006; Marrie et al., 2009; Stepleman et al., 2014). Acts of discrimination toward Black Americans is associated with stress, which is a contributing factor for depression (Carter, 2017; Nadimpalli, 2015; Williams and Mohammed, 2009). This study compared the severity of multiple sclerosis symptoms amongst Black Americans and White Americans, and whether worsened MS symptoms in Black Americans are associated with increased experiences of discrimination. Data was analyzed from 143 plwMS in the Stress Indicators in Minorities with Multiple Sclerosis (SiMMS) study. Using the Mann-Whitney U test, significant differences were found on the NIH Emotional Distress -Anxiety measure (U = 1466.500, p = 0.045) and NIH Sleep Disturbance measure (U = 1467.000, p = 0.044) between the Black participant and the White participant groups. Discrimination was significantly correlated with both NIH Emotional Distress - Anx-iety (r = 0.677, p &lt; .001) and NIH Sleep Disturbance (r = 0.446, p = .007) in Black MS individuals. Additionally, several physiological condition and psychological outcome measures were correlated with the NIH Emotional Distress -Anxiety and NIH Sleep Disturbance measures. This study contributes to literature highlighting the negative impacts of discrimination and race related stress on the physical and mental health of Black Americans.</t>
  </si>
  <si>
    <t>[Hunter, Evelyn A.; Meyer, J. M.; Brown, G. M.; Hanks, M. A.] Auburn Univ, Special Educ Rehabil &amp; Counseling, Auburn, AL USA; [Hunter, Evelyn A.] Auburn Univ, Special Educ Rehabil &amp; Counseling Dept, 2084 Haley Ctr, Auburn, AL 36849 USA</t>
  </si>
  <si>
    <t>Auburn University System; Auburn University; Auburn University System; Auburn University</t>
  </si>
  <si>
    <t>Hunter, EA (corresponding author), Auburn Univ, Special Educ Rehabil &amp; Counseling Dept, 2084 Haley Ctr, Auburn, AL 36849 USA.</t>
  </si>
  <si>
    <t>eac0006@auburn.edu</t>
  </si>
  <si>
    <t>10.1016/j.msard.2023.104914</t>
  </si>
  <si>
    <t>O9YY9</t>
  </si>
  <si>
    <t>WOS:001047312900001</t>
  </si>
  <si>
    <t>Hwang, Y; Kim, J; Ryu, Y</t>
  </si>
  <si>
    <t>Hwang, Yorum; Kim, Jongmin; Ryu, Youngryel</t>
  </si>
  <si>
    <t>Canopy structural changes explain reductions in canopy-level solar induced chlorophyll fluorescence in Prunus yedoensis seedlings under a drought stress condition</t>
  </si>
  <si>
    <t>REMOTE SENSING OF ENVIRONMENT</t>
  </si>
  <si>
    <t>Drought stress; Leaf inclination angle; Solar-induced chlorophyll fluorescence; Terrestrial laser scanning; Crown cover; Prunus yedoensis</t>
  </si>
  <si>
    <t>LEAF-AREA INDEX; STOMATAL CONDUCTANCE; RADIATIVE-TRANSFER; ANGLE DISTRIBUTION; CO2 ASSIMILATION; WATER-STRESS; PHOTOSYNTHESIS; RESOLUTION; MODEL; LIGHT</t>
  </si>
  <si>
    <t>Drought events have a major impact on vegetation structure and function. Recently, solar-induced chlorophyll fluorescence (SIF) has been widely used to understand the photosynthesis rates of vegetation under drought stress conditions. However, it is still unclear whether the reduction in SIF shown under drought stress conditions is regulated by physiological or structural factors. To understand the underlying reduction mechanism of SIF under drought stress, we conducted an experiment under a drought condition using one-year-old Prunus yedoensis seedlings. We compared the experiment trees with control trees that were not exposed to drought stress. We collected spectral and gas exchange data to monitor physiological changes and scanned the trees with a terrestrial laser scanner to monitor the structural changes. The discrete anisotropic radiative transfer (DART) and Fluspect models were used to simulate canopy-level SIF. We found that drought stress caused leaf-level steadystate fluorescence yield to increase, while maximum photosynthetic rate, stomatal conductance, and the quantum yield of Photosystem II decreased significantly. Regarding the canopy structural changes, the leaf inclination angle distribution of the experiment trees gradually turned toward erectophile over time (55.2 &amp; PLUSMN; 9.3 degrees to 74.7 &amp; PLUSMN; 6.0 degrees; mean &amp; PLUSMN; standard deviation), whereas that of the control trees remained relatively constant (52.9 &amp; PLUSMN; 8.8 degrees). Furthermore, reduction of crown cover of the experiment trees was 3-fold (77.4 &amp; PLUSMN; 9.8%) compared with the control trees (26.0 &amp; PLUSMN; 16.2%). The simulated nadir-view canopy-level SIF of the experiment trees was reduced 2.8-fold compared to the control trees. These findings, obtained specifically from Prunus yedoensis seedlings, indicate that canopy-level SIF reduced due to the canopy structural changes, although leaf-level fluorescence yield increased. Therefore, canopy structural changes should be considered when attempting to understand SIF reduction in drought conditions.</t>
  </si>
  <si>
    <t>[Hwang, Yorum; Kim, Jongmin; Ryu, Youngryel] Seoul Natl Univ, Interdisciplinary Program Landscape Architecture, Seoul, South Korea; [Ryu, Youngryel] Seoul Natl Univ, Dept Landscape Architecture &amp; Rural Syst Engn, Seoul, South Korea</t>
  </si>
  <si>
    <t>Seoul National University (SNU); Seoul National University (SNU)</t>
  </si>
  <si>
    <t>Ryu, Y (corresponding author), Seoul Natl Univ, Dept Landscape Architecture &amp; Rural Syst Engn, Seoul, South Korea.</t>
  </si>
  <si>
    <t>yryu@snu.ac.kr</t>
  </si>
  <si>
    <t>Kim, Jongmin/0000-0003-1789-7363</t>
  </si>
  <si>
    <t>Technology Development Project for Creation and Management of Ecosystem based Carbon Sinks [202300218237]; Rural Development Administration of Korea [PJ017023]; Research Institute of Agriculture and Life Sciences, Seoul National University; Ministry of Environment</t>
  </si>
  <si>
    <t>Technology Development Project for Creation and Management of Ecosystem based Carbon Sinks; Rural Development Administration of Korea(Rural Development Administration (RDA), Republic of Korea); Research Institute of Agriculture and Life Sciences, Seoul National University; Ministry of Environment(Ministry of Environment (ME), Republic of Korea)</t>
  </si>
  <si>
    <t>This paper was supported by Technology Development Project for Creation and Management of Ecosystem based Carbon Sinks (202300218237) through KEITI, Ministry of Environment, and by Rural Development Administration of Korea (PJ017023) . English proof-reading of this manuscript was supported by the Research Institute of Agriculture and Life Sciences, Seoul National University. We appreciate DongKun Lee for providing the terrestrial laser scanner and Hyun Seok Kim for sharing leaf water potential pressure chamber. We are also grateful to Seungjun Lee, Sangjun Lee, Sungchan Jeong, Ryoungseob Kwon, Tackang Yang, and Wonseok Choi for their assistance with field measurements. We thank Weiwei Liu for helping us utilize the DART simulation and Benjamin Dechant for internal discussion.</t>
  </si>
  <si>
    <t>0034-4257</t>
  </si>
  <si>
    <t>1879-0704</t>
  </si>
  <si>
    <t>REMOTE SENS ENVIRON</t>
  </si>
  <si>
    <t>Remote Sens. Environ.</t>
  </si>
  <si>
    <t>10.1016/j.rse.2023.113733</t>
  </si>
  <si>
    <t>Environmental Sciences; Remote Sensing; Imaging Science &amp; Photographic Technology</t>
  </si>
  <si>
    <t>Environmental Sciences &amp; Ecology; Remote Sensing; Imaging Science &amp; Photographic Technology</t>
  </si>
  <si>
    <t>P7YF1</t>
  </si>
  <si>
    <t>WOS:001052783900001</t>
  </si>
  <si>
    <t>Ilkhanoff, L; Qian, XX; Lima, JA; Tran, H; Soliman, EZ; Yeboah, J; Seliger, S; deFilippi, CR</t>
  </si>
  <si>
    <t>Ilkhanoff, Leonard; Qian, Xiaoxiao; Lima, Joao A.; Tran, Henry; Soliman, Elsayed Z.; Yeboah, Joseph; Seliger, Stephen; deFilippi, Christopher R.</t>
  </si>
  <si>
    <t>Electrocardiographic Associations of Cardiac Biomarkers and Cardiac Magnetic Resonance Measures of Fibrosis in the Multiethnic Study of Atherosclerosis (MESA)</t>
  </si>
  <si>
    <t>cardiac magnetic resonance; cardiac biomarkers; electrocardiography</t>
  </si>
  <si>
    <t>QRS-T ANGLE; MYOCARDIAL FIBROSIS; HEART-FAILURE; INTERSTITIAL FIBROSIS; TROPONIN-T; RISK; SCAR; PREDICTION; INTERVAL; DEATH</t>
  </si>
  <si>
    <t>Abnormalities in myocardial substrate, including diffuse and replacement fibrosis, increase the risk of cardiovascular disease (CVD). Data are sparse on whether electrocardiogram (ECG) measures, coupled with circulating biomarkers, may aid in identifying cardiac fibrosis. This study aimed to determine whether 12-lead ECG and biomarkers together augment the prediction of cardiac fibrosis in participants who are free of known CVD. This is a cross-sectional analysis in the MESA (Multiethnic Study of Atherosclerosis) study at visit 5 (2010 to 2012), with measurements of biomarkers (cardiac troponin T and growth differentiation factor-15), gadolinium-enhanced cardiac magnetic resonance imaging, and ECG. Logistic regression associations of ECG measures with cardiac magnetic resonance surrogates of fibrosis (highest quartile extracellular volume [interstitial fibrosis] and late gadolinium enhancement [replacement fibrosis]) were adjusted for demographics and risk factors. Using the C-statistic, we evaluated whether adding ECG measures and biomarkers to clinical characteristics improved the prediction of either type of fibrosis. There were 1,170 eligible participants (aged 67.1 8.6 years). Among the ECG measures, QRS duration (odds ratio [OR] 1.41 per 10 ms, 95% confidence interval [CI] 1.10 to 1.81), major ST-T abnormalities (OR 3.03, 95%CI 1.20, 7.65), and abnormal QRS-T angle (OR 6.32, 95%CI 3.00, 13.33) were associated with replacement fibrosis, whereas only abnormal QRS-T angle (OR 3.05, 95%CI,1.69, 5.48) was associated with interstitial fibrosis. ECG markers, in addition to clinical characteristics, improved the prediction of replacement fibrosis (p = 0.002) but not interstitial fibrosis. The addition of cardiac troponin T and growth differentiation factor-15 to the ECG findings did not significantly improve the model discrimination for either type of cardiac fibrosis. In CVD free participants, simple ECG measures are associated with replacement fibrosis and interstitial fibrosis. The addition of these measures improves identification of replacement but not interstitial fibrosis. These findings may help refine the identification of myocardial scar in the general population. &amp; COPY; 2023 Elsevier Inc. All rights reserved.</t>
  </si>
  <si>
    <t>[Ilkhanoff, Leonard; Qian, Xiaoxiao; Tran, Henry; deFilippi, Christopher R.] Inova Heart &amp; Vasc Inst, Falls Church, VA 22042 USA; [Lima, Joao A.] Johns Hopkins Sch Med, Baltimore, MD USA; [Soliman, Elsayed Z.; Yeboah, Joseph] Wake Forest Univ, Winston Salem, NC USA; [Seliger, Stephen] Univ Maryland, Sch Med, Baltimore, MD USA</t>
  </si>
  <si>
    <t>Inova Fairfax Hospital; Johns Hopkins University; Johns Hopkins Medicine; Wake Forest University; University System of Maryland; University of Maryland Baltimore</t>
  </si>
  <si>
    <t>deFilippi, CR (corresponding author), Inova Heart &amp; Vasc Inst, Falls Church, VA 22042 USA.</t>
  </si>
  <si>
    <t>christopher.defilippi@inova.org</t>
  </si>
  <si>
    <t>National Heart, Lung, and Blood Institute [N01-HC-95159, N01-HC-95160, N01-HC-95161, N01-HC-95162, N01-HC-95163, N01-HC-95164, N01-HC-95165, N01-HC-95166, N01-HC-95167, N01-HC-95168, N01-HC-95169, HHSN 268201500003I]; NCRR [UL1-TR-001079, UL1-TR-000040]; Roche Diagnostics</t>
  </si>
  <si>
    <t>National Heart, Lung, and Blood Institute(United States Department of Health &amp; Human ServicesNational Institutes of Health (NIH) - USANIH National Heart Lung &amp; Blood Institute (NHLBI)); NCRR(United States Department of Health &amp; Human ServicesNational Institutes of Health (NIH) - USANIH National Center for Research Resources (NCRR)); Roche Diagnostics</t>
  </si>
  <si>
    <t>This research was supported by contracts HHSN 268201500003I, N01-HC-95159, N01-HC-95160, N01-HC-95161, N01-HC-95162, N01-HC-95163, N01-HC-95164, N01-HC-95165, N01-HC-95166, N01-HC-95167, N01-HC-95168, and N01-HC-95169 from the National Heart, Lung, and Blood Institute and by grants UL1-TR-000040 and UL1-TR-001079 from NCRR. Roche Diagnostics supported the measurement of hs-cTnT and GDF-15 through an investigator-initiated grant (PI: deFilippi).</t>
  </si>
  <si>
    <t>10.1016/j.amjcard.2023.07.041</t>
  </si>
  <si>
    <t>R2DB1</t>
  </si>
  <si>
    <t>WOS:001062487300001</t>
  </si>
  <si>
    <t>Indu; Babita; Sonia</t>
  </si>
  <si>
    <t>Synthesis, growth and characterization of 5-(2-azaniumyl-2-carboxyethyl)-1H-imidazol-3-ium dimethanesulfonate as a single crystal for frequency conversion applications</t>
  </si>
  <si>
    <t>INORGANIC CHEMISTRY COMMUNICATIONS</t>
  </si>
  <si>
    <t>Crystal growth; X-ray diffraction; Hirshfeld analysis; TGA; DTG; DTA; DSC; 2D NMR; HETCOR; UV-VIS-NIR; Laser damage threshold; Shock damage; Second harmonic generation</t>
  </si>
  <si>
    <t>LASER DAMAGE THRESHOLD; L-ARGININE; DIELECTRIC-PROPERTIES; SHOCK-WAVES; MONOHYDRATE; PERFECTION; SHG</t>
  </si>
  <si>
    <t>The semi-organic nonlinear optical material of 5-(2-azaniumyl-2-carboxyethyl)-1H-imidazol-3-ium dimethanesulfonate has been grown as good quality single crystals through the Slow Evaporation Solution Growth technique (SEST). Single crystal XRD study of the titled compound was carried out to unfold the structural information. The study revealed that the grown crystal has a monoclinic structure under non-centrosymmetric space group. The Hirshfeld surface analysis and 2D fingerprint plots were employed to determine the intermolecular interaction in the crystal structure of the compound. Thermal properties of the compound were confirmed through TGA/DTG/DTA analysis and found that no significant weight loss of the compound appears up to 221 degrees C. In the DTA curve, the endothermic peak obtained at 182 degrees C, accounts for the decomposition of the compound. Whereas, the specific heat of the material was determined through DSC in which an exothermic peak is obtained at 181.86 degrees C. This peak represents the maximum specific heat of the material which comes out to be 16.845 J/g degrees C at 181.86 degrees C. The Heteronuclear chemical shift correlation (HETCOR) analysis based on 2D NMR spectroscopy was performed to determine the carbon-hydrogen bonding within the compound. UV-VIS- NIR spectroscopy was performed to find the energy band gap of the titled compound. The Stability of the material against highly intense laser was determined through the Laser damage threshold (LDT) value. The mechanical stability of the sample crystal was analysed through shock damage threshold (SDT) after the application of different shocks. With pre and post application of shocks, the Powder XRD of the sample was carried out. The SHG efficiency of the powdered sample was measured using Nd: YAG laser taking KDP as reference material.</t>
  </si>
  <si>
    <t>[Indu; Babita; Sonia] Baba Mastnath Univ, Rohtak 124021, Haryana, India; [Sonia] BMU Rohtak, Dept Phys, Rohtak, Haryana, India</t>
  </si>
  <si>
    <t>Sonia (corresponding author), Baba Mastnath Univ, Rohtak 124021, Haryana, India.;Sonia (corresponding author), BMU Rohtak, Dept Phys, Rohtak, Haryana, India.</t>
  </si>
  <si>
    <t>induarya0@gmail.com; babitaphy@gmail.com; ahlawat.sonia44@gmail.com</t>
  </si>
  <si>
    <t>Ahlawat, Sonia/AAX-6500-2021</t>
  </si>
  <si>
    <t>1387-7003</t>
  </si>
  <si>
    <t>1879-0259</t>
  </si>
  <si>
    <t>INORG CHEM COMMUN</t>
  </si>
  <si>
    <t>Inorg. Chem. Commun.</t>
  </si>
  <si>
    <t>10.1016/j.inoche.2023.111106</t>
  </si>
  <si>
    <t>P7LR0</t>
  </si>
  <si>
    <t>WOS:001052456900001</t>
  </si>
  <si>
    <t>Ishibashi, T; Asanuma, H; Mukuhira, Y; Watanabe, N</t>
  </si>
  <si>
    <t>Ishibashi, Takuya; Asanuma, Hiroshi; Mukuhira, Yusuke; Watanabe, Noriaki</t>
  </si>
  <si>
    <t>Laboratory hydraulic shearing of granitic fractures with surface roughness under stress states of EGS: Permeability changes and energy balance</t>
  </si>
  <si>
    <t>INTERNATIONAL JOURNAL OF ROCK MECHANICS AND MINING SCIENCES</t>
  </si>
  <si>
    <t>Hydraulic shearing; Shear dilation; Self-propping; Fracture permeability; EGS; Surface roughness</t>
  </si>
  <si>
    <t>STOCHASTIC ROCK; MECHANICS MODEL; FLUID-FLOW; STIMULATION; SCALE; APERTURE; CONDUCTIVITY; DISPLACEMENT; REACTIVATION; TOPOGRAPHY</t>
  </si>
  <si>
    <t>To offer key parameters and constitutive laws required for field-scale multiphysics simulations that can accurately predict created fracture network structures in enhanced geothermal systems (EGS) and resulting energy extraction, we explore the full spectral of hydraulic shear process of granite fracture and revisits the linkage between hydraulic and mechanical properties during shear slips. Key results from our novel lab-experiments include the followings: (1) fracture permeability of granite increases due to the hydraulic shear slip even at an effective normal stress of over 50 MPa, (2) shear slip and stress drop are in proportion and increment of the fracture permeability increases with increasing total shear slip displacement, and (3) although hydraulic shear slip tends to make fracture surfaces slightly smoother, the factual characteristics of surface are maintained after slip. By combining our experimental results with the seismological analysis, we first explore energy balance during hydraulic shearing of the preexisting rock fracture and point out the crucial role of the elastic potential energy stored in the surrounding bulk rock masses. Subsequently, we derive a constitutive model related to permeability change of granite fracture during hydraulic shearing under the typical crustal stress of EGS and presume that the maximum change in fracture permeability due to shear dilation is similar to 20-fold, although scale effect is not considered. Finally, via the high resolution 2-D mapping of the surface damages, we illuminate the formation of preferential flow paths within rock fracture during hydraulic shearing and its possible role on the improvement of fracture permeability. Thus, we successfully demonstrate both new and sophisticated insights in hydro-mechanical coupled processes during hydraulic shearing to improve the accuracy of fracture network designs in EGS technology.</t>
  </si>
  <si>
    <t>[Ishibashi, Takuya; Asanuma, Hiroshi] Natl Inst Adv Ind Sci &amp; Technol, Fukushima Renewable Energy Inst, 2-2-9 Machiike dai, Koriyama, Fukushima 9630298, Japan; [Mukuhira, Yusuke] Tohoku Univ, Inst Fluid Sci, 2-1-1 Katahira, Aoba ku, Sendai, Miyagi, Japan; [Watanabe, Noriaki] Tohoku Univ, Grad Sch Environm Studies, 6-6-20 Aramaki aza Aoba, Aoba ku, Sendai, Miyagi, Japan</t>
  </si>
  <si>
    <t>National Institute of Advanced Industrial Science &amp; Technology (AIST); Tohoku University; Tohoku University</t>
  </si>
  <si>
    <t>Ishibashi, T (corresponding author), Natl Inst Adv Ind Sci &amp; Technol, Fukushima Renewable Energy Inst, 2-2-9 Machiike dai, Koriyama, Fukushima 9630298, Japan.</t>
  </si>
  <si>
    <t>takuya.ishibashi@aist.go.jp; h.asanuma@aist.go.jp; mukuhira@tohoku.ac.jp; noriaki.watanabe.e6@tohoku.ac.jp</t>
  </si>
  <si>
    <t>JSPS KAKENHI [JP19K15495]; METI, Japan through the International Research Program for Innovative Energy Technology</t>
  </si>
  <si>
    <t>JSPS KAKENHI(Ministry of Education, Culture, Sports, Science and Technology, Japan (MEXT)Japan Society for the Promotion of ScienceGrants-in-Aid for Scientific Research (KAKENHI)); METI, Japan through the International Research Program for Innovative Energy Technology</t>
  </si>
  <si>
    <t>The present study was supported in part by JSPS KAKENHI Grant Number JP19K15495 (to T. I) and by METI, Japan through the International Research Program for Innovative Energy Technology (to H.A) . The data to reproduce the work are available from the corresponding author: Takuya Ishibashi (takuya.ishibashi@aist.go.jp) .</t>
  </si>
  <si>
    <t>1365-1609</t>
  </si>
  <si>
    <t>1873-4545</t>
  </si>
  <si>
    <t>INT J ROCK MECH MIN</t>
  </si>
  <si>
    <t>Int. J. Rock Mech. Min. Sci.</t>
  </si>
  <si>
    <t>10.1016/j.ijrmms.2023.105512</t>
  </si>
  <si>
    <t>Engineering, Geological; Mining &amp; Mineral Processing</t>
  </si>
  <si>
    <t>Engineering; Mining &amp; Mineral Processing</t>
  </si>
  <si>
    <t>O0SN1</t>
  </si>
  <si>
    <t>WOS:001041007400001</t>
  </si>
  <si>
    <t>Islam, JY; Yang, S; Schabath, M; Vadaparampil, ST; Lou, XW; Wu, YH; Bian, J; Guo, Y</t>
  </si>
  <si>
    <t>Islam, Jessica Y.; Yang, Shuang; Schabath, Matthew; Vadaparampil, Susan T.; Lou, Xiwei; Wu, Yonghui; Bian, Jiang; Guo, Yi</t>
  </si>
  <si>
    <t>Lung cancer screening adherence among people living with and without HIV: An analysis of an integrated health system in Florida, United States (2012-2021)</t>
  </si>
  <si>
    <t>Cancer prevention; HIV seropositive adults; PLWH; Lung cancer screening; Low-dose computed tomography</t>
  </si>
  <si>
    <t>COMBINED ANTIRETROVIRAL THERAPY; POPULATION; RISK; NONADHERENCE; DISPARITIES; MORTALITY; BURDEN; TRENDS; CARE</t>
  </si>
  <si>
    <t>Although lung cancer is a leading cause of death among people living with HIV (PLWH), limited research exists characterizing real-world lung cancer screening adherence among PLWH. Our objective was to compare lowdose computed tomography (LDCT) adherence among PLWH to those without HIV treated at one integrated health system. Using the University of Florida's Health Integrated Data Repository (01/01/2012-10/31/2021), we identified PLWH with at least one LDCT procedure, using Current Procedural Terminology codes(S8032/ G0297/71271). Lung cancer screening adherence was defined as a second LDCT based on the Lung Imaging Reporting and Data System (Lung-RADS &amp; REG;). Lung-RADS categories were extracted from radiology reports using a natural language processing system. PLWH were matched with 4 randomly selected HIV-negative patients based on (+/- 1 year) age, Lung-RADS category, and calendar year. Seventy-three PLWH and 292 matched HIVnegative adults with at least one LDCT were identified. PLWH were more likely to be male (66% vs.52%,p &lt; 0.04), non-Hispanic Black (53% vs.23%,p &lt; 0.001), and live in an area of high poverty (45% vs.31%,p &lt; 0.001). PLWH were more likely to be diagnosed with lung cancer after first LDCT (8% vs.0%,p &lt; 0.001). Seventeen percent of HIV-negative and 12% of PLWH were adherent to LDCT screenings. Only 25% of PLWH diagnosed with category 4A were adherent compared to 44% of HIV-negative. On multivariable analyses, those with older age (66-80 vs.50-64 years) and with either Medicaid, charity-based, or other government insurance (vs. Medicare) were less likely to be adherent to LDCT screenings. PLWH may have poorer adherence to LDCT compared to their HIV-negative counterparts.</t>
  </si>
  <si>
    <t>[Islam, Jessica Y.; Schabath, Matthew] H Lee Moffitt Canc Ctr &amp; Res Inst, Canc Epidemiol Program, Ctr Immunizat &amp; Infect Canc Res, Tampa 33612, FL USA; [Yang, Shuang; Lou, Xiwei; Wu, Yonghui; Bian, Jiang; Guo, Yi] Univ Florida, Coll Med, Dept Hlth Outcomes &amp; Biomed Informat, Gainesville 32608, FL USA; [Vadaparampil, Susan T.] H Lee Moffitt Canc Ctr &amp; Res Inst, Off Community Outreach Engagement &amp; Equ COEE, Hlth Outcomes &amp; Behav, Tampa, FL USA</t>
  </si>
  <si>
    <t>H Lee Moffitt Cancer Center &amp; Research Institute; State University System of Florida; University of Florida; H Lee Moffitt Cancer Center &amp; Research Institute</t>
  </si>
  <si>
    <t>Islam, JY (corresponding author), H Lee Moffitt Canc Ctr &amp; Res Inst, Canc Epidemiol Program, Ctr Immunizat &amp; Infect Canc Res, Tampa 33612, FL USA.;Guo, Y (corresponding author), Univ Florida, Coll Med, Dept Hlth Outcomes &amp; Biomed Informat, Gainesville 32608, FL USA.</t>
  </si>
  <si>
    <t>jessica.islam@moffitt.org; jessica.islam@moffitt.org</t>
  </si>
  <si>
    <t>Islam, Jessica/0000-0002-3690-3848</t>
  </si>
  <si>
    <t>National Cancer Institute (NCI) [5R01CA246418, 3R01CA246418-02S1]; NCI [1R21CA245858-01A1, 1R21CA253394-01A1]; National Institute on Aging (NIA) [5R21AG068717-02]; Centers for Disease Control and Prevention (CDC) [U18DP006512]</t>
  </si>
  <si>
    <t>National Cancer Institute (NCI)(United States Department of Health &amp; Human ServicesNational Institutes of Health (NIH) - USANIH National Cancer Institute (NCI)); NCI(United States Department of Health &amp; Human ServicesNational Institutes of Health (NIH) - USANIH National Cancer Institute (NCI)); National Institute on Aging (NIA)(United States Department of Health &amp; Human ServicesNational Institutes of Health (NIH) - USANIH National Institute on Aging (NIA)); Centers for Disease Control and Prevention (CDC)(United States Department of Health &amp; Human ServicesCenters for Disease Control &amp; Prevention - USA)</t>
  </si>
  <si>
    <t>This work was supported by National Cancer Institute (NCI) grants 5R01CA246418 and 3R01CA246418-02S1. Drs. Guo and Bian were also funded in part by NCI grants 1R21CA245858-01A1 and 1R21CA253394-01A1, National Institute on Aging (NIA) grant 5R21AG068717-02, and Centers for Disease Control and Prevention (CDC) grant U18DP006512.</t>
  </si>
  <si>
    <t>10.1016/j.pmedr.2023.102334</t>
  </si>
  <si>
    <t>P7CM8</t>
  </si>
  <si>
    <t>WOS:001052216000001</t>
  </si>
  <si>
    <t>Jaimes-Romano, E; Valdes, H; Hernandez-Ortega, S; Mollfulleda, R; Swart, M; Morales-Morales, D</t>
  </si>
  <si>
    <t>Jaimes-Romano, Eduardo; Valdes, Hugo; Hernandez-Ortega, Simon; Mollfulleda, Rosa; Swart, Marcel; Morales-Morales, David</t>
  </si>
  <si>
    <t>C-S couplings catalyzed by Ni(II) complexes of the type [(NHC)Ni(Cp)(Br)]</t>
  </si>
  <si>
    <t>JOURNAL OF CATALYSIS</t>
  </si>
  <si>
    <t>C-S cross-coupling; Thioetherification reaction; NHC complexes; Nickel Catalyst; Thiolation reaction; Catalysis</t>
  </si>
  <si>
    <t>N-HETEROCYCLIC CARBENES; BOND FORMATION; ARYL HALIDES; LIGANDS; REACTIVITY; SULFUR; SERIES</t>
  </si>
  <si>
    <t>The catalytic activities of three Ni(II) complexes with fluorinated and non-fluorinated N-heterocyclic carbene (NHC) ligands were evaluated in the C-S cross-coupling reaction between iodobenzene and thiophenol. The complexes with fluorinated-NHC ligands exhibited lower catalytic activities compared to the non-fluorinated derivative. This can be attributed to the lower electron-donating character of the fluorinated ligands in comparison to the non-fluorinated ligand. Complex 3-Ni was tested towards different substrates, achieving moderate to good conversions. Additionally, the reaction mechanism of the C-S cross-coupling using two substrates, tert-butylthiol and 2,4-dichlorobenzenethiol, was determined. Tert-butylthiol produced a stable intermediate that inhibited the last step of the reaction mechanism (reductive elimination). On the other hand, 2,4-dichlorobenzenethiol formed a less stable intermediate, favoring the reductive elimination. This observation aligns with the lower yield observed when using tert-butylthiol compared to 2,4-dichlorobenzenethiol (20% vs 99%).&amp; COPY; 2023 The Author(s). Published by Elsevier Inc. This is an open access article under the CC BY-NC-ND license (http://creativecommons.org/licenses/by-nc-nd/4.0/).</t>
  </si>
  <si>
    <t>[Jaimes-Romano, Eduardo; Hernandez-Ortega, Simon; Morales-Morales, David] Univ Nacl Autonoma Mexico, Inst Quim, Circuito Exterior, Ciudad Univ, Mexico City 04510, CP, Mexico; [Valdes, Hugo; Mollfulleda, Rosa] Univ Girona, Inst Quim Computac Catalisi IQCC i, Campus Montilivi, E-17003 Girona, Spain; [Valdes, Hugo; Mollfulleda, Rosa] Univ Girona, Dept Quim, Campus Montilivi, E-17003 Girona, Spain; [Swart, Marcel] Univ Girona, Inst Quim Computac Catalisi IQCC, Barcelona 17003, Girona, Spain; [Swart, Marcel] Univ Girona, Dept Quim, Spain ICREA, Barcelona 17003, Girona, Spain</t>
  </si>
  <si>
    <t>Universidad Nacional Autonoma de Mexico; Universitat de Girona; Universitat de Girona; Universitat de Girona; Universitat de Girona</t>
  </si>
  <si>
    <t>Morales-Morales, D (corresponding author), Univ Nacl Autonoma Mexico, Inst Quim, Circuito Exterior, Ciudad Univ, Mexico City 04510, CP, Mexico.;Valdes, H (corresponding author), Univ Girona, Inst Quim Computac Catalisi IQCC i, Campus Montilivi, E-17003 Girona, Spain.;Valdes, H (corresponding author), Univ Girona, Dept Quim, Campus Montilivi, E-17003 Girona, Spain.;Swart, M (corresponding author), Univ Girona, Inst Quim Computac Catalisi IQCC, Barcelona 17003, Girona, Spain.;Swart, M (corresponding author), Univ Girona, Dept Quim, Spain ICREA, Barcelona 17003, Girona, Spain.</t>
  </si>
  <si>
    <t>hugo.valdes@udg.edu; marcel.swart@udg.edu; damor@unam.mx</t>
  </si>
  <si>
    <t>Swart, Marcel/A-5083-2008</t>
  </si>
  <si>
    <t>Swart, Marcel/0000-0002-8174-8488</t>
  </si>
  <si>
    <t>Programade Becas CONACyT [837819]; Generalitat de Catalunya [2021SGR00487, PRE2021097669]; PAPIIT-DGAPA-UNAM (PAPIIT) [2019BP0080]; CONACYT [IN223323]; AEI/MCIU [A1S033933, PID2020114548 GBI00]; FEDER [UNGI104E801]</t>
  </si>
  <si>
    <t>Programade Becas CONACyT; Generalitat de Catalunya(Generalitat de Catalunya); PAPIIT-DGAPA-UNAM (PAPIIT)(Programa de Apoyo a Proyectos de Investigacion e Innovacion Tecnologica (PAPIIT)); CONACYT(Consejo Nacional de Ciencia y Tecnologia (CONACyT)); AEI/MCIU; FEDER(European Union (EU)Spanish Government)</t>
  </si>
  <si>
    <t>We would like to thank Dr. Francisco Javier Perez Flores, Q.Erendira Garcia Rios, M.Sc. Lucia del Carmen Marquez Alonso, M.Sc. Lucero Rios Ruiz, M.Sc. Alejandra Nunez Pineda (CCIQS), Q.Maria de la Paz Orta Perez, Q. Rocio Patino-Maya and Ph.D. NuriaEsturau Escofet for technical assistance. E. J.-R. thanks Programade Becas CONACyT (Numero de becario: 837819). Hugo Valdesthanks the Generalitat de Catalunya for a Beatriu de Pinos contract &amp; nbsp;(grant ID: 2019-BP-0080). The financial support of this research by PAPIIT-DGAPA-UNAM (PAPIIT IN223323), CONACYT A1-S-033933, AEI/MCIU (PID2020-114548 GB-I00, PRE2021-097669),the Generalitat de Catalunya (2021SGR00487), and FEDER(UNGI10-4E-801) is gratefully acknowledged.</t>
  </si>
  <si>
    <t>0021-9517</t>
  </si>
  <si>
    <t>1090-2694</t>
  </si>
  <si>
    <t>J CATAL</t>
  </si>
  <si>
    <t>J. Catal.</t>
  </si>
  <si>
    <t>10.1016/j.jcat.2023.07.001</t>
  </si>
  <si>
    <t>Chemistry, Physical; Engineering, Chemical</t>
  </si>
  <si>
    <t>P5VD2</t>
  </si>
  <si>
    <t>WOS:001051342400001</t>
  </si>
  <si>
    <t>Jan, NM; Gwak, J; Pamucar, D</t>
  </si>
  <si>
    <t>Jan, Naeem; Gwak, Jeonghwan; Pamucar, Dragan</t>
  </si>
  <si>
    <t>A robust hybrid decision making model for Human-Computer interaction in the environment of Bipolar complex picture fuzzy soft Sets</t>
  </si>
  <si>
    <t>Human -computer interaction; Soft set; Picture fuzzy soft set; Bipolar picture fuzzy soft set; Bipolar complex picture fuzzy soft set</t>
  </si>
  <si>
    <t>The goal of this paper is to present novel concepts and effective theories for the ability to accurately represent difficult and ambiguous information in real-life problems. In order to accomplish this goal, this paper investigated the original idea of bipolar complex picture fuzzy soft set (BCPFSS), which combination of two distinct theories known as the bipolar complex picture fuzzy set (BCPFS) and the soft set (SS). The capabilities of this new model are to achieve a larger range with the aid of the membership degree (MD), non-membership (NMD), and absti-nence degree (AD) with complex integers. The BCPFSS represented two different degrees, known as positive degrees examine positive aspects of the problem and negative degrees examine negative aspects of the problem. Moreover, human-computer interaction (HCI) is an effective human-computer interface that presents a realistic world. HCI is a field that recognizes the sig-nificant role of educational applications and platforms in visualizing content, providing students with easy access to education in their homes, and paving the way for the development of alter-native and advanced methods for implementing the concept of e-learning. With the technological advancements of HCI, it has become a fundamental tool in every area of activity, revolutionizing work environments and expanding their scope. In order to resolve the challenge of analyzing complex and unreliable data in real-world contexts, we proposed the idea of bipolar complex picture fuzzy soft sets (BCPFSSs). The innovative concept of BCPFSS defines many operations such as complement, extended intersection, and restricted intersection. The idea of BCPFSSs possesses a broad structure as they explore all values of MD, AD, and NMD with both positive (+ve) and negative (- ve) perspectives, making them adept at handling multivariable challenges. In this paper, modeling approaches based on BCPFSSs are proposed for choosing the HCI for effective implementation by formulating and analyzing score functions. Finally, a comparative analysis section illuminates a comprehensive and organized comparison of recent works to the earlier work.</t>
  </si>
  <si>
    <t>[Jan, Naeem; Gwak, Jeonghwan] Korea Natl Univ Transportat, Dept Software, Chungju 27469, South Korea; [Gwak, Jeonghwan] Korea Natl Univ Transportat, Dept Biomed Engn, Chungju 27469, South Korea; [Gwak, Jeonghwan] Korea Natl Univ Transportat, Dept AI Robot Engn, Chungju 27469, South Korea; [Gwak, Jeonghwan] Korea Natl Univ Transportat, Dept IT &amp; Energy Convergence BK21 FOUR, Chungju 27469, South Korea; [Pamucar, Dragan] Univ Belgrade, Fac Org Sci, Dept Operat Res &amp; Stat, Belgrade 1100, Serbia; [Pamucar, Dragan] Yuan Ze Univ, Coll Engn, Taoyuan City, Taiwan</t>
  </si>
  <si>
    <t>Korea National University of Transportation; Korea National University of Transportation; Korea National University of Transportation; Korea National University of Transportation; University of Belgrade; Yuan Ze University</t>
  </si>
  <si>
    <t>Gwak, J (corresponding author), Korea Natl Univ Transportat, Dept Software, Chungju 27469, South Korea.;Pamucar, D (corresponding author), Univ Belgrade, Fac Org Sci, Dept Operat Res &amp; Stat, Belgrade 1100, Serbia.</t>
  </si>
  <si>
    <t>jgwak@ut.ac.kr; dragan.pamucar@fon.bg.ac.rs</t>
  </si>
  <si>
    <t>Pamucar, Dragan/AAG-8288-2019; Jan, Naeem/GPF-6338-2022</t>
  </si>
  <si>
    <t>Pamucar, Dragan/0000-0001-8522-1942; Jan, Naeem/0000-0002-7318-407X</t>
  </si>
  <si>
    <t>Brain Pool program - Ministry of Science and ICT through the National Research Foundation of Korea [2021RIS-001 (1345341783)]; Regional Innovation Strategy (RIS)  through the National Research Foundation of Korea (NRF) - Ministry of Education (MOE); [2022H1D3A2A02060097]</t>
  </si>
  <si>
    <t>Brain Pool program - Ministry of Science and ICT through the National Research Foundation of Korea(National Research Foundation of KoreaMinistry of Science, ICT &amp; Future Planning, Republic of Korea); Regional Innovation Strategy (RIS)  through the National Research Foundation of Korea (NRF) - Ministry of Education (MOE)(Ministry of Education (MOE), Republic of KoreaNational Research Foundation of Korea);</t>
  </si>
  <si>
    <t>This work was supported in part by the Brain Pool program funded by the Ministry of Science and ICT through the National Research Foundation of Korea (2022H1D3A2A02060097) and the Regional Innovation Strategy (RIS)  through the National Research Foundation of Korea (NRF) funded by the Ministry of Education (MOE) (2021RIS-001 (1345341783) ) . Jeonghwan Gwak and Dragan Pamucar are the cocorresponding authors.</t>
  </si>
  <si>
    <t>10.1016/j.ins.2023.119163</t>
  </si>
  <si>
    <t>Q0SN4</t>
  </si>
  <si>
    <t>WOS:001054701600001</t>
  </si>
  <si>
    <t>Janczewski, C; Mersky, J; Lee, CP</t>
  </si>
  <si>
    <t>Janczewski, Colleen; Mersky, Joshua; Lee, CheinTi Plummer</t>
  </si>
  <si>
    <t>Intergenerational transmission of child protective services involvement: Exploring the role of ACEs and domestic violence among families who receive home visiting services</t>
  </si>
  <si>
    <t>CHILD ABUSE &amp; NEGLECT</t>
  </si>
  <si>
    <t>ACEs; Domestic violence; Intimate partner violence; Home visiting; Child welfare; Child protective services</t>
  </si>
  <si>
    <t>INTIMATE PARTNER VIOLENCE; WELFARE SYSTEM; ABUSE; MALTREATMENT; EXPERIENCES; MOTHERS; RISK; ADVERSITY; PREGNANCY; OUTCOMES</t>
  </si>
  <si>
    <t>Background: Adverse childhood experiences (ACEs) are associated with negative outcomes over the life course and across generations, including domestic violence (DV) and child maltreatment. However, no studies have examined the connection between parents' ACEs and their child's risk of child protective services (CPS) involvement or possible mechanisms of transmission. Objective: In addition to describing the prevalence and correlates of CPS involvement, our primary aims are to test whether parental adversity in childhood is associated with CPS involvement and whether DV victimization mediates the ACE-CPS association. Participants and setting: The sample included 3039 primary caregivers and 3343 children served by home visiting programs in Wisconsin between 2014 and 2019. Methods: Using matched home visiting and CPS records, we generated prevalence estimates of screened-in CPS reports and assessed bivariate associations between CPS involvement and ACEs, DV, and household demographics. We then conducted a two-stage path analysis to test the as-sociation between ACEs and CPS involvement and whether DV mediated the ACE-CPS association. Results: Overall, 22.8 % of caregivers had a screened-in report. Prevalence rates were higher among women who endured ACEs and DV, and they varied by demographic characteristics. ACEs were directly linked to DV and CPS involvement, and there was an indirect pathway linking ACEs to CPS involvement through DV exposure. Conclusions: Home visiting programs serve families that frequently interact with the child welfare system. By enhancing the trauma-responsive potential of these interventions, it may be possible to interrupt intergenerational mechanisms that contribute to child abuse and neglect and CPS involvement.</t>
  </si>
  <si>
    <t>[Janczewski, Colleen; Mersky, Joshua; Lee, CheinTi Plummer] Univ Wisconsin Milwaukee, Helen Bader Sch Social Welf, 2400 E Hartford Ave, Milwaukee, WI 53211 USA</t>
  </si>
  <si>
    <t>University of Wisconsin System; University of Wisconsin Milwaukee</t>
  </si>
  <si>
    <t>Janczewski, C (corresponding author), Univ Wisconsin Milwaukee, Helen Bader Sch Social Welf, 2400 E Hartford Ave, Milwaukee, WI 53211 USA.</t>
  </si>
  <si>
    <t>janczew2@uwm.edu</t>
  </si>
  <si>
    <t>Wisconsin Department of Children and Families [437003-A21-0001740-000-01]</t>
  </si>
  <si>
    <t>Wisconsin Department of Children and Families</t>
  </si>
  <si>
    <t>Funding This work was supported by the Wisconsin Department of Children and Families [#437003-A21-0001740-000-01] .</t>
  </si>
  <si>
    <t>0145-2134</t>
  </si>
  <si>
    <t>1873-7757</t>
  </si>
  <si>
    <t>CHILD ABUSE NEGLECT</t>
  </si>
  <si>
    <t>Child Abuse Negl.</t>
  </si>
  <si>
    <t>10.1016/j.chiabu.2023.106384</t>
  </si>
  <si>
    <t>Family Studies; Psychology, Social; Social Work</t>
  </si>
  <si>
    <t>Family Studies; Psychology; Social Work</t>
  </si>
  <si>
    <t>P6VX5</t>
  </si>
  <si>
    <t>WOS:001052043500001</t>
  </si>
  <si>
    <t>Ji, J; Zhou, MX; Guo, RW; Tang, JK; Su, JY; Huang, H; Sun, N; Nazir, MS; Wang, YD</t>
  </si>
  <si>
    <t>Ji, Jie; Zhou, Mengxiong; Guo, Renwei; Tang, Jiankang; Su, Jiaoyue; Huang, Hui; Sun, Na; Nazir, Muhammad Shahzad; Wang, Yaodong</t>
  </si>
  <si>
    <t>A electric power optimal scheduling study of hybrid energy storage system integrated load prediction technology considering ageing mechanism</t>
  </si>
  <si>
    <t>Lithium battery; Supercapacitor; Ageing mechanism; Hybrid energy storage; Load prediction; Optimal scheduling</t>
  </si>
  <si>
    <t>This paper proposes a hybrid energy storage system model adapted to industrial enterprises. The operation of the hybrid energy storage system is optimized during the electricity supply in several scenarios. A bipolar secondorder RC battery model, which can accurately respond to the end voltage, (State of charge) SOC, ageing mechanism and other characteristics of the battery, is established. The batteries and the supercapacitor consist of a hybrid energy storage system. The system operation cost and the battery cycle life are investigated. This paper realizes energy scheduling through load prediction technology. The proposed energy scheduling strategy plans the operation of the hybrid energy storage system and reduces the frequency of the battery's charging and discharging. The results show that the proposed prediction model keeps the hybrid energy storage model's overall electric load prediction accuracy up to 97.12%-98.89%. Combining the load prediction technique with the optimal scheduling strategy, the decay of lithium battery capacity of 120kwh to 96.16kwh is better than the decay of battery capacity of 120kwh to 87.32kwh under no scheduling strategy set. The total economic cost per quarter is reduced by $20,000-$35,000.</t>
  </si>
  <si>
    <t>[Ji, Jie; Zhou, Mengxiong; Guo, Renwei; Tang, Jiankang; Su, Jiaoyue; Huang, Hui; Sun, Na; Nazir, Muhammad Shahzad] Huaiyin Inst Technol, Huaiyin 223002, Jiangsu, Peoples R China; [Wang, Yaodong] Durham Energy Inst Durham Univ, Durham, England</t>
  </si>
  <si>
    <t>Huaiyin Institute of Technology</t>
  </si>
  <si>
    <t>Ji, J (corresponding author), Huaiyin Inst Technol, Huaiyin 223002, Jiangsu, Peoples R China.</t>
  </si>
  <si>
    <t>dahuoxun@hotmail.com</t>
  </si>
  <si>
    <t>Wang, Yaodong/0000-0002-9697-8673</t>
  </si>
  <si>
    <t>10.1016/j.renene.2023.118985</t>
  </si>
  <si>
    <t>P2VC4</t>
  </si>
  <si>
    <t>WOS:001049257400001</t>
  </si>
  <si>
    <t>Ji, PF; Tang, YH; Lu, HR; Yue, HP; Tang, HG; Qiao, ZH</t>
  </si>
  <si>
    <t>Ji, Pengfei; Tang, Yihao; Lu, Haoran; Yue, Hongpu; Tang, Huaguo; Qiao, Zhuhui</t>
  </si>
  <si>
    <t>Effect of hot deformation on microstructure, corrosion resistance, and pitting corrosion behavior of dual-phase Ti-Zr alloy</t>
  </si>
  <si>
    <t>VACUUM</t>
  </si>
  <si>
    <t>Ti-Zr alloy; Microstructural; Corrosion resistance; Passive films; Pitting corrosion</t>
  </si>
  <si>
    <t>POINT-DEFECT MODEL; PASSIVITY; BREAKDOWN; IMPLANTS</t>
  </si>
  <si>
    <t>Dual-phase Ti-30Zr-5Al-3V alloy was subjected to hot deformation to investigate its effect on microstructure, corrosion resistance, and pitting behavior in acid corrosive medium by assessing the electrochemical behavior, immersion corrosion phenomenon, and passive film characteristics of alloys of different states. The hot defor-mation and water quenching process does not significantly change the concentration of &amp; alpha; and &amp; beta; phases but significantly refines the microstructure, which reduces the compositional differences and, consequently, the galvanic corrosion strength between them, which is beneficial to the corrosion resistance. In addition, refinement increases the relative content of high-valent oxide and the thickness of the passive film, which reduce the concentration of oxygen vacancy, thereby decreasing the transfer rate of cation vacancies. Simultaneously, fewer oxygen vacancies also inhibit the formation of cation-anion-vacancy associations at the metal/film interface. Therefore, the pitting resistance is also improved.</t>
  </si>
  <si>
    <t>[Tang, Huaguo; Qiao, Zhuhui] Chinese Acad Sci, Lanzhou Inst Chem Phys, State Key Lab Solid Lubricat, Lanzhou 730000, Peoples R China; [Ji, Pengfei; Tang, Huaguo; Qiao, Zhuhui] Shandong Lab Yantai Adv Mat &amp; Green Manufacture, Yantai 264006, Peoples R China; [Ji, Pengfei; Tang, Yihao; Lu, Haoran; Yue, Hongpu] Yanshan Univ, State Key Lab Metastable Mat Sci &amp; Technol, Qinhuangdao 066004, Peoples R China</t>
  </si>
  <si>
    <t>Chinese Academy of Sciences; Lanzhou Institute of Chemical Physics, CAS; Yanshan University</t>
  </si>
  <si>
    <t>Tang, HG; Qiao, ZH (corresponding author), Chinese Acad Sci, Lanzhou Inst Chem Phys, State Key Lab Solid Lubricat, Lanzhou 730000, Peoples R China.</t>
  </si>
  <si>
    <t>laotang@licp.cas.cn; zhqiao@licp.cas.cn</t>
  </si>
  <si>
    <t>National Natural Science Foundation of China [52127808, 52125405, U22A20108]; Science and Technology Project of Hebei Education Department [KJZX202201]</t>
  </si>
  <si>
    <t>National Natural Science Foundation of China(National Natural Science Foundation of China (NSFC)); Science and Technology Project of Hebei Education Department</t>
  </si>
  <si>
    <t>This work was supported by the National Natural Science Foundation of China (Grant number: 52127808, 52125405 and U22A20108) and Science and Technology Project of Hebei Education Department (Grant number: KJZX202201) .</t>
  </si>
  <si>
    <t>0042-207X</t>
  </si>
  <si>
    <t>1879-2715</t>
  </si>
  <si>
    <t>Vacuum</t>
  </si>
  <si>
    <t>10.1016/j.vacuum.2023.112464</t>
  </si>
  <si>
    <t>P7NW0</t>
  </si>
  <si>
    <t>WOS:001052513900001</t>
  </si>
  <si>
    <t>Ji, X; Zhang, HT; Ye, NC; Xu, CZ; Wang, Z; Liu, L; Ma, JJ; Tong, ZW</t>
  </si>
  <si>
    <t>Ji, Xiang; Zhang, Haitao; Ye, Ningchen; Xu, Chenzhe; Wang, Zheng; Liu, Lin; Ma, Juanjuan; Tong, Zhiwei</t>
  </si>
  <si>
    <t>Anodic TiO2 nanotubes supported palladium catalysts for Heck coupling reactions: Excellent catalytic activity and reusability</t>
  </si>
  <si>
    <t>MOLECULAR CATALYSIS</t>
  </si>
  <si>
    <t>Anodic TiO 2 nanotubes; Photoreduction; Supported palladium catalysts; Heck reaction; Heterogeneous catalysis</t>
  </si>
  <si>
    <t>ANATASE TIO2; PD NANOPARTICLE; MIZOROKI-HECK; IN-SITU; PERFORMANCE; NANOCRYSTALS; OXIDATION; EFFICIENT; ALCOHOL; CARBON</t>
  </si>
  <si>
    <t>A convenient method for preparing palladium nanocatalyst and its application in the Heck coupling reactions between various aryl halides and olefins are presented. Pd nanoparticles were photoreduced on anodic TiO2 nanotubes (ATNTs) to prepare the Pd@ATNTs catalyst by utilizing the large specific surface area of the ATNTs' hollow tubes. Pd nanoparticles were found to be highly dispersed on the walls of the nanotubes with an average particle size of 8.01 nm by characterization techniques. The heterogeneous Pd@ATNTs catalyst showed excellent catalytic efficiency (TOF up to 1010 h-1) due to the highly dispersed Pd within the ATNTs. Pd@ATNTs has remarkable properties of ease of separation and good reusability, allowing for at least 10 cycles of recovery and reuse without a significant decrease in catalytic activity.</t>
  </si>
  <si>
    <t>[Ji, Xiang; Zhang, Haitao; Xu, Chenzhe; Wang, Zheng; Liu, Lin; Ma, Juanjuan; Tong, Zhiwei] Jiangsu Ocean Univ, Sch Environm &amp; Chem Engn, Lianyungang 222005, Peoples R China; [Ye, Ningchen; Liu, Lin; Ma, Juanjuan] Jiangsu Key Lab Marine Bioresources &amp; Environm, Lianyungang 222005, Peoples R China; [Tong, Zhiwei] Japan Sci &amp; Technol JST, SORST, 4-1-8 Honcho, Kawaguchi, Saitama 3320012, Japan</t>
  </si>
  <si>
    <t>Jiangsu Ocean University; Japan Science &amp; Technology Agency (JST)</t>
  </si>
  <si>
    <t>Liu, L; Ma, JJ (corresponding author), Jiangsu Ocean Univ, Sch Environm &amp; Chem Engn, Lianyungang 222005, Peoples R China.</t>
  </si>
  <si>
    <t>liulin@jou.edu.cn; majj0518@hotmail.com</t>
  </si>
  <si>
    <t>Key University Science Research Project of Jiangsu Province [22KJA30004]; First-class Undergraduate Majors Construction Program; Key Discipline Construction Program of Jiangsu Province; Postgraduate Research amp; Practice Innovation Program of Jiangsu Province and Innovation Project of College Student</t>
  </si>
  <si>
    <t>Key University Science Research Project of Jiangsu Province; First-class Undergraduate Majors Construction Program; Key Discipline Construction Program of Jiangsu Province; Postgraduate Research amp; Practice Innovation Program of Jiangsu Province and Innovation Project of College Student</t>
  </si>
  <si>
    <t>The authors would like to acknowledge the financial support received from the Key University Science Research Project of Jiangsu Province (22KJA30004) , the First-class Undergraduate Majors Construction Program and Key Discipline Construction Program of Jiangsu Province, Postgraduate Research &amp; Practice Innovation Program of Jiangsu Province and Innovation Project of College Student.</t>
  </si>
  <si>
    <t>2468-8231</t>
  </si>
  <si>
    <t>MOL CATAL</t>
  </si>
  <si>
    <t>Mol. Catal.</t>
  </si>
  <si>
    <t>10.1016/j.mcat.2023.113463</t>
  </si>
  <si>
    <t>R7UU2</t>
  </si>
  <si>
    <t>WOS:001066377500001</t>
  </si>
  <si>
    <t>Jiang, HW; Lu, P; Xue, ZY; Gong, RH</t>
  </si>
  <si>
    <t>Jiang, Hewei; Lu, Ping; Xue, Zeyu; Gong, Ruhao</t>
  </si>
  <si>
    <t>Co-combustion characteristics of paper sludge and combustible construction and demolition waste</t>
  </si>
  <si>
    <t>JOURNAL OF THE ENERGY INSTITUTE</t>
  </si>
  <si>
    <t>Combustible construction and demolition; waste; Paper sludge; Combustion characteristics; Interaction; Kinetic; TG-FTIR</t>
  </si>
  <si>
    <t>MUNICIPAL SOLID-WASTE; FTIR ANALYSIS; CO-PYROLYSIS; TG-FTIR; LIGNIN; FUEL; GASIFICATION; TORREFACTION; TEMPERATURE; ADDITIVES</t>
  </si>
  <si>
    <t>Combustion characteristics and hazardous gas emissions were investigated by using TG-FTIR under individual and co-combustion of paper sludge (PPS), combustible construction and demolition wastes (CCDW) and its components. The interaction between PPS and CCDW during co-combustion at different PPS ratios was predicted by mass-weighted method. Kinetic parameters under individual and co-combustion of PPS and CCDW were calculated by using three model-free methods involving Flynn-Wall-Ozawa (FWO), Kissinger-Akah-Sunose (KAS) and Starink. The obtained results indicated that the residue of co-combustion with PPS and CCDW gradually increased when PPS ratio increased from 30% to 70%. Co-combustion of PPS and CCDW improves combustion characteristics and mass-weighted method can be used to predict their TG/DTG curves. A significant interaction between PPS and CCDW was clarified, especially at the high temperature stage greater than 400 degrees C. The acti-vation energy calculated by FWO method has higher accuracy for co-combustion of PPS and CCDW. Co -combustion of PPS and CCDW can effectively reduce the emission of hazardous gases. A suggested PPS ratio of 50% was proposed for improving combustion characteristics and reducing the hazardous gas emissions during co-combustion of PPS and CCDW.</t>
  </si>
  <si>
    <t>[Jiang, Hewei] Nanjing Normal Univ, Sch Environm, Nanjing 210023, Peoples R China; [Lu, Ping; Xue, Zeyu; Gong, Ruhao] Nanjing Normal Univ, Sch Energy &amp; Mech Engn, Nanjing 210042, Peoples R China</t>
  </si>
  <si>
    <t>Nanjing Normal University; Nanjing Normal University</t>
  </si>
  <si>
    <t>Lu, P (corresponding author), Nanjing Normal Univ, Sch Energy &amp; Mech Engn, Nanjing 210042, Peoples R China.</t>
  </si>
  <si>
    <t>luping@njnu.edu.cn</t>
  </si>
  <si>
    <t>National Natural Science Foundation of China [51476079]; Postgraduate Research amp; Practice Innovation Program of Jiangsu Province</t>
  </si>
  <si>
    <t>National Natural Science Foundation of China(National Natural Science Foundation of China (NSFC)); Postgraduate Research amp; Practice Innovation Program of Jiangsu Province</t>
  </si>
  <si>
    <t>Acknowledgements Funding: This work was supported by the National Natural Science Foundation of China [grant numbers 51476079] and Postgraduate Research &amp; Practice Innovation Program of Jiangsu Province.</t>
  </si>
  <si>
    <t>1743-9671</t>
  </si>
  <si>
    <t>1746-0220</t>
  </si>
  <si>
    <t>J ENERGY INST</t>
  </si>
  <si>
    <t>J. Energy Inst.</t>
  </si>
  <si>
    <t>10.1016/j.joei.2023.101352</t>
  </si>
  <si>
    <t>P7DH8</t>
  </si>
  <si>
    <t>WOS:001052237400001</t>
  </si>
  <si>
    <t>Jin, DL; Shen, ZC; Song, X; Yuan, DJ; Mao, JH; Yang, HQ</t>
  </si>
  <si>
    <t>Jin, Dalong; Shen, Zhichao; Song, Xin; Yuan, Dajun; Mao, Jiahua; Yang, Haoqing</t>
  </si>
  <si>
    <t>Numerical analysis of slurry penetration and filter cake formation in front of tunnel face</t>
  </si>
  <si>
    <t>TUNNELLING AND UNDERGROUND SPACE TECHNOLOGY</t>
  </si>
  <si>
    <t>Slurry shield tunneling; Slurry penetration; Filter cake formation; Slurry -soil interaction; Tunnel face</t>
  </si>
  <si>
    <t>SHIELD; FILTRATION; PRESSURE; INFILTRATION; STABILITY</t>
  </si>
  <si>
    <t>The bentonite slurry penetration in front of the tunnel face significantly influences the face stability during slurry shield tunneling. In this study, the mechanism of slurry-soil interaction is clarified through the soil micro -structural evolution. A transient model coupling the slurry transport and deposition theory is proposed to esti-mate the slurry penetration and filter cake formation. The time-dependent parameters are considered, including the flow parameters (flow path and pressure gradient) and the hydraulic resistance of soils (soil permeability, porosity, and shear resistance). The proposed model is compared with the infiltration column tests and shows a good agreement.Moreover, a parametric study is conducted to investigate the influence of the soil and slurry properties on the slurry-soil interaction. The results indicate the soil-bentonite relative size is the main factor influencing the formed filter cake type. The filter cake of type III (external filter cake and penetration zone) could be formed when the bentonite particle size is between the range of 0.01d10-0.5d10. This type of filter cake has good tightness and could help to improve the face stability when tunneling by slurry shield machine.</t>
  </si>
  <si>
    <t>[Jin, Dalong; Yuan, Dajun; Mao, Jiahua] Beijing Jiaotong Univ, Sch Civil Engn, 3 Shangyuancun, Beijing 100044, Peoples R China; [Shen, Zhichao] South China Univ Technol, Sch Marine Sci &amp; Engn, 777 Xingye Ave East, Guangzhou 511442, Peoples R China; [Song, Xin] Natl Railway Adm Peoples Republ China, Courtyard 6 Fuxing Rd, Beijing 100891, Peoples R China; [Yang, Haoqing] Shanghai Jiao Tong Univ, Dept Civil Engn, State Key Lab Ocean Engn, Huashan Rd, Shanghai 200092, Peoples R China</t>
  </si>
  <si>
    <t>Beijing Jiaotong University; South China University of Technology; Shanghai Jiao Tong University</t>
  </si>
  <si>
    <t>Shen, ZC (corresponding author), South China Univ Technol, Sch Marine Sci &amp; Engn, 777 Xingye Ave East, Guangzhou 511442, Peoples R China.</t>
  </si>
  <si>
    <t>jindalong@163.com; shenzhichao@scut.edu.cn; sxfcwd007@sina.com; yuandj603@163.com; jiahuamao1990@163.com; yanghaoqing@sjtu.edu.cn</t>
  </si>
  <si>
    <t>Fundamental Research Funds for the Central Universities [20220484037]; Beijing Nova Program [52008021]; National Natural Science Foundation of China; [2023JBZY030]</t>
  </si>
  <si>
    <t>Fundamental Research Funds for the Central Universities(Fundamental Research Funds for the Central Universities); Beijing Nova Program(Beijing Municipal Science &amp; Technology Commission); National Natural Science Foundation of China(National Natural Science Foundation of China (NSFC));</t>
  </si>
  <si>
    <t>The authors gratefully acknowledge the Fundamental Research Funds for the Central Universities under Grant No. 2023JBZY030, the Beijing Nova Program under Grant No. 20220484037 and the National Natural Science Foundation of China under Grant No. 52008021.</t>
  </si>
  <si>
    <t>0886-7798</t>
  </si>
  <si>
    <t>1878-4364</t>
  </si>
  <si>
    <t>TUNN UNDERGR SP TECH</t>
  </si>
  <si>
    <t>Tunn. Undergr. Space Technol.</t>
  </si>
  <si>
    <t>10.1016/j.tust.2023.105303</t>
  </si>
  <si>
    <t>Q6WX1</t>
  </si>
  <si>
    <t>WOS:001058918900001</t>
  </si>
  <si>
    <t>Jin, XX; Geng, CY; Zhao, D; Liu, Y; Wang, XQ; Liu, XQ; Wong, DKY</t>
  </si>
  <si>
    <t>Jin, Xiaoxin; Geng, Chaoyao; Zhao, Dan; Liu, Yuan; Wang, Xingqi; Liu, Xiaoqiang; Wong, Danny K. Y.</t>
  </si>
  <si>
    <t>Peroxidase-encapsulated Zn/Co-zeolite imidazole framework nanosheets on ZnCoO nanowire array for detecting H2O2 derived from mitochondrial superoxide anion</t>
  </si>
  <si>
    <t>2D; Zn; Co; ZIF on ZnCoO nanowire array Electrochemical biosensor Enzyme; Mitochondria electron transfer chain</t>
  </si>
  <si>
    <t>METAL-ORGANIC FRAMEWORKS; OXYGEN; REDUCTION; ZIF-67; COO</t>
  </si>
  <si>
    <t>In this work, we have developed a nanocomposite consisting of horseradish peroxidase (HRP)-encapsulated 2D Zn-Co zeolite imidazole framework (ZIF) nanosheets strung on a ZnCoO nanowire array on a Ti support (denoted as 2D-Zn/Co-ZIF(HRP)|ZnCoO|Ti). This nanocomposite was then applied to constructing an electrochemical biosensor for detecting H2O2 derived from O &amp; BULL;-2 released by mitochondria in living cells. This sensing platform shows excellent catalytic performance towards H2O2, attributable to the enzyme/metal-catalytic effect of HRP and Zn/Co-ZIF. The unique nano-string structure alleviates the aggregation of Zn/Co-ZIF nanosheets, readily exposes the catalytic active sites, protects the bioactivity of HRP, and reduces the charge/mass transfer pathway within Zn/Co-ZIF. The 2D-Zn/Co-ZIF(HRP)|ZnCoO|Ti biosensor offers two linear ranges of 0.2-10 &amp; mu; M and 10-1100 &amp; mu; M, a limit of detection of 0.082 &amp; mu; M, a sensitivity of 3.3 mA mM-1 cm-2, good selectivity and stability over 40 days for H2O2 detection. After treating with specific mitochondrial complex inhibitors, the chronoamperometric results at the 2D-Zn/Co-ZIF(HRP)|ZnCoO|Ti confirmed complex I and III within the mitochondria electron transfer chain as the main electron leakage sites. This biosensor may contribute to the development of diagnostic health-care devices that shed light on the precaution and even treatment of oxidative stress diseases.</t>
  </si>
  <si>
    <t>[Jin, Xiaoxin; Geng, Chaoyao; Zhao, Dan; Liu, Yuan; Wang, Xingqi; Liu, Xiaoqiang] Henan Univ, Coll Chem &amp; Mol Sci, Henan Joint Int Res Lab Environm Pollut Control Ma, Kaifeng 475004, Henan, Peoples R China; [Wong, Danny K. Y.] Macquarie Univ, Dept Appl Biosci, Sydney, NSW 2109, Australia</t>
  </si>
  <si>
    <t>Henan University; Macquarie University</t>
  </si>
  <si>
    <t>Liu, XQ (corresponding author), Henan Univ, Coll Chem &amp; Mol Sci, Henan Joint Int Res Lab Environm Pollut Control Ma, Kaifeng 475004, Henan, Peoples R China.;Wong, DKY (corresponding author), Macquarie Univ, Dept Appl Biosci, Sydney, NSW 2109, Australia.</t>
  </si>
  <si>
    <t>liuxq@henu.edu.cn; Danny.Wong@mq.edu.au</t>
  </si>
  <si>
    <t>National Natural Science Foundation of China [62071169]</t>
  </si>
  <si>
    <t>Acknowledgements This work was financially supported by the National Natural Science Foundation of China (No. 62071169) .</t>
  </si>
  <si>
    <t>10.1016/j.bios.2023.115547</t>
  </si>
  <si>
    <t>O9NF8</t>
  </si>
  <si>
    <t>WOS:001047006900001</t>
  </si>
  <si>
    <t>Jordan, BR; Zhai, YJ; Li, Z; Zhao, HS; Mackmull, MT; Glavy, JS</t>
  </si>
  <si>
    <t>Jordan, Benjamin R.; Zhai, Yujia; Li, Zhi; Zhao, Haoshuang; Mackmull, Marie-Therese; Glavy, Joseph S.</t>
  </si>
  <si>
    <t>Discovering the nuclear localization signal of Werner Helicase Interacting Protein 1</t>
  </si>
  <si>
    <t>BIOCHIMICA ET BIOPHYSICA ACTA-MOLECULAR CELL RESEARCH</t>
  </si>
  <si>
    <t>Werner; Nuclear transport; NLS; Maintenance genome stability; Monopartite; Importin</t>
  </si>
  <si>
    <t>WRNIP1; DOMAIN</t>
  </si>
  <si>
    <t>Our study maps the classic nuclear localization signal (cNLS) domain within WRNIP that directs the protein's nuclear positioning.</t>
  </si>
  <si>
    <t>[Jordan, Benjamin R.; Glavy, Joseph S.] Univ Texas Tyler, Fisch Coll Pharm, Dept Pharmaceut Sci, Tyler, TX 75799 USA; [Zhai, Yujia; Li, Zhi; Zhao, Haoshuang] Stevens Inst Technol, Hoboken, NJ USA; [Zhai, Yujia] Mem Sloan Kettering Canc Ctr, New York, NY USA; [Li, Zhi; Mackmull, Marie-Therese] NYU, Grossman Sch Med, New York, NY USA; [Mackmull, Marie-Therese] European Mol Biol Lab EMBL, Struct &amp; Computat Biol Unit, Heidelberg, Germany; [Mackmull, Marie-Therese] Swiss Fed Inst Technol, Dept Biol, Inst Mol Syst Biol, Zurich, Switzerland</t>
  </si>
  <si>
    <t>University of Texas System; University of Texas at Tyler; Stevens Institute of Technology; Memorial Sloan Kettering Cancer Center; New York University; European Molecular Biology Laboratory (EMBL); Swiss Federal Institutes of Technology Domain; ETH Zurich</t>
  </si>
  <si>
    <t>Glavy, JS (corresponding author), Univ Texas Tyler, Fisch Coll Pharm, Dept Pharmaceut Sci, Tyler, TX 75799 USA.</t>
  </si>
  <si>
    <t>jglavy@uttyler.edu</t>
  </si>
  <si>
    <t>0167-4889</t>
  </si>
  <si>
    <t>1879-2596</t>
  </si>
  <si>
    <t>BBA-MOL CELL RES</t>
  </si>
  <si>
    <t>Biochim. Biophys. Acta-Mol. Cell Res.</t>
  </si>
  <si>
    <t>10.1016/j.bbamcr.2023.119502</t>
  </si>
  <si>
    <t>Biochemistry &amp; Molecular Biology; Cell Biology</t>
  </si>
  <si>
    <t>Q7GD7</t>
  </si>
  <si>
    <t>WOS:001059161000001</t>
  </si>
  <si>
    <t>Josephson, CB; Gonzalez-Izquierdo, A; Engbers, JDT; Denaxas, S; Delgado-Garcia, G; Sajobi, TT; Wang, M; Keezer, MR; Wiebe, S</t>
  </si>
  <si>
    <t>Josephson, Colin B.; Gonzalez-Izquierdo, Arturo; Engbers, Jordan D. T.; Denaxas, Spiros; Delgado-Garcia, Guillermo; Sajobi, Tolulope T.; Wang, Meng; Keezer, Mark R.; Wiebe, Samuel</t>
  </si>
  <si>
    <t>Association of comorbid-socioeconomic clusters with mortality in late onset epilepsy derived through unsupervised machine learning</t>
  </si>
  <si>
    <t>SEIZURE-EUROPEAN JOURNAL OF EPILEPSY</t>
  </si>
  <si>
    <t>Epilepsy; Cohort study; Electronic health records; Unsupervised machine learning; Elderly; Late-onset epilepsy</t>
  </si>
  <si>
    <t>ELECTRONIC HEALTH RECORDS; RISK; PEOPLE; DEPRESSION; DISORDERS; SEIZURES; OUTCOMES; INDEX; CARE</t>
  </si>
  <si>
    <t>Background and objectives: Late-onset epilepsy is a heterogenous entity associated with specific aetiologies and an elevated risk of premature mortality. Specific multimorbid-socioeconomic profiles and their unique prognostic trajectories have not been described. We sought to determine if specific clusters of late onset epilepsy exist, and whether they have unique hazards of premature mortality.Methods: We performed a retrospective observational cohort study linking primary and hospital-based UK electronic health records with vital statistics data (covering years 1998-2019) to identify all cases of incident late onset epilepsy (from people aged =65) and 1:10 age, sex, and GP practice-matched controls. We applied hierarchical agglomerative clustering using common aetiologies identified at baseline to define multimorbidsocioeconomic profiles, compare hazards of early mortality, and tabulating causes of death stratified by cluster. Results: From 1,032,129 people aged =65, we identified 1048 cases of late onset epilepsy who were matched to 10,259 controls. Median age at epilepsy diagnosis was 68 (interquartile range: 66-72) and 474 (45%) were female. The hazard of premature mortality related to late-onset epilepsy was higher than matched controls (hazard ratio [HR] 1.73; 95% confidence interval [95%CI] 1.51-1.99). Ten unique phenotypic clusters were identified, defined by 'healthy' males and females, ischaemic stroke, intracerebral haemorrhage (ICH), ICH and alcohol misuse, dementia and anxiety, anxiety, depression in males and females, and brain tumours. Cluster specific hazards were often similar to that derived for late-onset epilepsy as a whole. Clusters that differed significantly from the base late-onset epilepsy hazard were 'dementia and anxiety' (HR 5.36; 95%CI 3.31-8.68), 'brain tumour' (HR 4.97; 95%CI 2.89-8.56), 'ICH and alcohol misuse' (HR 2.91; 95%CI 1.76-4.81), and 'ischaemic stroke' (HR 2.83; 95%CI 1.83-4.04). These cluster-specific risks were also elevated compared to those derived for tumours, dementia, ischaemic stroke, and ICH in the whole population. Seizure-related cause of death was uncommon and restricted to the ICH, ICH and alcohol misuse, and healthy female clusters.Significance: Late-onset epilepsy is an amalgam of unique phenotypic clusters that can be quantitatively defined. Late-onset epilepsy and cluster-specific comorbid profiles have complex effects on premature mortality above and beyond the base rates attributed to epilepsy and cluster-defining comorbidities alone.</t>
  </si>
  <si>
    <t>[Josephson, Colin B.; Delgado-Garcia, Guillermo; Sajobi, Tolulope T.; Wiebe, Samuel] Univ Calgary, Cumming Sch Med, Dept Clin Neurosci, Calgary, AB, Canada; [Josephson, Colin B.; Sajobi, Tolulope T.; Wang, Meng; Wiebe, Samuel] Univ Calgary, Cumming Sch Med, Dept Community Hlth Sci, Calgary, AB, Canada; [Josephson, Colin B.; Sajobi, Tolulope T.; Wiebe, Samuel] Univ Calgary, Hotchkiss Brain Inst, Calgary, AB, Canada; [Josephson, Colin B.; Sajobi, Tolulope T.; Wiebe, Samuel] Univ Calgary, OBrien Inst Publ Hlth, Calgary, AB, Canada; [Josephson, Colin B.] Univ Calgary, Ctr Hlth Informat, Calgary, AB, Canada; [Gonzalez-Izquierdo, Arturo; Denaxas, Spiros] UCL Inst Hlth Informat, London, England; [Gonzalez-Izquierdo, Arturo; Denaxas, Spiros] Hlth Data Res HDR UK, London, England; [Engbers, Jordan D. T.] Desid Labs Inc, Calgary, AB, Canada; [Denaxas, Spiros] Alan Turing Inst, London, England; [Keezer, Mark R.] Univ Montreal, Dept Neurosci, Montreal, PQ, Canada; [Wiebe, Samuel] Univ Calgary, Cumming Sch Med, Clin Res Unit, Calgary, AB, Canada; [Josephson, Colin B.] Univ Calgary, Foothills Med Ctr, Cumming Sch Med, Neurol, 1403-29St NW, Calgary, AB, Canada</t>
  </si>
  <si>
    <t>University of Calgary; University of Calgary; University of Calgary; University of Calgary; University of Calgary; University of London; University College London; Universite de Montreal; University of Calgary; University of Calgary</t>
  </si>
  <si>
    <t>Josephson, CB (corresponding author), Univ Calgary, Foothills Med Ctr, Cumming Sch Med, Neurol, 1403-29St NW, Calgary, AB, Canada.</t>
  </si>
  <si>
    <t>Josephson, Colin/0000-0001-7052-1651</t>
  </si>
  <si>
    <t>1059-1311</t>
  </si>
  <si>
    <t>1532-2688</t>
  </si>
  <si>
    <t>SEIZURE-EUR J EPILEP</t>
  </si>
  <si>
    <t>Seizure</t>
  </si>
  <si>
    <t>10.1016/j.seizure.2023.07.016</t>
  </si>
  <si>
    <t>Clinical Neurology; Neurosciences</t>
  </si>
  <si>
    <t>S2AH3</t>
  </si>
  <si>
    <t>WOS:001069243000001</t>
  </si>
  <si>
    <t>Judson, TJ; Zhang, SQ; Lindan, CP; Boothroyd, D; Grumbach, K; Bollyky, JB; Sample, HA; Huang, B; Desai, M; Gonzales, R; Maldonado, Y; Rutherford, G</t>
  </si>
  <si>
    <t>Judson, Timothy J.; Zhang, Shiqi; Lindan, Christina P.; Boothroyd, Derek; Grumbach, Kevin; Bollyky, Jennifer B.; Sample, Hannah A.; Huang, Beatrice; Desai, Manisha; Gonzales, Ralph; Maldonado, Yvonne; Rutherford, George</t>
  </si>
  <si>
    <t>TrackCOVID Consortium</t>
  </si>
  <si>
    <t>Association of protective behaviors with SARS-CoV-2 infection: results from a longitudinal cohort study of adults in the San Francisco Bay Area</t>
  </si>
  <si>
    <t>ANNALS OF EPIDEMIOLOGY</t>
  </si>
  <si>
    <t>Longitudinal cohort study; COVID; Risk factors; Masking; Travel; Social distancing; Working outside the home; COVID-19</t>
  </si>
  <si>
    <t>UNITED-STATES; COVID-19; TRANSMISSION</t>
  </si>
  <si>
    <t>Purpose: In an effort to decrease transmission during the first years of the COVID-19 pandemic, public health officials encouraged masking, social distancing, and working from home, and restricted travel. However, many studies of the effectiveness of these measures had significant methodologic limitations. In this analysis, we used data from the TrackCOVID study, a longitudinal cohort study of a population-based sample of 3846 adults in the San Francisco Bay Area, to evaluate the association between self-reported protective behaviors and incidence of SARS-CoV-2 infection.Methods: Participants without SARS-CoV2 infection were enrolled from August to December 2020 and followed monthly with testing and surveys (median of four visits).Results: A total of 118 incident infections occurred (3.0% of participants). At baseline, 80.0% reported always wearing a mask; 56.0% avoided contact with nonhousehold members some/most of the time; 9.6% traveled outside the state; and 16.0% worked 20 or more hours per week outside the home. Factors associated with incident infection included being Black or Latinx, having less than a college education, and having more household residents. The only behavioral factor associated with incident infection was working outside the home (adjusted hazard ratio 1.62, 95% confidence interval 1.02-2.59).Conclusions: Focusing on protecting people who cannot work from home could help prevent infections during future waves of COVID-19, or future pandemics from respiratory viruses. This focus must be balanced with the known importance of directing resources toward those at risk of severe infections.&amp; COPY; 2023 The Author(s). Published by Elsevier Inc. This is an open access article under the CC BY license (http://creativecommons.org/licenses/by/4.0/).</t>
  </si>
  <si>
    <t>[Judson, Timothy J.; Huang, Beatrice] Univ Calif San Francisco, Dept Med, San Francisco, CA USA; [Zhang, Shiqi; Boothroyd, Derek; Desai, Manisha] Stanford Univ, Dept Med, Quantitat Sci Unit, Palo Alto, CA USA; [Lindan, Christina P.; Rutherford, George] Univ Calif San Francisco, Dept Epidemiol &amp; Biostat, San Francisco, CA USA; [Grumbach, Kevin] Univ Calif San Francisco, Dept Family &amp; Community Med, San Francisco, CA USA; [Bollyky, Jennifer B.; Maldonado, Yvonne] Stanford Univ, Sch Med, Dept Pediat, Stanford, CA USA; [Sample, Hannah A.] Univ Calif Los Angeles, David Geffen Sch Med, Los Angeles, CA USA; [Gonzales, Ralph] Univ Calif San Francisco, Dept Med, Div Gen Internal Med, San Francisco, CA USA; [Maldonado, Yvonne] Stanford Univ, Sch Med, Dept Med, Stanford, CA USA; [Judson, Timothy J.] Univ Calif San Francisco, 521 Parnassus Ave,Box 0131, San Francisco, CA 94143 USA</t>
  </si>
  <si>
    <t>University of California System; University of California San Francisco; Stanford University; University of California System; University of California San Francisco; University of California System; University of California San Francisco; Stanford University; University of California System; University of California Los Angeles; University of California Los Angeles Medical Center; David Geffen School of Medicine at UCLA; University of California System; University of California San Francisco; Stanford University; University of California System; University of California San Francisco</t>
  </si>
  <si>
    <t>Judson, TJ (corresponding author), Univ Calif San Francisco, 521 Parnassus Ave,Box 0131, San Francisco, CA 94143 USA.</t>
  </si>
  <si>
    <t>Timothy.judson@ucsf.edu</t>
  </si>
  <si>
    <t>Boothroyd, Derek Brian/0000-0001-5387-6995</t>
  </si>
  <si>
    <t>Canal Alliance</t>
  </si>
  <si>
    <t>This work was funded by the Chan Zuckerberg Initiative.r We would like to acknowledge the following for their invaluable assistance with the study: all of the participants; the Departments of Public Health in the counties of San Francisco, Contra Costa, Alameda, Marin, San Mateo, and Santa Clara; the TrackCOVID clinical research coordinators; the staff of the Henne Group; Mansour Fahimi, PhD, of the Marketing Systems Group for assistance with determining the sampling frame; community-based organizations for their help with recruitment (the Community Health Partnership, the Canal Alliance, and The Bay Area Community Health Adivsory Council) ; Joe DeRisi, PhD and the BioHub for PCR testing, viral se-quencing and storage of samples; the clinical research lab at the Stanford Health Center; the UCSF Clinical Laboratory; Jing Jin and Graham Simmons (Vitalant Research Institute) , and Rodolfo Villa (UCSF) for assistance with pseudovirus neutralization assays; David Glidden, PhD, UCSF for assistance with initial study design.</t>
  </si>
  <si>
    <t>1047-2797</t>
  </si>
  <si>
    <t>1873-2585</t>
  </si>
  <si>
    <t>ANN EPIDEMIOL</t>
  </si>
  <si>
    <t>Ann. Epidemiol.</t>
  </si>
  <si>
    <t>10.1016/j.annepidem.2023.07.009</t>
  </si>
  <si>
    <t>R5WM0</t>
  </si>
  <si>
    <t>WOS:001065054800001</t>
  </si>
  <si>
    <t>Kagan, L; Sivashinsky, G</t>
  </si>
  <si>
    <t>Kagan, Leonid; Sivashinsky, Gregory</t>
  </si>
  <si>
    <t>Effect of the central gravitational field on self-accelerating outward propagating flames subjected to the Rayleigh-Taylor instability: Transition to detonation</t>
  </si>
  <si>
    <t>COMBUSTION AND FLAME</t>
  </si>
  <si>
    <t>Self-accelerating flames; Rayleigh-Taylor instabilities in flames; Deflagration-to-detonation transition; Supernovae explosions</t>
  </si>
  <si>
    <t>TURBULENT FLAMES; SUPERNOVAE</t>
  </si>
  <si>
    <t>Within the Boussinesq approximation an elementary model for the deflagration-to-detonation transition triggered by self-acceleration of an expanding flame in a central gravitational field is formulated and explored numerically. The self-acceleration is sustained by the intrinsic Rayleigh-Taylor instability un -til the Deshaies-Joulin deflagrability threshold is reached, followed by an abrupt transition to detonation. Emergence of the threshold is caused by positive feedback between the accelerating flame and the flame-driven pressure shock that results in the thermal runaway when the flame speed reaches a critical level. The model offers a simple mechanism that may be responsible for the transition to detonation in ther-monuclear supernovae. The present study is an extension of the preceding models dealing with constant gravitational fields. &amp; COPY; 2023 The Combustion Institute. Published by Elsevier Inc. All rights reserved.</t>
  </si>
  <si>
    <t>[Kagan, Leonid; Sivashinsky, Gregory] Tel Aviv Univ, Sch Math Sci, IL-69978 Tel Aviv, Israel</t>
  </si>
  <si>
    <t>Tel Aviv University</t>
  </si>
  <si>
    <t>Kagan, L (corresponding author), Tel Aviv Univ, Sch Math Sci, IL-69978 Tel Aviv, Israel.</t>
  </si>
  <si>
    <t>kaganleo@tauex.tau.ac.il</t>
  </si>
  <si>
    <t>Kagan, Leonid/0000-0002-3155-7093</t>
  </si>
  <si>
    <t>US -Israel Bina- tional Science Foundation [2020-005]</t>
  </si>
  <si>
    <t>US -Israel Bina- tional Science Foundation(US-Israel Binational Science Foundation)</t>
  </si>
  <si>
    <t>These studies were partially supported by the US -Israel Bina- tional Science Foundation (Grant 2020-005) .</t>
  </si>
  <si>
    <t>0010-2180</t>
  </si>
  <si>
    <t>1556-2921</t>
  </si>
  <si>
    <t>COMBUST FLAME</t>
  </si>
  <si>
    <t>Combust. Flame</t>
  </si>
  <si>
    <t>10.1016/j.combustflame.2023.112951</t>
  </si>
  <si>
    <t>Thermodynamics; Energy &amp; Fuels; Engineering, Multidisciplinary; Engineering, Chemical; Engineering, Mechanical</t>
  </si>
  <si>
    <t>Thermodynamics; Energy &amp; Fuels; Engineering</t>
  </si>
  <si>
    <t>O9PS5</t>
  </si>
  <si>
    <t>WOS:001047071700001</t>
  </si>
  <si>
    <t>Kant, T; Shrivas, K; Kumar, A; Dewangan, K</t>
  </si>
  <si>
    <t>Kant, Tushar; Shrivas, Kamlesh; Kumar, Antresh; Dewangan, Khemchand</t>
  </si>
  <si>
    <t>Graphene-silver nano-ink for inkjet printing of paper electrode for electrochemical sensing of 4-nitrophenol</t>
  </si>
  <si>
    <t>Inkjet printer; Sensor; Nanocomposite; Nanoparticles</t>
  </si>
  <si>
    <t>FACILE SYNTHESIS; RAMAN-SPECTROSCOPY; SITU SYNTHESIS; NANOPARTICLES; OXIDE; GREEN; EXFOLIATION; REDUCTION; COMPOSITE; GRAPHITE</t>
  </si>
  <si>
    <t>Here, an inkjet printed paper electrode (PPE) decorated with graphene (Gr)-silver (Ag) nanocomposite was exploited as an electrochemical sensing probe for analysis of 4-nitrophenol (4-NP) in environmental water samples. In this work, 4% Gr-Ag nanocomposite ink (NI) was prepared in ethanol, ethylene glycol, and glycerol in the ratio of 50:45:5, which possess surface tension and viscosity of 36 mN m-1 and 11 mPa s, respectively. The office inkjet printer was employed to print formulated Gr-Ag NI on digital photo paper, followed by sintered at 200 degrees C for 30 min to make effective conducting tracks for the sensing of 4-NP. Gr-Ag NI-based PPE was used as a working electrode in cyclic voltammetry. The working principle of detection is based on the electrocatalytic reduction process of 4-NP on the electrode surface. A good linearity range of 3.125-100 &amp; mu;M was observed, achieving a detection limit of 2.7 &amp; mu;M to measure 4-NP. Thus, the developed PPE holds considerable potential and offers an economical, biodegradable, and user-friendly sensor for future applications in the monitoring of 4-NP in environmental water samples.</t>
  </si>
  <si>
    <t>[Kant, Tushar; Shrivas, Kamlesh] Pt Ravishankar Shukla Univ, Sch Studies Chem, Raipur 492010, Chhattisgarh, India; [Kumar, Antresh] Cent Univ Haryana, Dept Biochem, Jant Pali Mahendergarh 123031, Haryana, India; [Dewangan, Khemchand] Indira Gandhi Natl Tribal Univ, Dept Chem, Amarkantak 484887, Madhya Pradesh, India</t>
  </si>
  <si>
    <t>Pt. Ravishankar Shukla University; Central University of Haryana; Indira Gandhi National Tribal University</t>
  </si>
  <si>
    <t>Shrivas, K (corresponding author), Pt Ravishankar Shukla Univ, Sch Studies Chem, Raipur 492010, Chhattisgarh, India.;Dewangan, K (corresponding author), Indira Gandhi Natl Tribal Univ, Dept Chem, Amarkantak 484887, Madhya Pradesh, India.</t>
  </si>
  <si>
    <t>kshrivas@gmail.com; khemchand.dewangan@igntu.ac.in</t>
  </si>
  <si>
    <t>Dewangan, Khemchand/HTQ-6515-2023</t>
  </si>
  <si>
    <t>Dewangan, Khemchand/0000-0002-7945-494X</t>
  </si>
  <si>
    <t>New Delhi [EMR/2016/005813]; Chhattisgarh Council of Science and Technology [CCOST/MRP/2023]</t>
  </si>
  <si>
    <t>New Delhi; Chhattisgarh Council of Science and Technology</t>
  </si>
  <si>
    <t>Kamlesh Shrivas acknowledged File No: EMR/2016/005813) , New Delhi for providing financial assistance in the form of an Extra Mural Research Project. Also thanks to the Chhattisgarh Council of Science and Technology (Ref. CCOST/MRP/2023) for assisting with the financialsupport.</t>
  </si>
  <si>
    <t>10.1016/j.matchemphys.2023.128161</t>
  </si>
  <si>
    <t>P4CA9</t>
  </si>
  <si>
    <t>WOS:001050130200001</t>
  </si>
  <si>
    <t>Karl, K; Rajagopal, S; Hristova, K</t>
  </si>
  <si>
    <t>Karl, Kelly; Rajagopal, Sudarshan; Hristova, Kalina</t>
  </si>
  <si>
    <t>Quantitative assessment of ligand bias from bias plots: The bias coefficient kappa</t>
  </si>
  <si>
    <t>BIOCHIMICA ET BIOPHYSICA ACTA-GENERAL SUBJECTS</t>
  </si>
  <si>
    <t>Membrane receptor; Signaling; Ligand bias</t>
  </si>
  <si>
    <t>FUNCTIONAL SELECTIVITY; MODULATION; RECEPTORS; AGONISM; MODEL</t>
  </si>
  <si>
    <t>The current methods for quantifying ligand bias involve the construction of bias plots and the calculations of bias coefficients that can be compared using statistical methods. However, widely used bias coefficients can diverge in their abilities to identify ligand bias and can give false positives. As the empirical bias plots are considered the most reliable tools in bias identification, here we develop an analytical description of bias plot trajectories and introduce a bias coefficient, kappa, which is calculated from these trajectories. The new bias coefficient com-plements the tool-set in ligand bias identification in cell signaling research.</t>
  </si>
  <si>
    <t>[Karl, Kelly; Hristova, Kalina] Johns Hopkins Univ, Inst NanoBioTechnol, Dept Mat Sci &amp; Engn, Baltimore, MD 21218 USA; [Karl, Kelly; Hristova, Kalina] Johns Hopkins Univ, Program Mol Biophys, Baltimore, MD 21218 USA; [Rajagopal, Sudarshan] Duke Univ, Sch Med, Dept Med, Div Cardiol, Durham, NC 27710 USA</t>
  </si>
  <si>
    <t>Johns Hopkins University; Johns Hopkins University; Duke University</t>
  </si>
  <si>
    <t>Hristova, K (corresponding author), Johns Hopkins Univ, Inst NanoBioTechnol, Dept Mat Sci &amp; Engn, Baltimore, MD 21218 USA.;Hristova, K (corresponding author), Johns Hopkins Univ, Program Mol Biophys, Baltimore, MD 21218 USA.</t>
  </si>
  <si>
    <t>kh@jhu.edu</t>
  </si>
  <si>
    <t>NIH [MCB 1712750]; NSF [2106031]; [GM068619]</t>
  </si>
  <si>
    <t>NIH(United States Department of Health &amp; Human ServicesNational Institutes of Health (NIH) - USA); NSF(National Science Foundation (NSF));</t>
  </si>
  <si>
    <t>Supported by NIH GM068619 and NSF MCB 1712750 and 2106031.</t>
  </si>
  <si>
    <t>0304-4165</t>
  </si>
  <si>
    <t>1872-8006</t>
  </si>
  <si>
    <t>BBA-GEN SUBJECTS</t>
  </si>
  <si>
    <t>Biochim. Biophys. Acta-Gen. Subj.</t>
  </si>
  <si>
    <t>10.1016/j.bbagen.2023.130428</t>
  </si>
  <si>
    <t>Q4WK3</t>
  </si>
  <si>
    <t>WOS:001057537700001</t>
  </si>
  <si>
    <t>Karpov, EG; Saha, D</t>
  </si>
  <si>
    <t>Karpov, Eduard G.; Saha, Debajyoti</t>
  </si>
  <si>
    <t>A variegated effective elastic modulus in metabeams under periodically distributed loads</t>
  </si>
  <si>
    <t>MECHANICS RESEARCH COMMUNICATIONS</t>
  </si>
  <si>
    <t>Mechanical metamaterials; Effective elastic properties; Periodic structures; Metabeams</t>
  </si>
  <si>
    <t>NEGATIVE COMPRESSIBILITY; METAMATERIALS</t>
  </si>
  <si>
    <t>A class of beam-like lattice structures, or metabeams under static, sinusoidally distributed transverse loads is discussed. Their neutral axis deflects either in-phase, out-of-phase or shows no deflection, depending on the beam design parameters, and also on the spatial frequency of the static load. These outcomes contrast the behavior of continuum beams, deflecting always in-phase with the load, and they are interpreted on the basis of a positive, negative and near-infinite effective Young's modulus of the structured beams in bending. They also represent a collective effect of the behavior of multiple elements in the lattice that cannot be realized from the performance of an isolated unit cell. A long-range periodic order and nonlocality of the lattice interaction is essential for this unusual behaviors, and those are particularly pronounced at higher wavenumbers, when the load wavelength becomes comparable with the range of direct interactions in the lattice. Theoretical discussion and predictions agree well with numerical experiments performed on the basis of commonly accepted models. Practical applications could be found in advanced reinforcing materials for building foundations, deformation mitigation for lightweight structures and bridges, and in smart mechanical systems able to differentiate external stimuli and to respond selectively.</t>
  </si>
  <si>
    <t>[Karpov, Eduard G.; Saha, Debajyoti] Univ Illinois, Civil Mat &amp; Environm Engn, Chicago, IL 60607 USA</t>
  </si>
  <si>
    <t>University of Illinois System; University of Illinois Chicago; University of Illinois Chicago Hospital</t>
  </si>
  <si>
    <t>Karpov, EG (corresponding author), Univ Illinois, Civil Mat &amp; Environm Engn, Chicago, IL 60607 USA.</t>
  </si>
  <si>
    <t>ekarpov@uic.edu</t>
  </si>
  <si>
    <t>0093-6413</t>
  </si>
  <si>
    <t>1873-3972</t>
  </si>
  <si>
    <t>MECH RES COMMUN</t>
  </si>
  <si>
    <t>Mech. Res. Commun.</t>
  </si>
  <si>
    <t>10.1016/j.mechrescom.2023.104166</t>
  </si>
  <si>
    <t>Q8KQ5</t>
  </si>
  <si>
    <t>WOS:001059960200001</t>
  </si>
  <si>
    <t>Katebi, A; Tushmanlo, HS; Asadollahfardi, G</t>
  </si>
  <si>
    <t>Katebi, Ali; Tushmanlo, Hamid Soleymani; Asadollahfardi, Gholamreza</t>
  </si>
  <si>
    <t>Environmental life cycle assessment and economic comparison of different roof systems</t>
  </si>
  <si>
    <t>Life Cycle Assessment; SimaPro; Concrete Slab Roof; Concrete joist Roof; Chromite joist Roof</t>
  </si>
  <si>
    <t>BUILDINGS; EMISSIONS; TEHRAN</t>
  </si>
  <si>
    <t>Recently, the negative environmental impacts of the construction industry have been of great concern. Since roofs are a major part of the building components, they may play a significant role in generating environmental pollution. One of the solutions to improve the environment in the construction industry is to attempt to achieve a roof system with minimal environmental impact. In the present work, the life cycle assessment (LCA) of one square meter of concrete joists and chromite joists roofs with various types of concrete, clay and polystyrene blocks, concrete slab, and Uboot concrete slab from cradle to the gate and processing technique using Simapro 9.1.1.7 software with the CML-IA baseline)2001) was studied. Also, the results of LCA obtained from the CML-IA baseline method were compared with the results achieved from GaBi software. The sensitivity analysis was performed to find materials with the greatest role in pollution generation. Furthermore, the economic evaluation of the roofs according to the price list for the building on Iran's Plan and Budget Organization (PBO) was carried out. The roof of the Concrete joist and polystyrene block has performed the most suitable on the roofs due to global warming, acidification, and eutrophication. The global warming, acidification, and eutrophication results using the CML-IA baseline (World 2000) method were slightly different from the BEES+ and the IPCC techniques results. Concrete joist with concrete block roof is the most economical roof among the different roofs. The comparison of LCA of eight roof systems with Simapro 9.1.1.7 and Gabi software is the first-time study, which may indicate one of the originalities of the work.</t>
  </si>
  <si>
    <t>[Katebi, Ali; Tushmanlo, Hamid Soleymani; Asadollahfardi, Gholamreza] Kharazmi Univ, Civil Engn Dept, Karaj, Iran</t>
  </si>
  <si>
    <t>Kharazmi University</t>
  </si>
  <si>
    <t>Asadollahfardi, G (corresponding author), Kharazmi Univ, Civil Engn Dept, Karaj, Iran.</t>
  </si>
  <si>
    <t>Katebi@khu.ac.ir; soleymanihamid0@gmail.com; fardi@khu.ac.ir</t>
  </si>
  <si>
    <t>Asadollahfardi, Gholamreza/H-4840-2019</t>
  </si>
  <si>
    <t>Asadollahfardi, Gholamreza/0000-0002-7867-8757</t>
  </si>
  <si>
    <t>10.1016/j.jobe.2023.107316</t>
  </si>
  <si>
    <t>O7ZC2</t>
  </si>
  <si>
    <t>WOS:001045942400001</t>
  </si>
  <si>
    <t>Kedra, M; Wiejaczka, L; Zydron, T; Kijowska-Strugala, M; Cebulski, J</t>
  </si>
  <si>
    <t>Kedra, Mariola; Wiejaczka, Lukasz; Zydron, Tymoteusz; Kijowska-Strugala, Malgorzata; Cebulski, Jaroslaw</t>
  </si>
  <si>
    <t>The influence of water level hydrodynamics on potential changes in the morphology of a mountain reservoir shore zone</t>
  </si>
  <si>
    <t>Water level fluctuations; Shore zone; Valley morphology; Mountain reservoir; upper Vistula; Polish Carpathians</t>
  </si>
  <si>
    <t>ALTERED PRECIPITATION; SOIL-EROSION; RIVER; LANDSLIDE; DECOMPOSITION; FLUCTUATIONS; DYNAMICS; PATTERNS; INFLOW; MODELS</t>
  </si>
  <si>
    <t>This study evaluates the influence of water level fluctuations in a mountain reservoir on potential changes in the morphology of its shore zone. The analysis was carried out in the Czorsztyn reservoir on the upper Dunajec river (located in the upper Vistula Basin within the Polish Carpathians). The spatio-temporal distribution of water levels in the Czorsztyn reservoir was analysed using Fourier spectral analysis, Complete Ensemble Empirical Mode Decomposition with Adaptive Noise (CEEMDAN), and predictive models. The results indicate that the actual range of water levels in a mountain dam reservoir that can have an impact on the morphology of the shore zone is much narrower than its theoretical range. Over the multi-year distribution of daily water levels in the reservoir, four quasiperiodic, overlapping cycles were identified (0.5-year, 1-year, 1.9-year, and 3.8-year cycles); these cycles are expected to have the greatest impact on the intensity of changes to the morphology of the reservoir's shore zone. Predictions of water levels in the reservoir were carried out using STLForecaster, TBATS, ThetaForecaster, ExponentialSmoothing, and EnsembleForecaster models. The forecasting results suggest that the reservoir will be subjected to slight but statistically significant changes in its water levels in the following years. Furthermore, the frequency of high water levels close to normal water levels is expected to increase, that may consequently lead to morphological changes of the shore zone and instability of the reservoir slopes. The results of the study can be useful in predicting the effects of environmental changes within dam reservoirs as important elements of infrastructure for effective water resources management.</t>
  </si>
  <si>
    <t>[Kedra, Mariola] Cracow Univ Technol, Fac Environm Engn &amp; Energy, Dept Geoengn &amp; Water Management, Warszawska 24, PL-31155 Krakow, Poland; [Wiejaczka, Lukasz; Cebulski, Jaroslaw] Polish Acad Sci, Inst Geog &amp; Spatial Org, Dept Geoenvironm Res, Sw Jana 22, PL-31018 Krakow, Poland; [Zydron, Tymoteusz] Agr Univ Krakow, Fac Environm Engn &amp; Land Surveying, Dept Hydraul Engn &amp; Geotech, Mickiewicza 24-28, PL-30059 Krakow, Poland; [Kijowska-Strugala, Malgorzata] Polish Acad Sci, Inst Geog &amp; Spatial Org, Dept Geoenvironm Res, Res Stn Szymbark, Szymbark 430, PL-38311 Warsaw, Poland</t>
  </si>
  <si>
    <t>Cracow University of Technology; Polish Academy of Sciences; Agricultural University Krakow; Polish Academy of Sciences</t>
  </si>
  <si>
    <t>Wiejaczka, L (corresponding author), Polish Acad Sci, Inst Geog &amp; Spatial Org, Dept Geoenvironm Res, Sw Jana 22, PL-31018 Krakow, Poland.</t>
  </si>
  <si>
    <t>mariola.kedra@pk.edu.pl; wieja@zg.pan.krakow.pl; t.zydron@ur.krakow.pl; mkijowska@zg.pan.krakow.pl; cebulski@zg.pan.krakow.pl</t>
  </si>
  <si>
    <t>10.1016/j.catena.2023.107363</t>
  </si>
  <si>
    <t>N8DC5</t>
  </si>
  <si>
    <t>WOS:001039246300001</t>
  </si>
  <si>
    <t>Keerthana, R; Annadurai, R; Kusuma, KN</t>
  </si>
  <si>
    <t>Keerthana, R.; Annadurai, R.; Kusuma, K. N.</t>
  </si>
  <si>
    <t>Mineralogical and morphological mapping of Nernst crater using lunar remote sensing datasets</t>
  </si>
  <si>
    <t>PLANETARY AND SPACE SCIENCE</t>
  </si>
  <si>
    <t>Nernst crater; Highland terrane; Class-2 FFC; Moon mineralogy mapper; And integrated band depth</t>
  </si>
  <si>
    <t>FLOOR-FRACTURED CRATERS; MOON; EMPLACEMENT; MODES</t>
  </si>
  <si>
    <t>This study investigates the morphology and mineralogy of Nernst crater (116 km diameter), located in the Highland Terrane on the northwestern limb of the Oceanus Procellarum and exhibits typical features of a Floor Fractured Crater (FFC), including concentric and radial fractures and a domical floor profile. Lunar Reconnaissance Orbiter (LRO) images and Kaguya digital elevation model (DEM) were utilized to analyze the crater's morphology, while Moon Mineralogical Mapper (M3) datasets were used to identify minerals. The morphological analysis identified several features such as crater rim, wall terraces, convex crater floor, domes, uplifted central peak, concentric and radial fractures/rilles, and a double impact crater. Integrated Band Depth (IBD) based Color Composite Images were generated using M3 datasets to highlight the heterogeneity of lithological composition and extract spectral profiles for mineralogical assessment. Anorthosite signatures were observed on the crater rim, wall terraces, crater floor, and central peak. Low-Calcium Pyroxene (LCP) signatures were found on the walls of fractures/rilles and inside the double impact crater. High-Calcium Pyroxene (HCP) signatures were associated with a pyroclastic deposit near the N-S trending rilles. Additionally, an adjacent impact crater named Nernst T displayed rolling stones, rock boulders, domes, slump deposits, and minerals such as LCP and Pure Crystalline Plagioclase (PCP). The combined analysis of mineralogy and morphology indicated the presence of anorthosite in and around Nernst crater, classifying it as a Class-2 FFC. Combining crater size-frequency distributions (CSFD) based chronology with morphology and mineralogy, revealed that Nernst crater ejecta and its floor originated during the pre-Nectarian to early Imbrian periods (4 and 3.8 Ga, respectively). The concentric and polygonal fractures were estimated to be around 3 Ga old, likely formed during the formation of FFC due to tensional forces and subsequent rebound. Conversely, the radial fractures and dome exhibited a much younger age of 1.2 Ga, indicating a later volcanic intrusion that contributed to the convex floor profile and pyroclastic deposit in Nernst crater. Younger basalts present in the Procellarum terrain located roughly 600 km east of Nernst crater suggest a strong connection between the origin and evolution of Nernst crater and late-stage magmatic activity in the Oceanus Procellarum Terrane.</t>
  </si>
  <si>
    <t>[Keerthana, R.; Annadurai, R.] SRM Inst Sci &amp; Technol, Dept Civil Engn, Kattankulathur 603203, India; [Kusuma, K. N.] Pondicherry Univ, Dept Earth Sci, Pondicherry 605014, India</t>
  </si>
  <si>
    <t>SRM Institute of Science &amp; Technology Chennai; Pondicherry University</t>
  </si>
  <si>
    <t>Keerthana, R (corresponding author), SRM Inst Sci &amp; Technol, Dept Civil Engn, Kattankulathur 603203, India.</t>
  </si>
  <si>
    <t>keerthicivil10@gmail.com</t>
  </si>
  <si>
    <t>SRM Institute of Science and Technology in Kattankulathur</t>
  </si>
  <si>
    <t>The authors express their gratitude to the Chandrayaan-1 M3 team, the Lunar Reconnaissance Orbiter (LRO), and the Indian Space Research Organisation (ISRO) for providing access to data products. The first author expresses gratitude for the fellowship and encouragement provided by the SRM Institute of Science and Technology in Kattankulathur. The first author also thanks Aravind Bharathvaj and Nabamita Chaudhuri of the Remote Sensing Laboratory, Department of Earth Sciences, Pondicherry University, for their assistance in data processing.</t>
  </si>
  <si>
    <t>0032-0633</t>
  </si>
  <si>
    <t>1873-5088</t>
  </si>
  <si>
    <t>PLANET SPACE SCI</t>
  </si>
  <si>
    <t>Planet Space Sci.</t>
  </si>
  <si>
    <t>10.1016/j.pss.2023.105746</t>
  </si>
  <si>
    <t>O3NA8</t>
  </si>
  <si>
    <t>WOS:001042906600001</t>
  </si>
  <si>
    <t>Kendzel, MJ; Altizer, SM; de Roode, JC</t>
  </si>
  <si>
    <t>Kendzel, Mitchell J.; Altizer, Sonia M.; de Roode, Jacobus C.</t>
  </si>
  <si>
    <t>Interactions between parasitism and migration in monarch butterflies</t>
  </si>
  <si>
    <t>CURRENT OPINION IN INSECT SCIENCE</t>
  </si>
  <si>
    <t>DANAUS-PLEXIPPUS L.; OPHRYOCYSTIS-ELEKTROSCIRRHA; PROTOZOAN PARASITE; INFECTIOUS-DISEASE; ANIMAL MIGRATION; VIRULENCE; TRANSMISSION; BIRDS; POPULATIONS; DIVERSITY</t>
  </si>
  <si>
    <t>In many species, migration can increase parasite burdens or diversity as hosts move between diverse habitats with different parasite assemblages. On the other hand, migration can reduce parasite prevalence by letting animals escape infested habitats, or by exacerbating the costs of parasitism, leading to culling or dropout. How the balance between these negative and positive interactions is maintained or how they will change under anthropogenic pressure remains poorly understood. Here, we summarize the relationship between migration and infectious disease in monarch butterflies, finding that migration can reduce parasite prevalence through a combination of migratory culling and dropout. Because parasite prevalence has risen in recent decades, these processes are now resulting in the loss of tens of millions of monarchs. We highlight the remaining questions, asking how migration influences population genetics and virulence, how the establishment of resident populations interferes with migration, and whether infection can interfere with migratory cognition.</t>
  </si>
  <si>
    <t>[Kendzel, Mitchell J.; de Roode, Jacobus C.] Emory Univ, Dept Biol, Atlanta, GA 30322 USA; [Altizer, Sonia M.] Univ Georgia, Odum Sch Ecol, Athens, GA 30602 USA</t>
  </si>
  <si>
    <t>Emory University; University System of Georgia; University of Georgia</t>
  </si>
  <si>
    <t>Kendzel, MJ (corresponding author), Emory Univ, Dept Biol, Atlanta, GA 30322 USA.</t>
  </si>
  <si>
    <t>mkendze@emory.edu</t>
  </si>
  <si>
    <t>National Science Foundation [IOS-1922720]; Emory University Research Committee (URC); NSF [DEB-1754392]</t>
  </si>
  <si>
    <t>National Science Foundation(National Science Foundation (NSF)); Emory University Research Committee (URC); NSF(National Science Foundation (NSF))</t>
  </si>
  <si>
    <t>The research for this review was partially funded by grants from the National Science Foundation to JdR (IOS-1922720) and Emory University Research Committee (URC) , and to SA from NSF DEB-1754392.</t>
  </si>
  <si>
    <t>2214-5745</t>
  </si>
  <si>
    <t>2214-5753</t>
  </si>
  <si>
    <t>CURR OPIN INSECT SCI</t>
  </si>
  <si>
    <t>Curr. Opin. Insect Sci.</t>
  </si>
  <si>
    <t>10.1016/j.cois.2023.101089</t>
  </si>
  <si>
    <t>Biology; Ecology; Entomology</t>
  </si>
  <si>
    <t>Life Sciences &amp; Biomedicine - Other Topics; Environmental Sciences &amp; Ecology; Entomology</t>
  </si>
  <si>
    <t>Q9SH1</t>
  </si>
  <si>
    <t>WOS:001060837100001</t>
  </si>
  <si>
    <t>Khaleghi, A; Mosaddegh, E; Torkzadeh-Mahani, M; Nasab, MH</t>
  </si>
  <si>
    <t>Khaleghi, Alie; Mosaddegh, Elaheh; Torkzadeh-Mahani, Masoud; Nasab, Maryam Hassan</t>
  </si>
  <si>
    <t>Synthesis and characterization of new magnetic modified inulin as an efficient nanocarrier for targeted gene delivery into HEK-293T cells</t>
  </si>
  <si>
    <t>Gene delivery; Inulin; Chitosan; DNA loading; HEK-293T; MTT</t>
  </si>
  <si>
    <t>CATALYST; GREEN; NANOCOMPOSITE</t>
  </si>
  <si>
    <t>In this research, we try to report a new biocompatible nanocarrier that is synthesized by chemical modification of magnetic inulin through interaction with acetylated choline chloride. Further modifications were made to the synthesized nanocomposite using chitosan biopolymer. The magnetic inulin nanocarrier's structure was char-acterized with FT-IR, NMR, DLS, zeta potential, XRD, TEM, and FESEM techniques. The biological properties of the nanocarrier were investigated in gene delivery to HEK-293T cells. The nanocarrier's loading capacity and in vitro release were evaluated by gel retardation and the dialysis method. Plasmid transfection efficiency was optimal at N/P ratio 2. Chemically modified magnetic inulin did not show any intrinsic toxicity toward cells. The results show that nanoparticles in physiological body pH (7.4) can preserve and protect plasmid DNA with low toxicity and can be used as a non-viral carrier for gene transfer and delivery with slow release for cancer treatment.</t>
  </si>
  <si>
    <t>[Khaleghi, Alie; Mosaddegh, Elaheh] Grad Univ Adv Technol, Fac Chem &amp; Chem Engn, Dept Chem, POB 76315-117, Kerman, Iran; [Mosaddegh, Elaheh] Grad Univ Adv Technol, Inst Sci &amp; High Technol &amp; Environm Sci, Dept New Mat, POB 76315-117, Kerman, Iran; [Torkzadeh-Mahani, Masoud] Grad Univ Adv Technol, Inst Sci &amp; High Technol &amp; Environm Sci, Dept Biotechnol, POB 76315-117, Kerman, Iran; [Nasab, Maryam Hassan] Islamic Azad Univ, Med Biotechnol Res Ctr, Askzar Branch, POB 7618493964, Yazd, Ashkzar, Iran</t>
  </si>
  <si>
    <t>Graduate University of Advanced Technology; Graduate University of Advanced Technology; Graduate University of Advanced Technology; Islamic Azad University</t>
  </si>
  <si>
    <t>Mosaddegh, E (corresponding author), Grad Univ Adv Technol, Fac Chem &amp; Chem Engn, Dept Chem, POB 76315-117, Kerman, Iran.</t>
  </si>
  <si>
    <t>emosaddegh@gmail.com</t>
  </si>
  <si>
    <t>10.1016/j.jmmm.2023.171053</t>
  </si>
  <si>
    <t>P0LG5</t>
  </si>
  <si>
    <t>WOS:001047635800001</t>
  </si>
  <si>
    <t>Kida, AA; Lima, ACS; Moreira, FA; Marti, JR; Tarazona, J</t>
  </si>
  <si>
    <t>Kida, A. A.; Lima, A. C. S.; Moreira, F. A.; Marti, J. R.; Tarazona, J.</t>
  </si>
  <si>
    <t>Inaccuracies due to the frequency warping in simulation of electrical systems using combined state-space nodal analysis</t>
  </si>
  <si>
    <t>Transient simulation; Frequency warping; Combined state-space nodal method; Trapezoidal integration rule; Recursive convolutions</t>
  </si>
  <si>
    <t>MODEL</t>
  </si>
  <si>
    <t>The simulation of electromagnetic transients may suffer from inaccuracies due to a phenomenon known as frequency warping (FW). This paper presents an analysis of the effects of FW on the accuracy of digital simulations, demonstrating that the use of the trapezoidal integration rule (TR), commonly employed in many electromagnetic transients simulators, is the root cause of such inaccuracies. Although FW is considered a major problem in digital signal processing, it is often overlooked when simulating electrical transients. The analysis is carried out in a fourth-order RLC circuit, from which the analytic solution is derived. The circuit is solved using the combined state-space nodal method, considering the TR or recursive convolutions as solution methods for the state-space representation. It was observed that the FW caused a change in the natural oscillation frequency of the system, causing a pulsating behavior of absolute error. The accumulation of errors over time can result in deteriorated solutions when either the time steps are not sufficiently small or the simulation runs for a long enough duration. This paper emphasizes the significance of accounting for the FW phenomenon in digital simulations that rely on integration methods, such as the TR.</t>
  </si>
  <si>
    <t>[Kida, A. A.] Fed Inst Bahia, Jacobina, BA, Brazil; [Kida, A. A.; Moreira, F. A.] Univ Fed Bahia, Salvador, BA, Brazil; [Lima, A. C. S.] Univ Fed Rio de Janeiro, UFRJ, COPPE, Rio De Janeiro, Brazil; [Marti, J. R.; Tarazona, J.] Univ British Columbia, Vancouver, BC, Canada</t>
  </si>
  <si>
    <t>Instituto Federal da Bahia (IFBA); Universidade Federal da Bahia; Universidade Federal do Rio de Janeiro; University of British Columbia</t>
  </si>
  <si>
    <t>Kida, AA (corresponding author), Fed Inst Bahia, Jacobina, BA, Brazil.</t>
  </si>
  <si>
    <t>alexandre.kida@ifba.edu.br; acsl@dee.ufrj.br; alexandre.kida@ifba.edu.br; jrms@ece.ubc.ca; jotarazona@gmail.com</t>
  </si>
  <si>
    <t>Moreira, Fernando A/F-6585-2016; Siqueira de Lima, Antonio C./N-6458-2014</t>
  </si>
  <si>
    <t>Moreira, Fernando A/0000-0002-9565-9750; Siqueira de Lima, Antonio C./0000-0001-8671-4271</t>
  </si>
  <si>
    <t>Coordenaao de Aperfeioamento de Pessoal de Nvel Superior (CAPES) [001]; Conselho Nacional de Desenvolvimento Cientfico e Tecnolgico (CNPq) [404068/2020-0, 400851/2021-0]; Fundacao de Amparo a Pesquisa do Estado de Minas Gerais (FAPEMIG) [APQ-03609-17]; Instituto Nacional de Energia Eletrica (INERGE)</t>
  </si>
  <si>
    <t>Coordenaao de Aperfeioamento de Pessoal de Nvel Superior (CAPES)(Coordenacao de Aperfeicoamento de Pessoal de Nivel Superior (CAPES)); Conselho Nacional de Desenvolvimento Cientfico e Tecnolgico (CNPq)(Conselho Nacional de Desenvolvimento Cientifico e Tecnologico (CNPQ)); Fundacao de Amparo a Pesquisa do Estado de Minas Gerais (FAPEMIG)(Fundacao de Amparo a Pesquisa do Estado de Minas Gerais (FAPEMIG)Fundacao de Amparo a Pesquisa e Inovacao do Estado de Santa Catarina (FAPESC)); Instituto Nacional de Energia Eletrica (INERGE)</t>
  </si>
  <si>
    <t>This research was supported in part by Coordenacao de Aperfeicoamento de Pessoal de Nivel Superior (CAPES) under Grant 001, Conselho Nacional de Desenvolvimento Cientifico e Tecnologico (CNPq) under grants 404068/2020-0, 400851/2021-0, Fundacao de Amparo a Pesquisa do Estado de Minas Gerais (FAPEMIG) under grant APQ-03609-17 and Instituto Nacional de Energia Eletrica (INERGE) .</t>
  </si>
  <si>
    <t>10.1016/j.epsr.2023.109657</t>
  </si>
  <si>
    <t>O8IF5</t>
  </si>
  <si>
    <t>WOS:001046183100001</t>
  </si>
  <si>
    <t>Kilicarslan, S; Parmaksiz, I</t>
  </si>
  <si>
    <t>Kilicarslan, Suat; Parmaksiz, Izzet</t>
  </si>
  <si>
    <t>The mediator role of effective communication skills on the relationship between phubbing tendencies and marriage satisfaction in married individuals</t>
  </si>
  <si>
    <t>Phubbing; Marital satisfaction; Effective communication skills</t>
  </si>
  <si>
    <t>MARITAL SATISFACTION; BEHAVIOR; QUALITY; CONVERSATION; DISTRACTION; DEPRESSION; ATTACHMENT; DIVORCE; CHINESE; LIFE</t>
  </si>
  <si>
    <t>The aim of this research is to examine the mediator role of communication skills on the relationship between phubbing tendencies and marital satisfaction of married individuals. The sample of the study consisted of 712 adult married individuals from some cities in the Central Anatolian region of Turkey. 347 (48.7%) of the par-ticipants were female and 365 (51.3%) were male. The average age of the participants is 37.45. Marriage Satisfaction Scale, Phubbing Scale and Effective Communication Skills Scale were used as data collection tools. Pearson Correlation Analysis and Multiple mediation analysis (SPSS PROCESS macro (version 3.5-model 4)) techniques were used in the analysis of the data. There were significant negative correlation between the sub-dimensions of communication skills (ego-developing language, effective listening, self revelation, empathy, I-language) and phubbing; they were also found to be significantly positively correlated with marital satisfaction. Analysis results showed that phubbing significantly and negatively predicted marital satisfaction, and when effective communication skills were included in the analysis, the relationship between these two variables became nonsense. This result shows that communication skills are a full mediator on the relationship between phubbing and marital satisfaction in married individuals.</t>
  </si>
  <si>
    <t>[Kilicarslan, Suat; Parmaksiz, Izzet] Halisdemir Univ, Fac Educ, Dept Guidance &amp; Psychol Counseling Nig ?, Niigde, Turkiye</t>
  </si>
  <si>
    <t>Parmaksiz, I (corresponding author), Halisdemir Univ, Fac Educ, Dept Guidance &amp; Psychol Counseling Nig ?, Niigde, Turkiye.</t>
  </si>
  <si>
    <t>suatkilicarslan@hotmail.com; izparm44@gmail.com</t>
  </si>
  <si>
    <t>; KILICARSLAN, Suat/V-8729-2017</t>
  </si>
  <si>
    <t>Parmaksiz, Izzet/0000-0003-2468-6134; KILICARSLAN, Suat/0000-0002-2907-8480</t>
  </si>
  <si>
    <t>10.1016/j.chb.2023.107863</t>
  </si>
  <si>
    <t>O5NQ9</t>
  </si>
  <si>
    <t>WOS:001044280100001</t>
  </si>
  <si>
    <t>Kim, DH; Cho, SB; Li, CX; Park, I</t>
  </si>
  <si>
    <t>Kim, Dong-Hwan; Cho, Seung-Bum; Li, Chang-Xu; Park, Il-Kyu</t>
  </si>
  <si>
    <t>Low temperatures modification of the p-CuI thin films via a fast trimethylsilyl iodide treatment</t>
  </si>
  <si>
    <t>THIN SOLID FILMS</t>
  </si>
  <si>
    <t>Copper iodide; Doping engineering; Optical transparency; p -type semiconductor</t>
  </si>
  <si>
    <t>EMISSION</t>
  </si>
  <si>
    <t>This paper reports a facile method to modulate the electrical properties of copper iodide (CuI) thin films, which have attracted considerable attention as a promising transparent conducting p-type semiconductor. Trimethylsilyl iodide (TMSI) was used as an agent for the fast iodination treatment of p-CuI, even at a low processing temperature of 60 degrees C. A TMSI treatment of less than 30 &amp; mu;L was effective in improving the surface morphology of CuI thin films. The optimal TMSI treatment with 20 &amp; mu;L enhanced the electrical properties of p-CuI by increasing the hole concentration without degrading the optical transmittance. As the TMSI content increased from 0 to 20 &amp; mu;L, the hole concentration of the CuI thin films increased from 4.06 x 1019 to 8.82 x 1019 cm-3. The TMSI treatment eliminated I-vacancies while forming Cu-vacancies that acted as an acceptor dopant. Therefore, the hole concentration in CuI thin films increased with the TMSI treatment. The performance of p-CuI/n-ZnO diodes, such as on/off ratio, turn-on voltage, and ideality factor, was enhanced by the facile TMSI treatment.</t>
  </si>
  <si>
    <t>[Kim, Dong-Hwan; Cho, Seung-Bum; Li, Chang-Xu; Park, Il-Kyu] Seoul Natl Univ Sci &amp; Technol, Dept Mat Sci &amp; Engn, Seoul 01811, South Korea</t>
  </si>
  <si>
    <t>Seoul National University of Science &amp; Technology</t>
  </si>
  <si>
    <t>Park, I (corresponding author), Seoul Natl Univ Sci &amp; Technol, Dept Mat Sci &amp; Engn, Seoul 01811, South Korea.</t>
  </si>
  <si>
    <t>pik@seoultech.ac.kr</t>
  </si>
  <si>
    <t>Seoultech (Seoul National University of Science amp; Technology)</t>
  </si>
  <si>
    <t>This study was supported by the Research program funded by the Seoultech (Seoul National University of Science &amp; Technology) .</t>
  </si>
  <si>
    <t>0040-6090</t>
  </si>
  <si>
    <t>1879-2731</t>
  </si>
  <si>
    <t>Thin Solid Films</t>
  </si>
  <si>
    <t>10.1016/j.tsf.2023.140029</t>
  </si>
  <si>
    <t>R8ZZ3</t>
  </si>
  <si>
    <t>WOS:001067194700001</t>
  </si>
  <si>
    <t>Kim, D; Kim, H</t>
  </si>
  <si>
    <t>Kim, Donghyuk; Kim, Hyunjung</t>
  </si>
  <si>
    <t>Numerical study on optimization of quantitative treatment conditions for skin cancer photothermal therapy considering multiple blood vessels</t>
  </si>
  <si>
    <t>Apoptosis; Blood vessels; Gold nanoparticles; Photothermal therapy; Thermal damage</t>
  </si>
  <si>
    <t>NANOPARTICLES; HYPERTHERMIA; TEMPERATURE; MODEL; SIMULATION; TISSUE; TUMORS</t>
  </si>
  <si>
    <t>Background: In recent years, lasers have gained considerable attention as a potential treatment option in the medical field. Photothermal therapy, in particular, has been investigated as a technique to remove tumor tissue by leveraging photothermal effects. The method involves raising the temperature of the tumor tissue to destroy it and has primarily been studied for skin cancer treatment.Objective: This study aimed to simulate a skin layer with squamous cell carcinoma by using numerical modeling and investigate the effect of different numbers of blood vessels on the temperature distribution in the medium under conditions such as varied laser intensity and gold nanoparticle volume fraction.Methods: Optical properties of the light absorption enhancer were calculated using the discrete dipole approxi-mation method, and the temperature and velocity distribution were computed using continuity, momentum, and energy equations. Results: Quantitative determination of the apoptotic variable was performed to evaluate the treatment effect for each case, and the treatment condition with the maximum treatment effect was identified. Laser intensity with optimal therapeutic effect was confirmed to be 0.13 W, 0.15 W, 0.18 W, and 0.24 W, depending on the number of vessels, respectively, and the volume fraction of injected GNRs was confirmed to be 10-6 for all vessel numbers.Conclusion: The results of this study can serve as a guide for selecting appropriate treatment conditions when conducting photothermal therapy in the future</t>
  </si>
  <si>
    <t>[Kim, Donghyuk; Kim, Hyunjung] Ajou Univ, Dept Mech Engn, Suwon 16499, Gyeonggi Do, South Korea</t>
  </si>
  <si>
    <t>Ajou University</t>
  </si>
  <si>
    <t>Kim, H (corresponding author), Ajou Univ, Dept Mech Engn, Suwon 16499, Gyeonggi Do, South Korea.</t>
  </si>
  <si>
    <t>hyunkim@ajou.ac.kr</t>
  </si>
  <si>
    <t>Kim, Donghyuk/0000-0002-1976-1331</t>
  </si>
  <si>
    <t>National Research Foundation of Korea (NRF) - Korea government (NSIT) [NRF-2022R1A2C2012470]</t>
  </si>
  <si>
    <t>National Research Foundation of Korea (NRF) - Korea government (NSIT)(National Research Foundation of Korea)</t>
  </si>
  <si>
    <t>Funding This work was supported by the National Research Foundation of Korea (NRF) grant funded by the Korea government (NSIT) (No. NRF-2022R1A2C2012470) .</t>
  </si>
  <si>
    <t>10.1016/j.cmpb.2023.107738</t>
  </si>
  <si>
    <t>P4WG3</t>
  </si>
  <si>
    <t>WOS:001050674900001</t>
  </si>
  <si>
    <t>Kim, E; Umar, A; Ameen, S; Kumar, R; Ibrahim, AA; Alhamami, MAM; Akhtar, MS; Baskoutas, S</t>
  </si>
  <si>
    <t>Kim, Eunbi; Umar, Ahmad; Ameen, Sadia; Kumar, Rajesh; Ibrahim, Ahmed A.; Alhamami, Mohsen A. M.; Akhtar, M. S.; Baskoutas, Sotirios</t>
  </si>
  <si>
    <t>Synthesis and characterizations of ZIF-8/GO and ZIF-8/rGO composites for highly sensitive detection of Cu2+ ions</t>
  </si>
  <si>
    <t>ZIF-8; ZIF-8/GO; ZIF-8/rGO; Cu2+ ions; Electrochemical Sensor</t>
  </si>
  <si>
    <t>EFFICIENT HETEROGENEOUS CATALYST; IMIDAZOLATE FRAMEWORK ZIF-8; GRAPHENE OXIDE; ADSORPTION; PARTICLES</t>
  </si>
  <si>
    <t>In this paper, we describe the synthesis and characterization of ZIF-8/GO and ZIF-8/rGO composites for electrochemical sensing of Cu2+ ions. To prepare the composites, GO or rGO was dispersed in a solution of Zn (NO3)(2)center dot 6H(2)O and 2-methylimidazole in anhydrous methanol. We used several techniques, such as XRD, Raman spectroscopy, and FESEM, to investigate the structural, morphological, and chemical properties of the materials. The composites exhibited peaks corresponding to both ZIF-8 and GO or rGO in the XRD patterns. For the electrochemical analysis of Cu2+ ions, we employed a disposable screen-printed electrode (SPE). The ZIF-8/GO composite-based Cu2+ ion sensor exhibited superior sensitivity of 362.5 mA.mu M-1.cm(-2) and LOD of 9 mu m to Cu2+ ions in a comparison with ZIF-8/rGO (224.28 mA.mu M-1.cm(-2)) and ZIF-8 (102.9 mA.mu M-1.cm(-2)) alone. Our results demonstrate the potential of ZIF-8/GO composites as a promising material for electrochemical sensing applications.</t>
  </si>
  <si>
    <t>[Kim, Eunbi; Ameen, Sadia] Jeonbuk Natl Univ, Dept Bioconvergence Sci, Adv Mat &amp; Devices Lab, Jeongeup Campus, Jeonju 56212, South Korea; [Umar, Ahmad; Ibrahim, Ahmed A.; Alhamami, Mohsen A. M.] Najran Univ, Coll Sci &amp; Arts, Dept Chem, Najran 11001, Saudi Arabia; [Umar, Ahmad; Ibrahim, Ahmed A.; Alhamami, Mohsen A. M.] Najran Univ, Promising Ctr Sensors &amp; Elect Devices PCSED, Najran 11001, Saudi Arabia; [Umar, Ahmad] Ohio State Univ, Dept Mat Sci &amp; Engn, Columbus, OH 43210 USA; [Kumar, Rajesh] JCDAV Coll, PG Dept Chem, Dasuya 144205, Punjab, India; [Akhtar, M. S.] Jeonbuk Natl Univ, Grad Sch Integrated Energy AI, Jeonju 54896, South Korea; [Akhtar, M. S.] Jeonbuk Natl Univ, New &amp; Renewable Energy Mat Dev Ctr NewREC, Jeonbuk 56332, South Korea; [Baskoutas, Sotirios] Univ Patras, Dept Mat Sci, Patras 26500, Greece</t>
  </si>
  <si>
    <t>Najran University; Najran University; University System of Ohio; Ohio State University; Jeonbuk National University; University of Patras</t>
  </si>
  <si>
    <t>Ameen, S (corresponding author), Jeonbuk Natl Univ, Dept Bioconvergence Sci, Adv Mat &amp; Devices Lab, Jeongeup Campus, Jeonju 56212, South Korea.</t>
  </si>
  <si>
    <t>sadiaameen@jbnu.ac.kr</t>
  </si>
  <si>
    <t>Baskoutas, Sotirios/0000-0003-2782-3501</t>
  </si>
  <si>
    <t>Deanship of Scientific Research at Najran University, Najran, Kingdom of Saudi Arabia [NU/RG/SRC/12/49]; Basic Science Research Program through the National Research Foundation of Korea (NRF)-Ministry of Education [NRF-2022R1A6A3A01086334]; National Research Foundation of Korea (NRF)-Korea government (MSIT) [NRF-2022R1A2C1091936]</t>
  </si>
  <si>
    <t>Deanship of Scientific Research at Najran University, Najran, Kingdom of Saudi Arabia; Basic Science Research Program through the National Research Foundation of Korea (NRF)-Ministry of Education(National Research Foundation of KoreaMinistry of Education (MOE), Republic of KoreaNational Research Council for Economics, Humanities &amp; Social Sciences, Republic of Korea); National Research Foundation of Korea (NRF)-Korea government (MSIT)(National Research Foundation of KoreaMinistry of Science, ICT &amp; Future Planning, Republic of KoreaMinistry of Science &amp; ICT (MSIT), Republic of Korea)</t>
  </si>
  <si>
    <t>The authors are thankful to the Deanship of Scientific Research at Najran University, Najran, Kingdom of Saudi Arabia for funding under the Research Group funding program grant no. NU/RG/SRC/12/49. This research was supported by Basic Science Research Program through the National Research Foundation of Korea (NRF) funded by the Min-istry of Education (NRF-2022R1A6A3A01086334) . This work was sup-ported by the National Research Foundation of Korea (NRF) grant funded by the Korea government (MSIT) (NRF-2022R1A2C1091936) .</t>
  </si>
  <si>
    <t>10.1016/j.surfin.2023.103163</t>
  </si>
  <si>
    <t>O6OL5</t>
  </si>
  <si>
    <t>WOS:001044977500001</t>
  </si>
  <si>
    <t>Kim, G; Li, YG; Seo, Y; Baek, C; Choi, JH; Park, H; An, JY; Lee, MYR; Noh, S; Min, JH; Lee, T</t>
  </si>
  <si>
    <t>Kim, Gahyeon; Li, Yun Guang; Seo, Yoseph; Baek, Changyoon; Choi, Jin-Ha; Park, Hyunjun; An, Jeongyun; Lee, Myoungro; Noh, Seungwoo; Min, Junhong; Lee, Taek</t>
  </si>
  <si>
    <t>Fabrication of graphene oxide-based pretreatment filter and Electrochemical-CRISPR biosensor for the field-ready cyanobacteria monitoring system</t>
  </si>
  <si>
    <t>Cyanobacteria; Biosensor; Aquatic ecosystem monitoring; PCR-Free detection; Hand-held filter</t>
  </si>
  <si>
    <t>NUCLEIC-ACID DETECTION; MICROCYSTIN-LR</t>
  </si>
  <si>
    <t>Microcystis aeruginosa (M. aeruginosa) cause the eutrophication of lakes and rivers. To effectively control the overgrowth of M. aeruginosa, a suitable measurement method should be required in the aquatic fields. To address this, we developed a field-ready cyanobacterial pretreatment device and an electrochemical clustered regularly interspaced short palindromic repeats (EC-CRISPR) biosensor. The cyanobacterial pretreatment device consists of a syringe, glass bead, and graphene oxide (GO) bead. Then, the M. aeruginosa dissolved in the freshwater sample was added to fabricated filter. After filtration, the purified gene was loaded onto a CRISPR-based electrochemical biosensor chip to detect M. aeruginosa gene fragments. The biosensor was composed of CRISPR/Cpf1 protein conjugated with MXene on an Au microgap electrode (AuMGE) integrated into a printed circuit board (PCB). This AuMGE/PCB system maximizes the signal-to-noise ratio, which controls the working and counter electrode areas requiring only 3 &amp; mu;L samples to obtain high reliability. Using the extracted M. aeruginosa gene with a pretreatment filter, the CRISPR biosensor showed a limit of detection of 0.089 pg/&amp; mu;l in fresh water. Moreover, selectivity test and matrix condition test carried out using the EC-CRISPR biosensor. These handheld pretreatment kit and biosensors can enable field-ready detection of CyanoHABs.</t>
  </si>
  <si>
    <t>[Kim, Gahyeon; Seo, Yoseph; Park, Hyunjun; An, Jeongyun; Lee, Myoungro; Noh, Seungwoo; Lee, Taek] Kwangwoon Univ, Dept Chem Engn, 20 Kwangwoon Ro, Seoul 01897, South Korea; [Li, Yun Guang; Baek, Changyoon; Min, Junhong] Chung Ang Univ, Sch Integrat Engn, Seoul 06974, South Korea; [Choi, Jin-Ha] Jeonbuk Natl Univ, Clean Energy Res Ctr, Sch Chem Engn, Jeonju 54896, South Korea</t>
  </si>
  <si>
    <t>Kwangwoon University; Chung Ang University; Jeonbuk National University</t>
  </si>
  <si>
    <t>Lee, T (corresponding author), Kwangwoon Univ, Dept Chem Engn, 20 Kwangwoon Ro, Seoul 01897, South Korea.;Min, JH (corresponding author), Chung Ang Univ, Sch Integrat Engn, Seoul 06974, South Korea.</t>
  </si>
  <si>
    <t>junmin@cau.ac.kr; tlee@kw.ac.kr</t>
  </si>
  <si>
    <t>Min, Junhong/N-9571-2013</t>
  </si>
  <si>
    <t>Min, Junhong/0000-0001-9410-8204; Park, Hyunjun/0000-0002-8176-0460; Choi, Jin-Ha/0000-0002-1632-9586</t>
  </si>
  <si>
    <t>Korea Environment Industry amp; Technology Institute (KEITI) - Korea Ministry of Environment (MOE) [20009121]; Industrial Core Technology Development Program [2021R1C1C1005583]; Ministry of Trade, Industry and Energy (MOTIE, Korea); National Research Foundation of Korea (NRF) - Korea government (MSIT) [NRF-2022R1A4A2000776]; [2020003030001]</t>
  </si>
  <si>
    <t>Korea Environment Industry amp; Technology Institute (KEITI) - Korea Ministry of Environment (MOE)(Ministry of Environment (ME), Republic of Korea); Industrial Core Technology Development Program; Ministry of Trade, Industry and Energy (MOTIE, Korea)(Ministry of Trade, Industry &amp; Energy (MOTIE), Republic of Korea); National Research Foundation of Korea (NRF) - Korea government (MSIT)(National Research Foundation of KoreaMinistry of Science, ICT &amp; Future Planning, Republic of KoreaMinistry of Science &amp; ICT (MSIT), Republic of Korea);</t>
  </si>
  <si>
    <t>This research was supported by Korea Environment Industry &amp; Technology Institute (KEITI) through the program for the management of aquatic ecosystem health, funded by Korea Ministry of Environment (MOE) . (2020003030001) and by the Industrial Core Technology Development Program (20009121, Development of early diagnostic system of peritoneal fibrosis by multiplex detection of exosomal nucleic acids and protein markers) funded by the Ministry of Trade, Industry and Energy (MOTIE, Korea) and by the National Research Foundation of Korea (NRF) grant funded by the Korea government (MSIT) (No. 2021R1C1C1005583) and by the National Research Foundation of Korea (NRF) grant funded by the Korea government (MSIT) (NRF-2022R1A4A2000776) .</t>
  </si>
  <si>
    <t>10.1016/j.bios.2023.115474</t>
  </si>
  <si>
    <t>Q6WE3</t>
  </si>
  <si>
    <t>WOS:001058900000001</t>
  </si>
  <si>
    <t>Kim, SH; Sung, JH; Yoo, SH; Kim, S; Lee, K; Oh, EG; Lee, J</t>
  </si>
  <si>
    <t>Kim, Soo Hyun; Sung, Ji Hyun; Yoo, Sung-Hee; Kim, Sanghee; Lee, Kyunghwa; Oh, Eui Geum; Lee, Jiyeon</t>
  </si>
  <si>
    <t>Effects of digital self-management symptom interventions on symptom outcomes in adult cancer patients: A systematic review and meta-analysis</t>
  </si>
  <si>
    <t>EUROPEAN JOURNAL OF ONCOLOGY NURSING</t>
  </si>
  <si>
    <t>Anxiety; Depression; Digital technology; Fatigue; Meta-analysis; Pain; Self-management; Systematic review</t>
  </si>
  <si>
    <t>TELEHEALTH INTERVENTION; CARE INTERVENTION; BREAST-CANCER; CHEMOTHERAPY; DISTRESS; SUPPORT; TECHNOLOGIES; EDUCATION; SURVIVORS; EHEALTH</t>
  </si>
  <si>
    <t>Purpose: Digital self-management (SM) interventions targeting symptom relief have demonstrated positive as well as null outcomes, whereas no study has synthesized the effect of the interventions. In this study, we aimed to evaluate the effectiveness of digital SM symptom interventions on symptom outcomes in adult cancer patients.Methods: A systematic review and meta-analysis based on the previous scoping review was conducted. Six databases (PubMed, CINAHL, Embase, the Cochrane Library, RISS [Korean], and KoreaMed [Korean]) were searched. Population was adult cancer patients. Intervention was SM interventions applying digital health tool targeting symptom management. Comparison was usual care, waitlist controls or active controls. The primary outcome was symptom burden, and the secondary outcomes were individual symptoms.Results: Our meta-analysis of 32 randomized controlled trials (RCTs) including 7888 patients demonstrated that digital SM symptom interventions had a significant effect on reducing symptom burden (effect size [ES] = -0.230) and relieving pain (ES =-0.292), fatigue (ES =-0.417), anxiety (ES =-0.320), and depression (ES = -0.261).Conclusions: Digital SM interventions can improve symptom outcomes in adult cancer patients. Oncology nurses should be aware that digital SM interventions have demonstrated promising outcomes in cancer patient care.</t>
  </si>
  <si>
    <t>[Kim, Soo Hyun] Inha Univ, Dept Nursing, Incheon, South Korea; [Sung, Ji Hyun] Kosin Univ, Coll Nursing, Busan, South Korea; [Yoo, Sung-Hee] Chonnam Natl Univ, Coll Nursing, Gwangju, South Korea; [Kim, Sanghee; Oh, Eui Geum; Lee, Jiyeon] Yonsei Univ, Joanna Briggs Inst, Coll Nursing, Yonsei Evidence Based Nursing Ctr Korea, 50Yonsei Ro, Seoul 03722, South Korea; [Kim, Sanghee; Oh, Eui Geum; Lee, Jiyeon] Yonsei Univ, Joanna Briggs Inst, Mo im Kim Nursing Res Inst, Yonsei Evidence Based Nursing Ctr Korea, 50Yonsei Ro, Seoul 03722, South Korea; [Lee, Kyunghwa] Konyang Univ, Coll Nursing, Daejeon 35365, South Korea</t>
  </si>
  <si>
    <t>Inha University; Chonnam National University; Yonsei University; Yonsei University Health System; Yonsei University; Konyang University</t>
  </si>
  <si>
    <t>Lee, J (corresponding author), Yonsei Univ, Joanna Briggs Inst, Coll Nursing, Yonsei Evidence Based Nursing Ctr Korea, 50Yonsei Ro, Seoul 03722, South Korea.;Lee, J (corresponding author), Yonsei Univ, Joanna Briggs Inst, Mo im Kim Nursing Res Inst, Yonsei Evidence Based Nursing Ctr Korea, 50Yonsei Ro, Seoul 03722, South Korea.</t>
  </si>
  <si>
    <t>Jiyeonest@yuhs.ac</t>
  </si>
  <si>
    <t>Lee, Jiyeon/0000-0001-6413-329X</t>
  </si>
  <si>
    <t>Ministry of Education [2021-22-0159]</t>
  </si>
  <si>
    <t>Ministry of Education</t>
  </si>
  <si>
    <t>This research was supported by Yonsei 'Eokkaedongmu Project (oi71H oAE ?) ' through 4th BK21 Graduate School Innovation Support Project funded by the Ministry of Education (2021-22-0159) . We thank librarian Nawon Kim, whom we consulted regarding our search strategies.</t>
  </si>
  <si>
    <t>1462-3889</t>
  </si>
  <si>
    <t>1532-2122</t>
  </si>
  <si>
    <t>EUR J ONCOL NURS</t>
  </si>
  <si>
    <t>Eur. J. Oncol. Nurs.</t>
  </si>
  <si>
    <t>10.1016/j.ejon.2023.102404</t>
  </si>
  <si>
    <t>Oncology; Nursing</t>
  </si>
  <si>
    <t>Q0SJ4</t>
  </si>
  <si>
    <t>WOS:001054697600001</t>
  </si>
  <si>
    <t>Kim, Y; Evans, JP; Sharma, A</t>
  </si>
  <si>
    <t>Kim, Youngil; Evans, Jason P.; Sharma, Ashish</t>
  </si>
  <si>
    <t>A software for correcting systematic biases in RCM input boundary conditions</t>
  </si>
  <si>
    <t>ENVIRONMENTAL MODELLING &amp; SOFTWARE</t>
  </si>
  <si>
    <t>Bias correction alternative; Sub-daily; Regional climate model; Lateral boundary conditions; Python package</t>
  </si>
  <si>
    <t>RAINFALL; DEPENDENCE</t>
  </si>
  <si>
    <t>Bias-correction approaches have been widely applied to Global Climate Model (GCM) or Regional Climate Model (RCM) outputs in order to overcome the limitations of climate models in resolving small-scale climate features. Although various software toolkits have been developed to simplify the process for correcting climate model output directly, they were specifically designed to correct surface fields such as precipitation and temperature, often overlooking the physical mechanisms between variables. To address these limitations, this study developed open-source Python software that corrects RCM input boundary variables using reanalysis and raw GCM datasets as inputs. The bias correction technique used is based on a novel approach, Sub-Daily Multivariate Bias Correction (SDMBC), which corrects the inter-variable relationships and distribution of atmospheric variables at a sub-daily time scale. This paper describes the software package, which simplifies the implementation of the bias correction process, and provides a simple example of its application.</t>
  </si>
  <si>
    <t>[Kim, Youngil; Sharma, Ashish] Univ New South Wales, Sch Civil &amp; Environm Engn, Sydney, NSW, Australia; [Evans, Jason P.] Univ New South Wales, Climate Change Res Ctr, Sydney, NSW, Australia; [Evans, Jason P.] Univ New South Wales, ARC Ctr Excellence Climate Extremes, Sydney, NSW, Australia; [Sharma, Ashish] Univ New South Wales, Sch Civil &amp; Environm Engn, Sydney, NSW 2052, Australia</t>
  </si>
  <si>
    <t>University of New South Wales Sydney; University of New South Wales Sydney; University of New South Wales Sydney; University of New South Wales Sydney</t>
  </si>
  <si>
    <t>Sharma, A (corresponding author), Univ New South Wales, Sch Civil &amp; Environm Engn, Sydney, NSW 2052, Australia.</t>
  </si>
  <si>
    <t>a.sharma@unsw.edu.au</t>
  </si>
  <si>
    <t>Sharma, Ashish/0000-0002-6758-0519</t>
  </si>
  <si>
    <t>UNSW Scientia PhD Scholarship Scheme; ARC Centre of Excellence for Climate Extremes [CE170100023]; Australian Government</t>
  </si>
  <si>
    <t>UNSW Scientia PhD Scholarship Scheme; ARC Centre of Excellence for Climate Extremes; Australian Government(Australian Government)</t>
  </si>
  <si>
    <t>Youngil Kim is supported by the UNSW Scientia PhD Scholarship Scheme. J.P.E. was supported via the ARC Centre of Excellence for Climate Extremes (CE170100023) and the Australian Government under the National Environmental Science Program. This research was undertaken with the assistance of resources from the National Computational Infrastructure (NCI Australia), an NCRIS enabled capability supported by the Australian Government.</t>
  </si>
  <si>
    <t>1364-8152</t>
  </si>
  <si>
    <t>1873-6726</t>
  </si>
  <si>
    <t>ENVIRON MODELL SOFTW</t>
  </si>
  <si>
    <t>Environ. Modell. Softw.</t>
  </si>
  <si>
    <t>10.1016/j.envsoft.2023.105799</t>
  </si>
  <si>
    <t>Computer Science, Interdisciplinary Applications; Engineering, Environmental; Environmental Sciences; Water Resources</t>
  </si>
  <si>
    <t>Computer Science; Engineering; Environmental Sciences &amp; Ecology; Water Resources</t>
  </si>
  <si>
    <t>R0YP1</t>
  </si>
  <si>
    <t>WOS:001061687100001</t>
  </si>
  <si>
    <t>Kitsugi, K; Noritake, H; Matsumoto, M; Hanaoka, T; Umemura, M; Yamashita, M; Takatori, S; Ito, J; Ohta, K; Chida, T; Suda, T; Kawata, K</t>
  </si>
  <si>
    <t>Kitsugi, Kensuke; Noritake, Hidenao; Matsumoto, Moe; Hanaoka, Tomohiko; Umemura, Masahiro; Yamashita, Maho; Takatori, Shingo; Ito, Jun; Ohta, Kazuyoshi; Chida, Takeshi; Suda, Takafumi; Kawata, Kazuhito</t>
  </si>
  <si>
    <t>Simvastatin inhibits hepatic stellate cells activation by regulating the ferroptosis signaling pathway</t>
  </si>
  <si>
    <t>3-Hydroxy-3-methylglutaryl-coenzyme A; reductase inhibitors; Glutathione peroxidase 4; Mevalonic acid; Liver fibrosis; Nonalcoholic steatohepatitis</t>
  </si>
  <si>
    <t>LIVER FIBROSIS; STATINS; DEATH; PROLIFERATION; ROSUVASTATIN; CHOLESTEROL; MECHANISMS; AUTOPHAGY; ERASTIN; TARGET</t>
  </si>
  <si>
    <t>Background &amp; aims: Ferroptosis is a form of regulated cell death and its promotion in hepatic stellate cells (HSCs) attenuates liver fibrosis. Statins, which are 3-hydroxy-3-methylglutaryl-coenzyme A (HMG-CoA) reductase inhibitors, may induce ferroptosis via the downregulation of glutathione peroxidase 4 (GPX4) by inhibiting the mevalonate pathway. However, little evidence is available regarding the association between statins and ferroptosis. Therefore, we investigated the association between statins and ferroptosis in HSCs.Methods: Two human HSC cell lines, LX-2 and TWNT-1, were treated with simvastatin, an HMG-CoA reductase inhibitor. Mevalonic acid (MVA), farnesyl pyrophosphate (FPP), and geranylgeranyl pyrophosphate (GGPP) were used to determine the involvement of the mevalonate pathway. We performed a detailed analysis of the ferroptosis signaling pathway. We also investigated human liver tissue samples from patients with nonalcoholic steatohepatitis to clarify the effect of statins on GPX4 expression.Results: Simvastatin reduced cell mortality and inhibited HSCs activation, accompanied by iron accumulation, oxidative stress, lipid peroxidation, and reduced GPX4 protein expression. These results indicate that simvastatin inhibits HSCs activation by promoting ferroptosis. Furthermore, treatment with MVA, FPP, or GGPP attenuated simvastatin-induced ferroptosis. These results suggest that simvastatin promotes ferroptosis in HSCs by inhibiting the mevalonate pathway. In human liver tissue samples, statins downregulated the expression of GPX4 in HSCs without affecting hepatocytes.Conclusions: Simvastatin inhibits the activation of HSCs by regulating the ferroptosis signaling pathway.</t>
  </si>
  <si>
    <t>[Kitsugi, Kensuke; Noritake, Hidenao; Matsumoto, Moe; Hanaoka, Tomohiko; Umemura, Masahiro; Yamashita, Maho; Takatori, Shingo; Ito, Jun; Ohta, Kazuyoshi; Chida, Takeshi; Kawata, Kazuhito] Hamamatsu Univ, Dept Internal Med, Div Hepatol, Sch Med, Hamamatsu, Shizuoka, Japan; [Suda, Takafumi] Hamamatsu Univ, Dept Internal Med, Div Resp Med, Sch Med, Hamamatsu, Shizuoka, Japan; [Kitsugi, Kensuke] 1-20-1 Handayama,Higashi Ku, Hamamatsu, Shizuoka 4313192, Japan</t>
  </si>
  <si>
    <t>Hamamatsu University School of Medicine; Hamamatsu University School of Medicine</t>
  </si>
  <si>
    <t>Kitsugi, K (corresponding author), 1-20-1 Handayama,Higashi Ku, Hamamatsu, Shizuoka 4313192, Japan.</t>
  </si>
  <si>
    <t>41233352@hama-med.ac.jp</t>
  </si>
  <si>
    <t>10.1016/j.bbadis.2023.166750</t>
  </si>
  <si>
    <t>Q5II8</t>
  </si>
  <si>
    <t>WOS:001057852100001</t>
  </si>
  <si>
    <t>Koo, D; Sung, JB; Suh, H; Bae, S; So, HY</t>
  </si>
  <si>
    <t>Koo, Doheon; Sung, Jaebum; Suh, Heongwon; Bae, Sungchul; So, Hongyun</t>
  </si>
  <si>
    <t>Comprehensive analysis of CNT/NS/GO composites: Dispersion effect of graphene oxide for environmental sensor application</t>
  </si>
  <si>
    <t>Graphene oxide; Carbon nanotube; Nano -silica; Dispersion effect</t>
  </si>
  <si>
    <t>HUMIDITY SENSOR; ELECTRICAL-PROPERTIES; SENSING PROPERTIES; PRESSURE SENSOR; LARGE-AREA; WATER; FABRICATION; MEMBRANES; REDUCTION; HYBRID</t>
  </si>
  <si>
    <t>This study presents a comprehensive analysis of conductive and hygroscopic nanocomposites using graphene oxide (GO), carbon nanotubes (CNT), and nano-silica. Nanocomposite suspensions for vacuum filtration were prepared by dispersion via ultrasonication in water. The dispersed phase of each nanomaterial was evaluated through ultraviolet absorbance, extinction coefficient, and zeta potential. The dispersion was performed at a ratio of CNT to GO well over 0.4 without any surfactants or additives because of the rich functional groups on the GO surface. In addition, the morphology of the fabricated nanocomposite generated after vacuum filtration, verified through scanning electron microscopy and Raman spectroscopy, showed a lamellar structure of GO and was easily separated as a membrane at composite-to-GO ratios of over 0.4. The fabricated membrane exhibited an excellent moisture collection ability and good responsivity as an environmental (humidity) sensor. This study supports the use of GO for the formation of well-dispersed nanocomposites for various applications.</t>
  </si>
  <si>
    <t>[Koo, Doheon; Sung, Jaebum; So, Hongyun] Hanyang Univ, Dept Mech Engn, Seoul 04763, South Korea; [Suh, Heongwon; Bae, Sungchul] Hanyang Univ, Dept Architectural Engn, Seoul 04763, South Korea; [So, Hongyun] Hanyang Univ, Inst Nano Sci &amp; Technol, Seoul 04763, South Korea</t>
  </si>
  <si>
    <t>Hanyang University; Hanyang University; Hanyang University</t>
  </si>
  <si>
    <t>So, HY (corresponding author), Hanyang Univ, Dept Mech Engn, Seoul 04763, South Korea.</t>
  </si>
  <si>
    <t>hyso@hanyang.ac.kr</t>
  </si>
  <si>
    <t>National Research Foundation of Korea (NRF) - Korean government (MSIT); [RS -2023- 00207763]</t>
  </si>
  <si>
    <t>National Research Foundation of Korea (NRF) - Korean government (MSIT)(National Research Foundation of KoreaMinistry of Science &amp; ICT (MSIT), Republic of Korea);</t>
  </si>
  <si>
    <t>This work was supported by the National Research Foundation of Korea (NRF) grant funded by the Korean government (MSIT) (RS -2023- 00207763) .</t>
  </si>
  <si>
    <t>10.1016/j.compositesa.2023.107639</t>
  </si>
  <si>
    <t>Q0FN7</t>
  </si>
  <si>
    <t>WOS:001054353500001</t>
  </si>
  <si>
    <t>Kou, FC; Wang, X; Zou, Y; Mo, JH</t>
  </si>
  <si>
    <t>Kou, Fangcheng; Wang, Xin; Zou, Yu; Mo, Jinhan</t>
  </si>
  <si>
    <t>Heat transfer performance of the L-shaped flat gravity heat pipe used for zero-carbon heating houses</t>
  </si>
  <si>
    <t>Experimental study; Heat transfer model; Equivalent thermal conductivity; Thermal diode; Thermal start-up time; Solar energy</t>
  </si>
  <si>
    <t>THERMAL PERFORMANCE; BUILDING ENVELOPE; OPTIMIZATION; DESIGN; LENGTH</t>
  </si>
  <si>
    <t>The L-shaped flat gravity heat pipe (LFGHP) is applied to the building envelope to effectively improve solar heat gain and achieve zero-carbon heating due to its ultrahigh equivalent thermal conductivity (ke) and thermal diode effect. In this paper, the forward and reverse heat transfer models of LFGHP are developed and experimentally verified. An experimental platform is built to experimentally study the thermal start-up time and the key factors on forward heat transfer, including the working fluid and filling ratio, the bending angle, the inclination angle, the length ratio of the condenser to the evaporator, the cooling temperature, and the heat flux. The ke of an LFGHP in practical use during a whole day is obtained. The results show that: (1) The heat transfer model of LFGHP can be regarded as three series thermal resistances in forward heat transfer and three parallel thermal resistances in reverse heat transfer, and the thermal diode effect is experimentally verified, with a rectification ratio over 170. (2) The acetone heat pipe with a volume filling ratio of 10% is of the highest ke and is the optimum combination of working fluid and filling ratio. (3) The ke in forward heat transfer increases with the decrease of bending angle and inclination angle, and increases with the increase of heat flux, cooling temperature, and length ratio of the condenser to the evaporator. (4) The thermal start-up time shortens with the increase of heat flux and inclination angle and can be neglected in applications. This study is helpful for the selection and design of the LFGHP used in solar houses and has guiding signifi-cance for the improvement and optimization of the practical applications of zero-carbon heating houses.</t>
  </si>
  <si>
    <t>[Kou, Fangcheng; Wang, Xin; Mo, Jinhan] Tsinghua Univ, Dept Bldg Sci, Beijing 100084, Peoples R China; [Kou, Fangcheng; Zou, Yu] China Acad Bldg Res, Inst Bldg Environm &amp; Energy, Beijing 100013, Peoples R China; [Wang, Xin] Beijing Key Lab Indoor Air Qual Evaluat &amp; Control, Beijing 100084, Peoples R China; [Wang, Xin] Tsinghua Univ, Minist Educ, Key Lab Eco Planning &amp; Green Bldg, Beijing 100084, Peoples R China; [Mo, Jinhan] Shenzhen Univ, Coll Civil &amp; Transportat Engn, Shenzhen 518060, Peoples R China</t>
  </si>
  <si>
    <t>Tsinghua University; Tsinghua University; Shenzhen University</t>
  </si>
  <si>
    <t>Wang, X (corresponding author), Tsinghua Univ, Dept Bldg Sci, Beijing 100084, Peoples R China.</t>
  </si>
  <si>
    <t>wangxinlj@tsinghua.edu.cn</t>
  </si>
  <si>
    <t>Wang, Xin/D-1467-2012</t>
  </si>
  <si>
    <t>Wang, Xin/0000-0002-8926-3944</t>
  </si>
  <si>
    <t>National Natural Science Foundation of China [52278113]</t>
  </si>
  <si>
    <t>This work was supported by the National Natural Science Foundation of China (No. 52278113) .</t>
  </si>
  <si>
    <t>10.1016/j.jobe.2023.107389</t>
  </si>
  <si>
    <t>P2JW7</t>
  </si>
  <si>
    <t>WOS:001048964100001</t>
  </si>
  <si>
    <t>Kraft, P; Bruthansova, J; Strossova, Z; Luptakova, M; Kraft, J</t>
  </si>
  <si>
    <t>Kraft, Petr; Bruthansova, Jana; Strossova, Zuzana; Luptakova, Monika; Kraft, Jaroslav</t>
  </si>
  <si>
    <t>Regional overprint of the GOBE: Dendroid graptolites reveal palaeoecological bias</t>
  </si>
  <si>
    <t>Benthic graptolites; Dendroidea; Ordovician; Barrandian area; Palaeoecology</t>
  </si>
  <si>
    <t>ORDOVICIAN BIODIVERSIFICATION; MIDDLE ORDOVICIAN; PRAGUE BASIN</t>
  </si>
  <si>
    <t>Dendroids have palaeoecological potential but are underrated in general. The present study is focused on the interval from the Floian to the earliest Sandbian (Klabava, S ˇ&amp; PRIME;arka and Dobrotiv &amp; PRIME;a formations) in the Ordovician of the Prague Basin (Czech Republic). It is based especially on the new datasets of all dendroid graptolites from the S ˇ&amp; PRIME;arka and Dobrotiv &amp; PRIME;a formations at our disposal combined with the data of the overall biodiversity in the studied interval. The analysis of diversity illustrates that there is a remarkable contrast in the studied period: dendroids declined when other groups flourished and the diversity in the Prague Basin reached the first of the two Ordovician maxima coeval with the GOBE. The patterns of those shifts seem to be primarily influenced by local environmental changes, i.e. ecologically controlled in the Prague Basin. The decline of dendroid graptolites was apparently caused by the disappearance of habitats, represented by proper substrate in the oxygenated environment, due to a gradual but continuing sea level rise. Our case study resulted in the distribution model providing a general example of local factors masking those global and exemplifying a significance of differentiation between global and local causes of the GOBE.</t>
  </si>
  <si>
    <t>[Kraft, Petr; Strossova, Zuzana; Luptakova, Monika] Charles Univ Prague, Inst Geol &amp; Palaeontol, Fac Sci, Albertov 6, Prague 2, Czech Republic; [Bruthansova, Jana] Natl Museum, Dept Mycol, Cirkusova 1740, Prague 9, Czech Republic; [Kraft, Jaroslav] Museum West Bohemia Pilsen, Kopeckeho Sady 2, Plzen 30100, Czech Republic</t>
  </si>
  <si>
    <t>Charles University Prague; National Museum</t>
  </si>
  <si>
    <t>Kraft, P (corresponding author), Charles Univ Prague, Inst Geol &amp; Palaeontol, Fac Sci, Albertov 6, Prague 2, Czech Republic.</t>
  </si>
  <si>
    <t>kraft@natur.cuni.cz; jana.bruthansova@nm.cz; Zuzana.Strossova@seznam.cz; monika.luptakova@natur.cuni.cz</t>
  </si>
  <si>
    <t>Czech Science Foundation [DKRVO 20192023/2.IV. e]; Ministry of Culture of the Czech Republic [00023272, GAUK 391522]; institutional project [UUP 2012/5]; West Bohemian Museum in Plzen [UUP 2015/1]; [19-06856S]</t>
  </si>
  <si>
    <t>Czech Science Foundation(Grant Agency of the Czech Republic); Ministry of Culture of the Czech Republic; institutional project; West Bohemian Museum in Plzen;</t>
  </si>
  <si>
    <t>We greatly appreciate the very valuable reviews, that significantly improved our text and figures, by Lucy Muir (National Museum of Wales) and an anonymous reviewer. We thank private collectors (in alphabetical order) Stepan Cervenka, Martin David, Miroslav Pavlovic, Jan Persin and Ondrej Zicha who provided specimens from their col-lections for study and donated them to public collections. We are grateful to our colleagues who helped us during our study of the material housed in their institutions, especially Petr Budil (Czech Geological Survey, Prague) and Jessica Cundiff (Museum of Comparative Zoology, Harvard University, Cambridge, Massachusetts) . Michal Mergl (University of West Bohemia, Plzen?) kindly and beautifully drew Fig. 5B. We are also grateful to Valeria Vaskaninova for her helpful proof reading. This paper was financially supported by a grant from the Czech Science Foundation 19-06856S (to P.K.) . Participation ofJ.B. was also supported by Ministry of Culture of the Czech Republic (DKRVO 2019-2023/2.IV. e, National Museum, 00023272) . M.L. benefited from the institutional project GAUK 391522. Part of the material was collected in the last decade with the support of the West Bohemian Museum in Plzen &amp; nbsp;through the internal projects nos. UUP 2012/5 and UUP 2015/1 (to P.K.) . It is a contribution to the institutional project Cooperatio GEOL (to P.K.) and to the IGCP project 735 (Rocks and the Rise of Ordovician Life: Filling Knowledge Gaps in the Early Palaeozoic Biodiversification) .</t>
  </si>
  <si>
    <t>10.1016/j.palaeo.2023.111717</t>
  </si>
  <si>
    <t>Q1JN8</t>
  </si>
  <si>
    <t>WOS:001055150200001</t>
  </si>
  <si>
    <t>Krishnan, S; Koning, V; de Groot, MT; de Groot, A; Mendoza, PG; Junginger, M; Kramer, GJ</t>
  </si>
  <si>
    <t>Krishnan, Subramani; Koning, Vinzenz; de Groot, Matheus Theodorus; de Groot, Arend; Mendoza, Paola Granados; Junginger, Martin; Kramer, Gert Jan</t>
  </si>
  <si>
    <t>Present and future cost of alkaline and PEM electrolyser stacks</t>
  </si>
  <si>
    <t>INTERNATIONAL JOURNAL OF HYDROGEN ENERGY</t>
  </si>
  <si>
    <t>Alkaline; PEM; Electrolyser stacks; Cost assessment; Technological learning</t>
  </si>
  <si>
    <t>WATER ELECTROLYSIS; HYDROGEN; PHOTOVOLTAICS; POWER</t>
  </si>
  <si>
    <t>We use complementary bottom-up and top-down approaches to assess the current cost of AE and PEM stacks and how the costs are expected to come down by 2030. The total AE and PEM stack cost reduce from a range of 242-388 euro/kW and 384-1071 euro/kW in 2020 to 52-79 euro/kW and 63-234 euro/kW in 2030 respectively. The main drivers of these cost reductions are an increased current density and a reduction and/or replacement of expensive materials with cheaper alternatives. To a lesser extent, manufacturing and labor costs reduction is expected due to mass manufacturing at a GW scale. The total cost decrease is less prominent for AE than PEM due to AE's maturity. The uncertainty range for PEM stacks is due to the low TRL associated with the advanced design PEM stack.&amp; COPY; 2023 The Authors. Published by Elsevier Ltd on behalf of Hydrogen Energy Publications LLC. This is an open access article under the CC BY license (http://creativecommons.org/ licenses/by/4.0/).</t>
  </si>
  <si>
    <t>[Krishnan, Subramani; Koning, Vinzenz; Junginger, Martin; Kramer, Gert Jan] Univ Utrecht, Fac Geosci, Copernicus Inst Sustainable Dev, Princetonlaan 8a, NL-3584 CB Utrecht, Netherlands; [Koning, Vinzenz] Univ Utrecht, Ctr Complex Syst Studies, KLO Studies, Leuvenlaan 4, NL-3584 CE Utrecht, Netherlands; [de Groot, Matheus Theodorus] Eindhoven Univ Technol, POB 513, NL-5600 MB Eindhoven, Netherlands; [de Groot, Matheus Theodorus; Mendoza, Paola Granados] HyCC, Van Asch van Wijckstr 53, NL-3811 LP Amersfoort, Netherlands; [de Groot, Arend] TNO, Sustainable Proc Technol, Petten, Netherlands</t>
  </si>
  <si>
    <t>Utrecht University; Utrecht University; Eindhoven University of Technology; Netherlands Organization Applied Science Research</t>
  </si>
  <si>
    <t>Krishnan, S (corresponding author), Univ Utrecht, Fac Geosci, Copernicus Inst Sustainable Dev, Princetonlaan 8a, NL-3584 CB Utrecht, Netherlands.</t>
  </si>
  <si>
    <t>s.krishnan@uu.nl</t>
  </si>
  <si>
    <t>Institute of Sustainable Process Technology</t>
  </si>
  <si>
    <t>Subramani Krishnan would like to gratefully acknowledge the financial support of the Institute of Sustainable Process Technology [12] as part of the ISPT 1 GW Electrolysis project. The GW Electrolysis design project is an initiative by the Institute for Sustainable Process Technology, in which Nobian (HyCC) , Dow, Shell, OCI Nitrogen, Yara, Frames, Orsted, Imperial College London, Utrecht University and ECN part of TNO are partners. https://ispt.eu/projects/hydrohub-gigawatt/</t>
  </si>
  <si>
    <t>0360-3199</t>
  </si>
  <si>
    <t>1879-3487</t>
  </si>
  <si>
    <t>INT J HYDROGEN ENERG</t>
  </si>
  <si>
    <t>Int. J. Hydrog. Energy</t>
  </si>
  <si>
    <t>10.1016/j.ijhydene.2023.05.0310360-3199</t>
  </si>
  <si>
    <t>Chemistry, Physical; Electrochemistry; Energy &amp; Fuels</t>
  </si>
  <si>
    <t>Chemistry; Electrochemistry; Energy &amp; Fuels</t>
  </si>
  <si>
    <t>S6FT3</t>
  </si>
  <si>
    <t>WOS:001072107500001</t>
  </si>
  <si>
    <t>Kromidha, E</t>
  </si>
  <si>
    <t>Kromidha, Endrit</t>
  </si>
  <si>
    <t>Identity mediation strategies for digital inclusion in entrepreneurial finance</t>
  </si>
  <si>
    <t>Identity; Reputation; Access to finance; Digital platforms; Identity-based view; Social identity theory</t>
  </si>
  <si>
    <t>RESOURCE-BASED VIEW; SOCIAL IDENTITY; ORGANIZATIONAL IDENTITY; IDENTIFICATION; COMPASSION; REPUTATION; CONSTRUCTION; MICROFINANCE; OPPORTUNITY; INTERPLAY</t>
  </si>
  <si>
    <t>Digital platforms and innovations have greatly improved the mechanisms whereby the resources needed to start a business can be obtained; yet many at the base of the pyramid still have limited access to them because they remain disconnected. While digital platforms can help to connect the possessors of resources with the entrepreneurs who need them, the mediating processes that those who are not directly represented in such digital spaces need to undergo deserve further attention. This study builds on social identity theory and the identitybased view by considering identity as a relational and resource construct and discussing three identity mediation processes and strategies: connection-, familiarity-, and credibility-building. The evidence for this study was sourced from Rang De, India's first digital micro credit platform. Understanding the identity mediation whereby disconnected borrowers seeking finance can access resources provides important insights to the emerging field of digital social innovation for business and development.</t>
  </si>
  <si>
    <t>[Kromidha, Endrit] Univ Birmingham, Birmingham Business Sch, Birmingham B15 2TT, England</t>
  </si>
  <si>
    <t>University of Birmingham</t>
  </si>
  <si>
    <t>Kromidha, E (corresponding author), Univ Birmingham, Birmingham Business Sch, Birmingham B15 2TT, England.</t>
  </si>
  <si>
    <t>e.kromidha@bham.ac.uk</t>
  </si>
  <si>
    <t>10.1016/j.ijinfomgt.2023.102658</t>
  </si>
  <si>
    <t>Q7WY6</t>
  </si>
  <si>
    <t>WOS:001059603200001</t>
  </si>
  <si>
    <t>Kumar, M; Ivanova, MI; Ramamoorthy, A</t>
  </si>
  <si>
    <t>Kumar, Manjeet; Ivanova, Magdalena I.; Ramamoorthy, Ayyalusamy</t>
  </si>
  <si>
    <t>Non-micellar ganglioside GM1 induces an instantaneous conformational change in A beta(42) leading to the modulation of the peptide amyloid-fibril pathway</t>
  </si>
  <si>
    <t>BIOPHYSICAL CHEMISTRY</t>
  </si>
  <si>
    <t>Amyloid; Non-micellar ganglioside (GM1); Primary nucleus; Amyloid fibril pathways; Cytotoxicity; Secondary nucleation; Alzheimer's disease</t>
  </si>
  <si>
    <t>THIOFLAVIN-T-BINDING; ALZHEIMERS-DISEASE; A-BETA; AGGREGATION; PROTEIN; POLYMORPHISMS; HETEROGENEITY; A-BETA-42; MECHANISM; VARIANTS</t>
  </si>
  <si>
    <t>Alzheimer's disease is a progressive degenerative condition that mainly affects cognition and memory. Recently, distinct clinical and neuropathological phenotypes have been identified in AD. Studies revealed that structural variation in A beta fibrillar aggregates correlates with distinct disease phenotypes. Moreover, environmental surroundings, including other biomolecules such as proteins and lipids, have been shown to interact and modulate A beta aggregation. Model membranes containing ganglioside (GM1) clusters are specifically known to promote A beta fibrillogenesis. This study unravels the modulatory effect of non-micellar GM1, a glycosphingolipid frequently released from the damaged neuronal membranes, on A beta(42) amyloid fibril formation. Using far-UV circular dichroism experiments, we observed a change in the peptide secondary structure from random-coil to beta-turn structures with subsequent generation of predominantly beta-sheet-rich species upon interaction with GM1. Thioflavin-T (ThT) fluorescence assays further indicated that GM1 likely interacts with an amyloidogenic A beta(42) intermediate species leading to a possible formation of GM1-modified A beta(42) fibril. Statistically, no significant difference in toxicity to RA-differentiated SH-SY5Y cells was observed between A beta(42) fibrils and GM1-tweaked A beta(42) aggregates. Moreover, GM1-modified A beta(42) aggregates exhibited prion-like properties in catalyzing the amyloid fibril formation of both major isomers of A beta, A beta(40), and A beta(42).</t>
  </si>
  <si>
    <t>[Kumar, Manjeet; Ivanova, Magdalena I.; Ramamoorthy, Ayyalusamy] Univ Michigan, Michigan Neurosci Inst, Dept Chem Biomed Engn Macromol Sci &amp; Engn, Biophys, Ann Arbor, MI 48109 USA; [Ivanova, Magdalena I.] Univ Michigan, Dept Neurol, Ann Arbor, MI 48109 USA</t>
  </si>
  <si>
    <t>Ramamoorthy, A (corresponding author), Univ Michigan, Michigan Neurosci Inst, Dept Chem Biomed Engn Macromol Sci &amp; Engn, Biophys, Ann Arbor, MI 48109 USA.</t>
  </si>
  <si>
    <t>ramamoor@umich.edu</t>
  </si>
  <si>
    <t>National Institutes of Health [DK13221401]; [AG048934]</t>
  </si>
  <si>
    <t>National Institutes of Health(United States Department of Health &amp; Human ServicesNational Institutes of Health (NIH) - USA);</t>
  </si>
  <si>
    <t>Acknowledgment This study was supported by the National Institutes of Health Grants (AG048934 and DK13221401 to A.R.) .</t>
  </si>
  <si>
    <t>0301-4622</t>
  </si>
  <si>
    <t>1873-4200</t>
  </si>
  <si>
    <t>BIOPHYS CHEM</t>
  </si>
  <si>
    <t>Biophys. Chem.</t>
  </si>
  <si>
    <t>10.1016/j.bpc.2023.107091</t>
  </si>
  <si>
    <t>Biochemistry &amp; Molecular Biology; Biophysics; Chemistry, Physical</t>
  </si>
  <si>
    <t>Biochemistry &amp; Molecular Biology; Biophysics; Chemistry</t>
  </si>
  <si>
    <t>Q0PC1</t>
  </si>
  <si>
    <t>WOS:001054610100001</t>
  </si>
  <si>
    <t>Kumar, P; Michalek, M; Cook, DH; Sheng, H; Lau, KB; Wang, P; Zhang, MW; Minor, AM; Ramamurty, U; Ritchie, RO</t>
  </si>
  <si>
    <t>Kumar, Punit; Michalek, Matthew; Cook, David H.; Sheng, Huang; Lau, Kwang B.; Wang, Pei; Zhang, Mingwei; Minor, Andrew M.; Ramamurty, Upadrasta; Ritchie, Robert O.</t>
  </si>
  <si>
    <t>On the strength and fracture toughness of an additive manufactured CrCoNi medium-entropy alloy</t>
  </si>
  <si>
    <t>Medium-entropy alloys; Additive manufacture; Laser powder bed fusion; Mechanical properties; Strengthening; Toughening</t>
  </si>
  <si>
    <t>STAINLESS-STEELS; CRACK; DEFORMATION; MECHANISMS; BEHAVIOR</t>
  </si>
  <si>
    <t>An additively manufactured (nominally equiatomic) CrCoNi alloy was processed by laser powder bed fusion (LPBF). At ambient temperatures (298 K), this medium-entropy alloy displayed a yield strength, ay of-691 &amp; PLUSMN; 9 MPa, and an ultimate tensile strength, au of-926 &amp; PLUSMN; 15.2 MPa; at cryogenic temperatures (77 K), yield and tensile strengths increased respectively to ay -944 &amp; PLUSMN; 6 MPa and au -1382 &amp; PLUSMN; 11 MPa. These strength levels are 57 and 44% higher than that of the wrought alloy, due to strengthening from the solidification cellular structures intertwined with dislocations in the LPBF CrCoNi. The crack-initiation fracture toughness, KJIc was measured to be-183.7 &amp; PLUSMN; 28 MPa &amp; RADIC;m at 298 K; this value marginally decreased by-4% to-176 &amp; PLUSMN; 11 MPa &amp; RADIC;m at 77 K. These KJIc values of the LPBF CrCoNi were 11% and 35% lower than the wrought CrCoNi alloy at 298 K and 77 K, respectively. The resistance to crack growth of the LPBF CrCoNi from its hierarchical micro-and meso-structures was evaluated using nonlinear-elastic fracture mechanics by measuring R-curve behavior in the form of the J -integral as a function of crack extension. The specific features of the hierarchical microstructures at different length-scales provide a basis for the strengthening and toughening properties of this additively manufactured medium-entropy alloy. This correlation between the deformation and the hierarchical microstructures at different length-scales may provide future guidance for improving the fracture toughness properties of medium -entropy alloys.</t>
  </si>
  <si>
    <t>[Kumar, Punit; Michalek, Matthew; Cook, David H.; Zhang, Mingwei; Minor, Andrew M.; Ritchie, Robert O.] Univ Calif Berkeley, Dept Mat Sci &amp; Engn, Berkeley, CA 94720 USA; [Kumar, Punit; Cook, David H.; Zhang, Mingwei; Minor, Andrew M.; Ritchie, Robert O.] Lawrence Berkeley Natl Lab, Mat Sci Div, Berkeley, CA USA; [Sheng, Huang; Ramamurty, Upadrasta] Nanyang Technol Univ, Sch Mech &amp; Aerosp Engn, Singapore, Singapore; [Lau, Kwang B.; Wang, Pei; Ramamurty, Upadrasta] Agcy Sci, Inst Mat Res &amp; Engn, Technol &amp; Res A STAR, Singapore, Singapore; [Minor, Andrew M.] Lawrence Berkeley Natl Lab, Natl Ctr Electron Microscopy, Mol Foundry, Berkeley, CA USA</t>
  </si>
  <si>
    <t>University of California System; University of California Berkeley; United States Department of Energy (DOE); Lawrence Berkeley National Laboratory; Nanyang Technological University &amp; National Institute of Education (NIE) Singapore; Nanyang Technological University; Agency for Science Technology &amp; Research (A*STAR); A*STAR - Institute of Materials Research &amp; Engineering (IMRE); United States Department of Energy (DOE); Lawrence Berkeley National Laboratory</t>
  </si>
  <si>
    <t>Ritchie, RO (corresponding author), Univ Calif Berkeley, Dept Mat Sci &amp; Engn, Berkeley, CA 94720 USA.</t>
  </si>
  <si>
    <t>ritchie@berkeley.edu</t>
  </si>
  <si>
    <t>Huang, Sheng/AAT-7136-2020; Kumar, Punit/AAL-9956-2021</t>
  </si>
  <si>
    <t>Huang, Sheng/0000-0001-9662-8414; Kumar, Punit/0000-0003-3233-8279</t>
  </si>
  <si>
    <t>U.S. Department of Energy, Office of Science, Office of Basic Energy Sciences, Materials Sciences and Engineering Division [DE-AC02-05-CH11231]; Structural Metal Alloys Program Agency for Science, Technology and Research of Singapore [A18B1b0061]; U.S. Department of Energy [DE-AC02-05-CH11231]; NSF Fellowship from National Science Foundation [DGE 2146752]</t>
  </si>
  <si>
    <t>U.S. Department of Energy, Office of Science, Office of Basic Energy Sciences, Materials Sciences and Engineering Division(United States Department of Energy (DOE)); Structural Metal Alloys Program Agency for Science, Technology and Research of Singapore; U.S. Department of Energy(United States Department of Energy (DOE)); NSF Fellowship from National Science Foundation</t>
  </si>
  <si>
    <t>This work was primarily supported by the U.S. Department of Energy, Office of Science, Office of Basic Energy Sciences, Materials Sciences and Engineering Division under contract no. DE-AC02-05-CH11231 to the Damage -Tolerance in Structural Materials Program (KC13) at the Lawrence Berkeley National Laboratory (LBNL) . H.S. and U.R. acknowledge the support of the Structural Metal Alloys Program (Grant reference no. A18B1b0061) of the Agency for Science, Technology and Research of Singapore. EBSD and TEM microscopy was carried out at LBNL's Molecular Foundry supported by the Office of Science, Office of Basic Energy Sciences, of the U.S. Department of Energy under contract no. DE-AC02-05-CH11231. D.C. acknowledges an NSF Fellowship from National Science Foundation under Grant No. DGE 2146752. The authors would also like to thank Michael Gronley from the machine shop in the Engineering Division at LBNL for his help and assistance.</t>
  </si>
  <si>
    <t>10.1016/j.actamat.2023.119249</t>
  </si>
  <si>
    <t>Q9UJ2</t>
  </si>
  <si>
    <t>WOS:001060891700001</t>
  </si>
  <si>
    <t>Kumawat, MK; Yadav, V; Tiwari, S; Mahanta, T; Mohanty, T</t>
  </si>
  <si>
    <t>Kumawat, Manoj Kumar; Yadav, Vidyotma; Tiwari, Shivam; Mahanta, Tanmay; Mohanty, Tanuja</t>
  </si>
  <si>
    <t>Temperature controlled synthesis of boron carbon nitride nanosheets and study of their bandgap modulation and nonlinear optical properties</t>
  </si>
  <si>
    <t>Hexagonal boron carbon nitride; Nonlinear optical properties; X-ray photoelectron spectroscopy; Raman spectroscopy</t>
  </si>
  <si>
    <t>GRAPHENE; NITROGEN; ENERGY</t>
  </si>
  <si>
    <t>This work reports a novel mechanism to synthesize boron carbon nitride (BCN) nanosheets with varying carbon concentration where the whole process is controlled by temperature variation. The morphology, layer numbers, crystallinity, chemical composition and bonding of synthesized BCN nanosheets were confirmed by Field emission scanning electron microscopy (FESEM), Atomic force microscopy (AFM), Transmission electron microscopy (TEM), X-Ray photoelectron spectroscopy (XPS) and Energy Dispersive X-Ray Analysis (EDX). Molecular configuration and bonding vibration of the nanosheets and their linear optical and 3rd-order nonlinear optical properties were analyzed by Fourier transform infrared spectroscopy (FTIR), Raman spectroscopy, UV-Vis spectroscopy and Z-scan technique respectively. The bandgap estimated from UV-Vis absorption data matches well with the theoretical values calculated by ab initio density functional theory (DFT) thus confirming the formation of BCN nanosheets. The thermal treatment of hBN in the graphitic environment is demonstrated to control the tuning of the morphological, structural, linear, and nonlinear optical characteristics of synthesized BCN nanosheets which currently pave the way of new opportunities for the development of tunable bandgapbased electronics and photonic devices.</t>
  </si>
  <si>
    <t>[Kumawat, Manoj Kumar; Yadav, Vidyotma; Mahanta, Tanmay; Mohanty, Tanuja] Jawaharlal Nehru Univ, Sch Phys Sci, New Delhi 110067, India; [Tiwari, Shivam] CSIR, NPL, New Delhi 110012, India</t>
  </si>
  <si>
    <t>Jawaharlal Nehru University, New Delhi; Council of Scientific &amp; Industrial Research (CSIR) - India; CSIR - National Physical Laboratory (NPL)</t>
  </si>
  <si>
    <t>Mohanty, T (corresponding author), Jawaharlal Nehru Univ, Sch Phys Sci, New Delhi 110067, India.</t>
  </si>
  <si>
    <t>tanujajnu@gmail.com</t>
  </si>
  <si>
    <t>MAHANTA, TANMAY/HKV-6023-2023</t>
  </si>
  <si>
    <t>MAHANTA, TANMAY/0000-0002-4501-2174; Yadav, Vidyotma/0009-0009-2379-0336</t>
  </si>
  <si>
    <t>Ministry of Earth Sciences (MoES); CSIR, India; ISRO RESPOND; [ISRO/RES/2/420/18-19]; [MoES/P.O. (Seismic) 8 (09) -Geochron/2012]</t>
  </si>
  <si>
    <t>Ministry of Earth Sciences (MoES); CSIR, India(Council of Scientific &amp; Industrial Research (CSIR) - India); ISRO RESPOND; ;</t>
  </si>
  <si>
    <t>The authors are thankful to Dr. Mahesh Kumar (CSIR-NPL) for his valuable suggestions and fruitful discussion on Z-scan and Z-scan measurements. The authors are also thankful to Mainpal Yadav, Ms Priya Das and Prof. Satyabrata Patnaik for the usage of ab initio density functional theory (DFT) . For the TEM, EDX and Raman measurements, the authors are grateful to the AIRF, JNU. Authors are thankful to IUAC for extending FESEM facility funded by Ministry of Earth Sciences (MoES) under Geochronology project [MoES/P.O. (Seismic) 8 (09) -Geochron/2012] . For the XPS (PHI 5000 VersaProbe III) measurements, the authors are grateful to the IIC-IIT roorkee. Manoj Kumar Kumawat and Vidyotma Yadav are thankful to CSIR, India for research fellowship. TM is thankful to ISRO RESPOND (Project No. ISRO/RES/2/420/18-19) for installation of LPCVD setup.</t>
  </si>
  <si>
    <t>10.1016/j.carbon.2023.118363</t>
  </si>
  <si>
    <t>Q3NP2</t>
  </si>
  <si>
    <t>WOS:001056620400001</t>
  </si>
  <si>
    <t>Kutlusoy, E; Maras, MM; Ekinci, E; Rihawi, B</t>
  </si>
  <si>
    <t>Kutlusoy, Erkay; Maras, Muslum Murat; Ekinci, Enes; Rihawi, Baraa</t>
  </si>
  <si>
    <t>Production parameters of novel geopolymer masonry mortar in heritage buildings: Application in masonry building elements</t>
  </si>
  <si>
    <t>Masonry; Strength; Geopolymer; Shear; Ductile</t>
  </si>
  <si>
    <t>METAKAOLIN-BASED GEOPOLYMER; ALKALI-ACTIVATED SLAG; STRENGTH; CONCRETE; BEHAVIOR; COMPOSITE; RESTORATION; PERFORMANCE; EARTHQUAKE; PASTE</t>
  </si>
  <si>
    <t>The aim of this study is to develop an innovative high-strength restoration mortar using recycled materials as an alternative to the mortars used in historical buildings. Compressive strength tests were carried out on the samples and, according to the results, the mortar giving the highest strength was determined as the optimum mixture. The compressive strength, shear strength, displacement and load-carrying capacity values of the masonry units were tested by using the geopolymer mortar with the highest strength among the mortar samples produced. The novelty of this research is that geopolymer repair mortars were produced as an alternative to standard mortars and applied in masonry building units. The results showed that blast furnace slag and brick powder can effectively improve the compressive and bond strength of the geopolymer. In the compressive strength tests performed on the samples, much higher strength results were obtained with geopolymer historical building mortar than standard historical building mortar. In the compressive and shear strength performed on the masonry units, the geopolymer historical building mortar showed higher mechanical properties compared to the standard historical building mortars. When the compressive strength test results are compared, a strength of 1.8 times was observed in the masonry unit (GHB1) produced using geopolymer historical building mortar, compared to the masonry unit (HB1) produced with standard historical building mortar. As a result of the shear strength test, the masonry unit (GHK1) produced with geopolymer mortar demonstrated seven times more load carrying capacity than the masonry unit (HK1) elements produced with standard historical building mortar. Moreover, the masonry arch systems produced with standard historical building mortar showed close load bearing capacity with the geopolymer historical building mortar, but the masonry arch element produced with geopolymer mortar exhibited a more ductile behavior. It has been determined that the use of geopolymer mortars with recycled materials with increasing molarity in masonry arch elements improves the compressive strength and accelerates the geopolymerization mechanism. Innovative highstrength geopolymer mortars used in masonry walls provided good adhesion with the hollow brick, creating a compact structure.</t>
  </si>
  <si>
    <t>[Kutlusoy, Erkay; Maras, Muslum Murat; Ekinci, Enes; Rihawi, Baraa] Inonu Univ, Dept Civil Engn, TR-44100 Malatya, Turkiye</t>
  </si>
  <si>
    <t>Inonu University</t>
  </si>
  <si>
    <t>Maras, MM (corresponding author), Inonu Univ, Dept Civil Engn, TR-44100 Malatya, Turkiye.</t>
  </si>
  <si>
    <t>murat.maras@inonu.edu.tr</t>
  </si>
  <si>
    <t>MARAS, MUSLUM MURAT/0000-0002-6324-207X</t>
  </si>
  <si>
    <t>Inonu University Scientific Research Unit</t>
  </si>
  <si>
    <t>Inonu University Scientific Research Unit(Inonu University)</t>
  </si>
  <si>
    <t>Acknowledgment The authors would like to express their gratitude to the Inonu University Scientific Research Unit for financial support.</t>
  </si>
  <si>
    <t>10.1016/j.jobe.2023.107038</t>
  </si>
  <si>
    <t>Q3TF3</t>
  </si>
  <si>
    <t>WOS:001056768700001</t>
  </si>
  <si>
    <t>Kwarta, M; Allen, MS</t>
  </si>
  <si>
    <t>Kwarta, Michael; Allen, Matthew S.</t>
  </si>
  <si>
    <t>Nonlinear Identification through eXtended Outputs (NIXO) with numerical and experimental validation using geometrically nonlinear structures</t>
  </si>
  <si>
    <t>Nonlinear system identification; NIFO; Nonlinear parameter estimation; Nonlinear experimental dynamics; Geometrically nonlinear structures; Swept-sine and burst-random vibration testing</t>
  </si>
  <si>
    <t>NORMAL-MODES; SUBSPACE IDENTIFICATION; SYSTEM IDENTIFICATION; RESPONSE PREDICTION; PARAMETERS; ALGORITHM</t>
  </si>
  <si>
    <t>This work presents a novel technique for nonlinear system identification that operates in the frequency domain and fits a model to measured spectra to estimate the parameters in a modal domain nonlinear equation of motion (EOM). Nonlinear terms are added to the linear EOM in the form of polynomials, and the proposed algorithm estimates the polynomial coefficients as well as the underlying linear Frequency Response Function (FRF). This method is an extension to a popular nonlinear system identification algorithm called NIFO, from Nonlinear Identification through Feedback of the Outputs. However, NIFO identifies the nonlinear parameters as complex numbers that may be different at each frequency line, even though the mechanical system is expected to be governed by an EOM in which the nonlinear parameters are real and constant with frequency. This might be problematic, because any variation in the identified nonlinear parameters will distort the linear FRFs estimated by NIFO, and those linear FRFs are important to tell the user whether all of the significant nonlinearity has been extracted from the system. The proposed algorithm, here dubbed Nonlinear Identification through eXtended Outputs (NIXO), estimates the nonlinear parameters as frequency-independent and real. Additionally, it is demonstrated that for the systems studied here that the algorithm works when random and swept-sine inputs are used to excite the tested structure, while NIFO only worked well when random inputs were used. The method is first evaluated numerically using benchmark case studies, starting with the SDOF equation and then reduced models of a clamped-clamped flat beam, and the results are compared to those obtained with NIFO. Then the algorithm is applied to swept-sine measurements from a 3D-printed flat beam and the results are validated by computing the primary nonlinear normal mode of the identified model and comparing it with measurements.</t>
  </si>
  <si>
    <t>[Kwarta, Michael] Univ Wisconsin, Dept Mech Engn, 1500 Engn Dr,Engn Res Bldg, Madison, WI 53706 USA; [Allen, Matthew S.] Brigham Young Univ, Dept Mech Engn, 350B Engn Bldg, Provo, UT 84602 USA</t>
  </si>
  <si>
    <t>University of Wisconsin System; University of Wisconsin Madison; Brigham Young University</t>
  </si>
  <si>
    <t>Kwarta, M (corresponding author), Univ Wisconsin, Dept Mech Engn, 1500 Engn Dr,Engn Res Bldg, Madison, WI 53706 USA.</t>
  </si>
  <si>
    <t>kwarta@wisc.edu; matt.allen@byu.edu</t>
  </si>
  <si>
    <t>10.1016/j.ymssp.2023.110542</t>
  </si>
  <si>
    <t>P1VS7</t>
  </si>
  <si>
    <t>WOS:001048595400001</t>
  </si>
  <si>
    <t>Kwon, JE; Park, JH; Kim, JH; Lee, YH; Cho, SI</t>
  </si>
  <si>
    <t>Kwon, Jung Eun; Park, Jae Hyeon; Kim, Ju Hyun; Lee, Yun Hak; Cho, Sung In</t>
  </si>
  <si>
    <t>Context and scale-aware YOLO for defect detection</t>
  </si>
  <si>
    <t>Automatic welding defect detection; Radiography test</t>
  </si>
  <si>
    <t>WELD DEFECTS</t>
  </si>
  <si>
    <t>Radiography testing for welding defect detection is an essential inspection procedure to ensure welding quality. However, detecting these defects is a challenging task because they have various size and aspect ratio characteristics and low perceptiveness due to the low luminance and contrast characteristics of the radiography image (RI). To address these difficulties, this paper proposes a twin model-based automatic welding defect detection method to reveal welding defects of various sizes and aspect ratios more accurately. In addition, we propose a new image adjustment technique that is optimized to improve the accuracy of welding defect detection by adaptively adjusting the luminance and contrast of a given RI. The proposed method consists of three steps: preprocessing for defect detection (PDD), context-aware image adjustment (CIA), and scale-aware defect detection (SDD). In the PDD step, we extract the region of interest from a RI based on text detection by removing regions unnecessary for welding defect detection. In the CIA step, we adaptively optimize a given image to improve the detection accuracy by utilizing a differentiable parametric module that performs image enhancement filtering. In the SDD step, we define a twin model that outputs the embeddings of different scales from the adjusted RI to detect the defects with various scales accurately. At the inference stage of the detection model, we ensemble the results using a weighted fusion of the detection results from the twin model to take advantage of the ensemble strategy. The experimental results indicate that the proposed method achieves outstanding detection accuracy compared to the benchmark methods.</t>
  </si>
  <si>
    <t>[Kwon, Jung Eun; Park, Jae Hyeon; Kim, Ju Hyun; Lee, Yun Hak; Cho, Sung In] Dongguk Univ, Dept Multimedia Engn, 30,Pilldong Ro 1 Gil, Seoul 04620, South Korea</t>
  </si>
  <si>
    <t>Dongguk University</t>
  </si>
  <si>
    <t>Cho, SI (corresponding author), Dongguk Univ, Dept Multimedia Engn, 30,Pilldong Ro 1 Gil, Seoul 04620, South Korea.</t>
  </si>
  <si>
    <t>kje_9912@dgu.ac.kr; pjh0011@dongguk.edu; kjhyun18@dgu.ac.kr; yhlee_430@dongguk.edu; csi2267@dongguk.edu</t>
  </si>
  <si>
    <t>National Research Foundation of Korea (NRF) - Korea government (MSIT) [RS-2023-0020876]</t>
  </si>
  <si>
    <t>This work was supported by National Research Foundation of Korea (NRF) grant funded by the Korea government (MSIT) under Grant RS-2023-0020876.</t>
  </si>
  <si>
    <t>10.1016/j.ndteint.2023.102919</t>
  </si>
  <si>
    <t>R6PJ6</t>
  </si>
  <si>
    <t>WOS:001065553100001</t>
  </si>
  <si>
    <t>Langston, F; Redha, AA; Nash, GR; Bows, JR; Torquati, L; Gidley, MJ; Cozzolino, D</t>
  </si>
  <si>
    <t>Langston, Faye; Redha, Ali Ali; Nash, Geoffrey R.; Bows, John R.; Torquati, Luciana; Gidley, Michael J.; Cozzolino, Daniel</t>
  </si>
  <si>
    <t>Qualitative analysis of broccoli (Brassica oleracea var. italica) glucosinolates: Investigating the use of mid-infrared spectroscopy combined with chemometrics</t>
  </si>
  <si>
    <t>Broccoli; Mid infrared; Chemometrics; Glucosinolates; Glucobrassicin</t>
  </si>
  <si>
    <t>ISOTHIOCYANATES; CABBAGE; HEALTH</t>
  </si>
  <si>
    <t>Glucosinolates are phytochemicals with important health and nutritional benefits. This study reports the use of high-performance liquid chromatography (HPLC) and mid-infrared (MIR) spectroscopy to characterise and differentiate between broccoli varieties and systems of production (organic vs. non-organic) depending on their glucosinolate content and infrared fingerprint. Broccoli samples (n = 53) from seven varieties were analysed using MIR spectroscopy and HPLC. Differences in the MIR spectra of the individual broccoli varieties were observed in the carbohydrate fingerprint region (950-1100 cm-1) and between 1340 and 1615 cm-1 assigned to specific glucosinolates. Principal component analysis (PCA) of the MIR fingerprint spectra enabled the differentiation between samples with relatively high (200-500 mg/100 g DW) and low (&lt; 200 mg/100 g DW) glucobrassicin content. Linear discriminant analysis (LDA) and PCA-LDA were used to classify broccoli varieties according to the system of production (organic vs. non-organic) and variety (common vs. Tenderstem &amp; REG; broccoli). The classification rates indicated that &gt; 70 % of the samples were correctly classified as organic and non-organic, while &gt; 90 % of the samples were correctly classified as common broccoli and Tenderstem &amp; REG;. This study demonstrates that MIR spectroscopy could be used as a potential tool to classify and monitor broccoli samples according to their variety and system of production.</t>
  </si>
  <si>
    <t>[Langston, Faye; Nash, Geoffrey R.] Univ Exeter, Fac Environm Sci &amp; Econ, Nat Sci, Exeter EX4 4QF, England; [Redha, Ali Ali; Torquati, Luciana] Univ Exeter, Univ Exeter Med Sch, Fac Hlth &amp; Life Sci, Dept Publ Hlth &amp; Sport Sci, Exeter EX1 2LU, England; [Gidley, Michael J.; Cozzolino, Daniel] Univ Queensland, Ctr Nutr &amp; Food Sci, Queensland Alliance Agr &amp; Food Innovat QAAFI, Brisbane, Qld 4072, Australia; [Bows, John R.] Peps R&amp;D, Leicester LE4 1ET, England</t>
  </si>
  <si>
    <t>University of Exeter; University of Exeter; University of Queensland</t>
  </si>
  <si>
    <t>Langston, F (corresponding author), Univ Exeter, Fac Environm Sci &amp; Econ, Nat Sci, Exeter EX4 4QF, England.</t>
  </si>
  <si>
    <t>fmal201@exeter.ac.uk</t>
  </si>
  <si>
    <t>Ali Redha, Ali/AAG-9101-2021</t>
  </si>
  <si>
    <t>Ali Redha, Ali/0000-0002-9665-9074; Langston, Faye/0000-0003-0542-6580</t>
  </si>
  <si>
    <t>PepsiCo, Inc.; QUEX Institute; University of Queensland; University of Exeter</t>
  </si>
  <si>
    <t>PepsiCo, Inc.; QUEX Institute; University of Queensland(University of Queensland); University of Exeter</t>
  </si>
  <si>
    <t>The authors would also like to acknowledge the funding made available from PepsiCo, Inc. which supported this work. The views expressed in this report are those of the authors and do not necessarily represent the position of the policy of PepsiCo, Inc. Financial support for this study was also provided by the QUEX Institute, a partnership between The University of Queensland and the University of Exeter</t>
  </si>
  <si>
    <t>10.1016/j.jfca.2023.105532</t>
  </si>
  <si>
    <t>O5VQ0</t>
  </si>
  <si>
    <t>WOS:001044487600001</t>
  </si>
  <si>
    <t>Lanni, D; Minutillo, M; Cigolotti, V; Perna, A</t>
  </si>
  <si>
    <t>Lanni, Davide; Minutillo, Mariagiovanna; Cigolotti, Viviana; Perna, Alessandra</t>
  </si>
  <si>
    <t>Biomethane production through the power to gas concept: A strategy for increasing the renewable sources exploitation and promoting the green energy transition</t>
  </si>
  <si>
    <t>ENERGY CONVERSION AND MANAGEMENT</t>
  </si>
  <si>
    <t>Power to Gas; Renewable sources; Biogas; Green hydrogen; Biomethane</t>
  </si>
  <si>
    <t>DIRECT CATALYTIC METHANATION; TO-GAS; BIOGAS; REACTOR</t>
  </si>
  <si>
    <t>Direct catalytic methanation of biogas using hydrogen from electrolysis is a promising pathway to store the electricity from renewable power plants according to the Power to Gas concept. This type of methanation offers technical and economic advantages over the methanation of carbon dioxide separated from biogas, since it eliminates the upgrading step.This work is focused on the sizing and performance analysis of a Power to Biomethane plant based on biogas direct catalytic methanation process. The plant consists of two main sections: i) the Renewable Island, in which an anaerobic digestion plant and a renewable power plant (Photovoltaic plant or Wind farm) supply the biogas and the electricity; ii) the Biomethane Production Island, in which the hydrogenation of the carbon dioxide in the biogas, in presence of methane, occurs.This study, by means of an optimization procedure based on a multi-objective approach, aims to evaluate the optimal size of the Power to Biomethane plant that assures the maximum biomethane production and the maximum exploitation of the renewable electricity. Two case studies, referring to the installation of a Photovoltaic plant and a Wind farm as renewable power plants, have been analyzed.Results have highlighted that, for obtaining an annual biomethane production in the range of 2550-3150 kNm3 and by starting from a biogas availability of 500 Nm3/h, the sizes of the renewable power plants must be in the range 15-20 MW and in the range 19-23 MW for the Wind farm and the Photovoltaic plant, respectively. In terms of performance indicators, even if the PV plant has the highest electricity storage factor (up to 69 %), the Wind-based plant has both the highest plant load factor (up to 81%) and the equivalent full load operating hours (up to 6081), so that it is more favorable for the development of the Power to Biomethane concept.</t>
  </si>
  <si>
    <t>[Lanni, Davide; Perna, Alessandra] Univ Cassino &amp; Southern Lazio, Dept Civil &amp; Mech Engn, Cassino, Italy; [Minutillo, Mariagiovanna] Univ Salerno, Dept Ind Engn, Fisciano, Italy; [Cigolotti, Viviana] ENEA Portici, Piazzale Enrico Fermi I, Portici, Italy</t>
  </si>
  <si>
    <t>University of Cassino; University of Salerno</t>
  </si>
  <si>
    <t>Lanni, D (corresponding author), Univ Cassino &amp; Southern Lazio, Dept Civil &amp; Mech Engn, Cassino, Italy.</t>
  </si>
  <si>
    <t>davide.lanni@unicas.it</t>
  </si>
  <si>
    <t>0196-8904</t>
  </si>
  <si>
    <t>1879-2227</t>
  </si>
  <si>
    <t>ENERG CONVERS MANAGE</t>
  </si>
  <si>
    <t>Energy Conv. Manag.</t>
  </si>
  <si>
    <t>10.1016/j.enconman.2023.117538</t>
  </si>
  <si>
    <t>Thermodynamics; Energy &amp; Fuels; Mechanics</t>
  </si>
  <si>
    <t>Q7IZ1</t>
  </si>
  <si>
    <t>WOS:001059236300001</t>
  </si>
  <si>
    <t>Latif, G; Alghmgham, DA; Maheswar, R; Alghazo, J; Sibai, F; Aly, MH</t>
  </si>
  <si>
    <t>Latif, Ghazanfar; Alghmgham, Danyah Adel; Maheswar, R.; Alghazo, Jaafar; Sibai, Fadi; Aly, Moustafa H.</t>
  </si>
  <si>
    <t>Deep learning in Transportation: Optimized driven deep residual networks for Arabic traffic sign recognition</t>
  </si>
  <si>
    <t>ALEXANDRIA ENGINEERING JOURNAL</t>
  </si>
  <si>
    <t>Deep Learning Internet of Things (IoT); Residual Neural Networks (ResNet); Arabic Traffic Sign (ArTS); Smart Devices; Convolutional Neural Networks (CNN)</t>
  </si>
  <si>
    <t>Car manufacturers around the globe are in a race to design and build driverless cars. The concept of driverless is also being applied to any moving vehicle such as wheelchairs, golf cars, tourism carts in recreational parks, etc. To achieve this ambition, vehicles must be able to drive safely on streets stay within required lanes, sense moving objects, sense obstacles, and be able to read traffic signs that are permanent and even temporary signs. It will be a completely integrated system of the Internet of Things (IoT), Global Positioning System (GPS), Machine Learning (ML)/Deep Learning (DL), and Smart Technologies. A lot of work has been done on traffic sign recognition in the English language, but little has been done for Arabic traffic sign recognition. The concepts used for traffic sign recognition can also be applied to indoor signage, smart cities, supermarket labels, and others. In this paper, we propose two optimized Residual Network (ResNet) models (ResNet V1 and ResNet V2) for automatic traffic sign recognition using the Arabic Traffic Signs (ArTS) dataset. Additionally, the authors developed a new dataset specifically for Arabic Traffic Sign recognition consisting of 2,718 images taken from random places in the Eastern province of Saudi Arabia. The optimized proposed ResNet V1 model achieved the highest training and validation accuracies of 99.18% and 96.14%, respectively. It should be noted here that the authors accounted for both overfitting and underfitting in the proposed models. It is also important to note that the results achieved using the proposed models outperform similar methods proposed in the extant literature for the same dataset or similar-size dataset.</t>
  </si>
  <si>
    <t>[Latif, Ghazanfar; Alghmgham, Danyah Adel; Aly, Moustafa H.] Prince Mohammad Bin Fahd Univ, Comp Sci Dept, Khobar, Saudi Arabia; [Maheswar, R.] Univ Hradec Kralove, Fac Sci, Dept Appl Cybernet, Hradec Kralove, Czech Republic; [Alghazo, Jaafar] Univ North Dakota, Coll Engn &amp; Mines, Artificial Intelligence Res Initiat, Grand Forks, ND 58202 USA; [Sibai, Fadi] Gulf Univ Sci &amp; Technol, Coll Engn &amp; Architecture, Mubarak Al Abdullah 32093, Kuwait; [Latif, Ghazanfar; Aly, Moustafa H.] Arab Acad Sci Technol &amp; Maritime Transport, Elect &amp; Commun Engn Dept, Coll Engn &amp; Technol, POB 1029, Alexandria, Egypt</t>
  </si>
  <si>
    <t>Prince Mohammad Bin Fahd University; University of Hradec Kralove; University of North Dakota Grand Forks; Egyptian Knowledge Bank (EKB); Arab Academy for Science, Technology &amp; Maritime Transport</t>
  </si>
  <si>
    <t>Latif, G; Aly, MH (corresponding author), Prince Mohammad Bin Fahd Univ, Comp Sci Dept, Khobar, Saudi Arabia.;Latif, G; Aly, MH (corresponding author), Arab Acad Sci Technol &amp; Maritime Transport, Elect &amp; Commun Engn Dept, Coll Engn &amp; Technol, POB 1029, Alexandria, Egypt.</t>
  </si>
  <si>
    <t>glatif@pmu.edu.sa; engdania.ce@gmail.com; maheshh3@rediffmail.com; jaafar.alghazo@und.edu; sibai.f@gust.edu.kw; drmosaly@gmail.com</t>
  </si>
  <si>
    <t>; Alghazo, Jaafar/C-8250-2016</t>
  </si>
  <si>
    <t>Aly, Moustafa/0000-0003-1966-3755; Alghazo, Jaafar/0000-0001-7518-4818</t>
  </si>
  <si>
    <t>1110-0168</t>
  </si>
  <si>
    <t>2090-2670</t>
  </si>
  <si>
    <t>ALEX ENG J</t>
  </si>
  <si>
    <t>Alex. Eng. J.</t>
  </si>
  <si>
    <t>10.1016/j.aej.2023.08.047</t>
  </si>
  <si>
    <t>R6QQ0</t>
  </si>
  <si>
    <t>WOS:001065585500001</t>
  </si>
  <si>
    <t>Lauritzen, E; Bredgaard, R; -Kiel, CML; Hansen, L; Tvedskov, T; Damsgaard, TE</t>
  </si>
  <si>
    <t>Lauritzen, Elisabeth; Bredgaard, Rikke; Laustsen -Kiel, Cecilie Mullerup; Hansen, Laura; Tvedskov, Tove; Damsgaard, Tine Engberg</t>
  </si>
  <si>
    <t>Indocyanine green angiography in oncoplastic breast surgery, a prospective study</t>
  </si>
  <si>
    <t>JOURNAL OF PLASTIC RECONSTRUCTIVE AND AESTHETIC SURGERY</t>
  </si>
  <si>
    <t>Oncoplastic breast surgery; Indocyanine green angiography; ICG-A; Volume replacement; Volume displacement</t>
  </si>
  <si>
    <t>VOLUME REPLACEMENT; FLAP VIABILITY; MASTECTOMY; RECONSTRUCTION; FLUORESCENCE; QUADRANTECTOMY; MAMMAPLASTY; LUMPECTOMY; OUTCOMES; CANCERS</t>
  </si>
  <si>
    <t>Introduction: The use of Indocyanine green angiography (ICG-A) in oncoplastic breast-conserving surgery (OBCS) has not yet been investigated. This prospective trial applied ICG-A in volume displacement and replacement OBCS to localize perforators and determine tissue supplied by the perforator. Furthermore, to investigate and correlate the intraoperative ICG-A to postoperative surgical site infection, skin necrosis, epidermolysis, and timely onset of adjuvant therapy.Methods: ICG-A was performed at three pre-set timepoints during surgery; after lumpectomy, upon dissection of possible perforators, and after wound closure. All patients were followed with clinical evaluations before surgery, 4 weeks, 4-6 months, and 12 months postoperatively. Results: Eleven patients were included: seven volume displacement and four volume re- placement OBCS. ICG-A located the tissue supplied by the perforator and demonstrated sufficient perfusion in all cases. The ICG-A corresponded to the surgeons' clinical assessment. One patient developed a postoperative infection and seroma and was treated conservatively. No patients had postoperative necrosis, loss of reconstruction, or lymphedema of the arm. Edema of the breast occurred in four patients (36.4%). Scar assessments were significantly worse at 4 weeks and 4-6 months. The quality of life improved significantly during follow-up. Adjuvant treatment was administered timely in all cases.</t>
  </si>
  <si>
    <t>[Lauritzen, Elisabeth; Laustsen -Kiel, Cecilie Mullerup; Hansen, Laura; Damsgaard, Tine Engberg] Copenhagen Univ Hosp, Dept Plast Surg &amp; Burns Treatment, Copenhagen, Denmark; [Bredgaard, Rikke] Herlev &amp; Gentofte Hosp, Dept Plast Surg, Hellerup, Denmark; [Tvedskov, Tove] Herlev Gentofte Hosp, Dept Breast Surg, Hellerup, Denmark; [Lauritzen, Elisabeth] Copenhagen Univ Hosp, Dept Plast Surg &amp; Burns Treatment, Blegdamsvej 9, DK-2100 Copenhagen, Denmark</t>
  </si>
  <si>
    <t>University of Copenhagen; University of Copenhagen</t>
  </si>
  <si>
    <t>Lauritzen, E (corresponding author), Copenhagen Univ Hosp, Dept Plast Surg &amp; Burns Treatment, Blegdamsvej 9, DK-2100 Copenhagen, Denmark.</t>
  </si>
  <si>
    <t>slau0089@regionh.dk</t>
  </si>
  <si>
    <t>Tvedskov, Tove/AAQ-2303-2021</t>
  </si>
  <si>
    <t>Tvedskov, Tove/0000-0002-7568-1790; Hansen, Laura/0000-0002-0277-4881</t>
  </si>
  <si>
    <t>1748-6815</t>
  </si>
  <si>
    <t>1878-0539</t>
  </si>
  <si>
    <t>J PLAST RECONSTR AES</t>
  </si>
  <si>
    <t>J. Plast. Reconstr. Aesthet. Surg.</t>
  </si>
  <si>
    <t>10.1016/j.bjps.2023.07.022</t>
  </si>
  <si>
    <t>S0EM2</t>
  </si>
  <si>
    <t>WOS:001067988800001</t>
  </si>
  <si>
    <t>Lauwers, R; van Beek, N; Goossens, D; Claes, S; Bartholomeeusen, S; Claes, T</t>
  </si>
  <si>
    <t>Lauwers, Ruben; van Beek, Nathalie; Goossens, Daphne; Claes, Steven; Bartholomeeusen, Stijn; Claes, Toon</t>
  </si>
  <si>
    <t>Clinical and radiological outcomes of medial opening-wedge monoplanar and biplanar high tibial osteotomy using a triangular allograft impaction technique: A retrospective single centre study</t>
  </si>
  <si>
    <t>KNEE</t>
  </si>
  <si>
    <t>Medial opening-wedge High tibial; osteotomy; Medial osteoarthritis; Monoplanar; Biplanar</t>
  </si>
  <si>
    <t>PATELLAR HEIGHT; KNEE; OSTEOARTHRITIS; MANAGEMENT; SLOPE</t>
  </si>
  <si>
    <t>Purpose: The aim of the study was to research the clinical and radiological outcomes between monoplanar and biplanar medial opening-wedge high tibial osteotomy. We hypothesized that there would be no differences between both techniques when using a triangular allograft impaction technique. Methods: A single-centre, observational, retrospective study was conducted on 103 opening-wedge high tibial osteotomy patients from January 2017 to September 2019. Data collection, NRS and KOOS-PS, was performed preoperatively, 3 months and 12 months postoperatively. Radiological assessment (Kellgren-Lawrence, mechanical femoral-tibial angle, posterior tibial slope angle, lateral patellar tilt, patellar height) was performed on standing radiographs. Results: In total 32 patients were included in the biplanar group and 71 patients in the monoplanar group. NRS and KOOS-PS scores improved significantly (p &lt; 0.001) in time for both groups from baseline to 3 m PO and further to 1 year postoperatively. Our results showed no differences in radiological outcomes such as patellar height, LPT and posterior tibial slope angle. The monoplanar group did have more Takeuchi I and III fractures and a higher mFTA angle without clinical repercussion. Conclusions: Using a triangular allograft impaction technique for monoplanar and biplanar medial opening-wedge high tibial osteotomy gives no differences in clinical (NRS and KOOS) and radiological outcomes. Although a difference in Takeuchi fractures was found for monoplanar patients, no additional fixation was necessary, nor did clinical complications occur. We can conclude that triangular allograft impaction technique creates a stable construct and standardizes the healing procedure postoperatively for both monoplanar and biplanar medial opening-wedge high tibial osteotomy. (c) 2023 Elsevier B.V. All rights reserved.</t>
  </si>
  <si>
    <t>[Lauwers, Ruben] Univ Antwerp, Antwerp, Belgium; [Lauwers, Ruben; van Beek, Nathalie; Claes, Steven; Bartholomeeusen, Stijn; Claes, Toon] AZ Herentals, Herentals, Belgium; [Goossens, Daphne; Claes, Steven] Univ Leuven, Leuven, Belgium; [Lauwers, Ruben] Eikerlandstr 90, B-2870 Puurs Sint Amands, Belgium</t>
  </si>
  <si>
    <t>University of Antwerp; KU Leuven</t>
  </si>
  <si>
    <t>Lauwers, R (corresponding author), Eikerlandstr 90, B-2870 Puurs Sint Amands, Belgium.</t>
  </si>
  <si>
    <t>lauwers.ruben@gmail.com</t>
  </si>
  <si>
    <t>Lauwers, Ruben/0000-0002-7761-1024</t>
  </si>
  <si>
    <t>0968-0160</t>
  </si>
  <si>
    <t>1873-5800</t>
  </si>
  <si>
    <t>Knee</t>
  </si>
  <si>
    <t>10.1016/j.knee.2023.06.012</t>
  </si>
  <si>
    <t>Orthopedics; Sport Sciences; Surgery</t>
  </si>
  <si>
    <t>R0LD1</t>
  </si>
  <si>
    <t>WOS:001061333100001</t>
  </si>
  <si>
    <t>Le, MNU; Ning, YC; Zhou, JL</t>
  </si>
  <si>
    <t>Le, Mai Nhu Uyen; Ning, Yichong; Zhou, Jianlin</t>
  </si>
  <si>
    <t>ChIP-chip data for identifying target genes and consensus binding sequences of mutant p53 in MDA-MB-468 breast cancer cells</t>
  </si>
  <si>
    <t>TP53; Chromatin immunoprecipitation (ChIP); DNA microarray; Transcription factor; DNA binding motif</t>
  </si>
  <si>
    <t>The tumor suppressor p53 exerts its role mainly as a transcription factor. The TP53 gene, which encodes the p53 protein, is the most commonly mutated gene in human cancers, particularly triple negative breast cancer (TNBC). Variations in the TP53 gene occur mainly in exons 5-8 and result in missense mutations in the DNA-binding domain of the p53 protein that alter DNA binding specificity. To identify the target genes of mutant p53, we performed chromatin immunoprecipitation followed by DNA microarray (ChIP-chip). Briefly, the TNBC cell line MDA-MB-468 containing the endogenous p53-R273H mutation (the arginine residue at position 273 is mutated to a histidine) was cross-linked with 1% formaldehyde and ultrasonically sheared to generate chromatin fragments in a range of 20 0 similar to 1000 bp. An aliquot of the sheared chromatin was kept as input, and the other chromatin was precipitated with a p53 monoclonal antibody. DNA was purified from the precipitated chromatin and the unprecipitated chromatin (i.e., input), amplified, and labeled with Cy5 (ChIP DNA) or Cy3 (input DNA). Cy5- and Cy3-labeled DNA samples were cohybridized with the NimbleGen Human ChIP-chip 2.1 M Deluxe Promoter Array. The raw and analyzed data are described in this article. They are useful for identifying target genes and consensus binding motifs of the p53 R273H mutant and for further clarifying the molecular mechanism underlying the oncogenic activity of the p53 mutant. (c) 2023 The Author(s). Published by Elsevier Inc.</t>
  </si>
  <si>
    <t>[Le, Mai Nhu Uyen; Ning, Yichong; Zhou, Jianlin] Hunan Normal Univ, Coll Life Sci, State Key Lab Dev Biol Freshwater Fish, Changsha 410081, Hunan, Peoples R China; [Le, Mai Nhu Uyen; Ning, Yichong; Zhou, Jianlin] Hunan Normal Univ, Coll Life Sci, Key Lab Prot Chem &amp; Dev Biol, Minist Educ, Changsha 410081, Hunan, Peoples R China; [Ning, Yichong] Youjiang Med Univ Nationalities, Peoples Hosp Chongzuo, Chongzuo Key Lab Biomed Clin Transformat, Chongzuo, Guangxi, Peoples R China</t>
  </si>
  <si>
    <t>Hunan Normal University; Hunan Normal University; Youjiang Medical University for Nationalities</t>
  </si>
  <si>
    <t>Zhou, JL (corresponding author), Hunan Normal Univ, Coll Life Sci, State Key Lab Dev Biol Freshwater Fish, Changsha 410081, Hunan, Peoples R China.;Zhou, JL (corresponding author), Hunan Normal Univ, Coll Life Sci, Key Lab Prot Chem &amp; Dev Biol, Minist Educ, Changsha 410081, Hunan, Peoples R China.</t>
  </si>
  <si>
    <t>jlzhou@hunnu.edu.cn</t>
  </si>
  <si>
    <t>Zhou, Jianlin/0000-0001-8640-5364</t>
  </si>
  <si>
    <t>National Natural Science Foundation of China [81272318]</t>
  </si>
  <si>
    <t>This work was supported by the National Natural Science Foundation of China [grant number 81272318]. We thank Kangcheng Biotech (Shanghai, China) for technical assistance with DNA microarray analysis.</t>
  </si>
  <si>
    <t>10.1016/j.dib.2023.109499</t>
  </si>
  <si>
    <t>R6RI5</t>
  </si>
  <si>
    <t>WOS:001065604200001</t>
  </si>
  <si>
    <t>Lee, S; Han, TH; Park, S; Hwang, C; Choi, H</t>
  </si>
  <si>
    <t>Lee, Seokjae; Han, Taek Hee; Park, Sangwoo; Hwang, Chaemin; Choi, Hangseok</t>
  </si>
  <si>
    <t>Thermal performance design and analysis method for energy cast-in-place piles (E-CIPs) installed in diaphragm walls</t>
  </si>
  <si>
    <t>Energy cast-in-place pile (E-CIP); Steel pipe heat exchanger (SPHX); Double-I-beam (DIB); Thermal performance test (TPT); Computational fluid dynamics (CFD) model</t>
  </si>
  <si>
    <t>GROUND HEAT-EXCHANGER</t>
  </si>
  <si>
    <t>The diaphragm wall is a temporary supporting structure installed to prevent the collapse of excavation surfaces and groundwater leakage while conducting deep excavations. In a diaphragm wall system, cast-in-place piles (CIPs) are usually installed in a row, comprising deformed rebars and H-beams. In this study, a novel geothermal energy structure, called an energy CIP (E-CIP), was devised to use a diaphragm wall as a ground heat exchanger; E-CIPSP consisting of steel pipes substituting for deformed rebars and E-CIPDI consisting of double-I-beans substituting for H-beams, respectively. In addition to the role of temporary support, heat exchange with ground formations was induced by circulating a working fluid through the hollow space inside the steel pipes of E-CIPSP or the closed double-I-beams of E-CIPDI. Based on a series of thermal performance tests, both the E-CIPSP and E-CIPDI installed in the test bed demonstrated stable heat exchange performance. In addition, a computational fluid dynamics (CFD) model for the E-CIPSP was developed by calibrating the thermal conductivity of the ground formations, which allows to develop a design method for the E-CIPSP installed within a diaphragm wall.</t>
  </si>
  <si>
    <t>[Lee, Seokjae] Kunsan Natl Univ, Dept Civil Engn, Gunsan Si 54150, South Korea; [Han, Taek Hee] Korea Inst Ocean Sci &amp; Technol KIOST, Ocean Space Dev &amp; Energy Res Dept, Busan 49111, South Korea; [Park, Sangwoo] Korea Mil Acad, Dept Civil Engn &amp; Environm Sci, Seoul 01805, South Korea; [Hwang, Chaemin; Choi, Hangseok] Korea Univ, Sch Civil Environm &amp; Architectural Engn, Seoul 02841, South Korea</t>
  </si>
  <si>
    <t>Kunsan National University; Korea Institute of Ocean Science &amp; Technology (KIOST); Korea University</t>
  </si>
  <si>
    <t>Choi, H (corresponding author), Korea Univ, Sch Civil Environm &amp; Architectural Engn, Seoul 02841, South Korea.</t>
  </si>
  <si>
    <t>hchoi2@korea.ac.kr</t>
  </si>
  <si>
    <t>National Research Foundation of Korea (NRF) - Korea government (MSIT) [2019R1A2C2086647, 2020R1A6A1A03045059]</t>
  </si>
  <si>
    <t>This work was supported by the National Research Foundation of Korea (NRF) grants funded by the Korea government (MSIT) (No. 2019R1A2C2086647 and 2020R1A6A1A03045059)</t>
  </si>
  <si>
    <t>10.1016/j.enbuild.2023.113372</t>
  </si>
  <si>
    <t>P3EK2</t>
  </si>
  <si>
    <t>WOS:001049504300001</t>
  </si>
  <si>
    <t>Lehtonen, MJ; Gustafsson, R; Hassan, L</t>
  </si>
  <si>
    <t>Lehtonen, Miikka J.; Gustafsson, Robin; Hassan, Lobna</t>
  </si>
  <si>
    <t>The multiplex of value creation and capture logics in the video game industry: An integrative review of 20 years of studies and a future research agenda</t>
  </si>
  <si>
    <t>TECHNOLOGICAL FORECASTING AND SOCIAL CHANGE</t>
  </si>
  <si>
    <t>Digitalization; Game development; Integrative literature review; Value capture; Value creation; Video game industry</t>
  </si>
  <si>
    <t>FREE-TO-PLAY; TECHNOLOGICAL PLATFORMS; USER COMMUNITIES; DOMINANT LOGIC; VIRTUAL GOODS; SERVICE LOGIC; LIFE-CYCLE; HIGH-TECH; INNOVATION; SOFTWARE</t>
  </si>
  <si>
    <t>With the development of digital devices, information and communication technology, and software, value creation and capture logics have evolved, and new ones have emerged. The video game industry has been a forerunner in this evolution. It has grown from an industry that revolved primarily around entertainment to one that engages game developers, users, spectators, and countless actors, becoming intertwined with many other entertainment and non-entertainment industries, such as education and health management. Although the economic importance of the video game industry has been rapidly increasing over the last two decades or so, research on value creation and capture in the video game industry has remained fragmented and predominantly based on transactional and static views. By addressing theoretical shortcomings and oversights in prior literature, this integrative review of 278 studies makes three key contributions. First, we highlight shortcomings in the current body of knowledge. Second, we craft an integrated framework of value creation and capture logics, which we have conceptualized as the multiplex of value creation logics. Third, we provide future research directions and perspectives on the future evolution of value creation and capture logics, both in and across markets and industry sectors.</t>
  </si>
  <si>
    <t>[Lehtonen, Miikka J.] Rikkyo Univ, Coll Business, 3-34-1 Nishiikebukuro,Toshima Ku, Tokyo 1718501, Japan; [Gustafsson, Robin] Aalto Univ, Dept Ind Engn &amp; Management, Sch Sci, Maarintie 8, Espoo 02150, Finland; [Hassan, Lobna] LUT Univ, Sch Engn Sci, Mukkulankatu 19, Lahti 15210, Finland</t>
  </si>
  <si>
    <t>Rikkyo University; Aalto University</t>
  </si>
  <si>
    <t>Lehtonen, MJ (corresponding author), Rikkyo Univ, Coll Business, 3-34-1 Nishiikebukuro,Toshima Ku, Tokyo 1718501, Japan.</t>
  </si>
  <si>
    <t>miikka@rikkyo.ac.jp; robin.gustafsson@aalto.fi; lobna.hassan@lut.fi</t>
  </si>
  <si>
    <t>Hassan, Lobna/0000-0002-6201-9159; Gustafsson, Robin/0000-0003-0803-067X</t>
  </si>
  <si>
    <t>0040-1625</t>
  </si>
  <si>
    <t>1873-5509</t>
  </si>
  <si>
    <t>TECHNOL FORECAST SOC</t>
  </si>
  <si>
    <t>Technol. Forecast. Soc. Chang.</t>
  </si>
  <si>
    <t>10.1016/j.techfore.2023.122756</t>
  </si>
  <si>
    <t>Business; Regional &amp; Urban Planning</t>
  </si>
  <si>
    <t>Business &amp; Economics; Public Administration</t>
  </si>
  <si>
    <t>P7IZ0</t>
  </si>
  <si>
    <t>WOS:001052386600001</t>
  </si>
  <si>
    <t>Li, C; Xiang, YW; Bi, KM; Hao, H; Li, HW; Cai, CZ</t>
  </si>
  <si>
    <t>Li, Chao; Xiang, Yiwei; Bi, Kaiming; Hao, Hong; Li, Huawei; Cai, Chenzhi</t>
  </si>
  <si>
    <t>Seismic performance of a GFRP-concrete-steel hollow section segmental column with SMA bars and replaceable ED devices</t>
  </si>
  <si>
    <t>THIN-WALLED STRUCTURES</t>
  </si>
  <si>
    <t>Precast segmental bridge column; GFRP-concrete-steel hollow section; External ED devices; Shape memory alloys (SMA)</t>
  </si>
  <si>
    <t>BRIDGE COLUMNS; TUBULAR COLUMNS; BEHAVIOR; CONNECTIONS; TESTS; PIERS</t>
  </si>
  <si>
    <t>This paper investigates the seismic behavior of a novel precast segmental bridge column (PSBC). Glass fiber reinforced polymer (GFRP)-concrete-steel hollow section segments were used to construct the column. Hybrid energy dissipation (ED) system consisted of shape memory alloy (SMA) bars and replaceable external ED devices was proposed to increase the ED capacity of the PSBC. The SMA bars have a large deformation capacity, which makes them not easy to be damaged. They were therefore installed inside the column to absorb energy and more importantly to keep the residual displacement small. External ED devices were used to increase the overall ED ability of the PSBC. The external arrangement of the ED devices made it possible and easy for the post-earthquake replacement. A reference PSBC with steel-reinforced precast segments was also constructed and investigated. The test results demonstrated that, compared with the traditional PSBC, the proposed column exhibited appealing seismic performance, including better self-centering capacity, higher post-yield stiffness, and better ED ability. Furthermore, the proposed PSBC experienced minimal concrete damage during the test. One of the external ED devices fractured, however, they could be uninstalled and replaced easily. Numerical models were developed and used to conduct parametric studies. The results demonstrated the feasibility of using the hybrid ED system and the GFRP-concrete-steel hollow section segments to improve the performance of the PSBC under seismic loadings.</t>
  </si>
  <si>
    <t>[Li, Chao; Xiang, Yiwei; Cai, Chenzhi] Cent South Univ, Sch Civil Engn, Changsha 410075, Peoples R China; [Hao, Hong] Curtin Univ, Ctr Infrastruct Monitoring &amp; Protect, Sch Civil &amp; Mech Engn, Bentley, WA 6102, Australia; [Hao, Hong; Li, Huawei] Guangzhou Univ, Earthquake Engn Res &amp; Test Ctr, Guangzhou, Peoples R China; [Bi, Kaiming] Hong Kong Polytech Univ, Dept Civil &amp; Environm Engn, Hong Kong, Peoples R China</t>
  </si>
  <si>
    <t>Central South University; Curtin University; Guangzhou University; Hong Kong Polytechnic University</t>
  </si>
  <si>
    <t>Cai, CZ (corresponding author), Cent South Univ, Sch Civil Engn, Changsha 410075, Peoples R China.</t>
  </si>
  <si>
    <t>lichaocsu@csu.edu.cn; chenzhi.cai@csu.edu.cn</t>
  </si>
  <si>
    <t>Li, Huawei/IXX-2869-2023</t>
  </si>
  <si>
    <t>Li, Chao/0000-0001-9598-1478</t>
  </si>
  <si>
    <t>National Natural Science Foundation of China [52008407]; Natural Science Foundation of Hunan Province, China [2023JJ40727]; Australian Research Council, Australia [FL180100196]</t>
  </si>
  <si>
    <t>National Natural Science Foundation of China(National Natural Science Foundation of China (NSFC)); Natural Science Foundation of Hunan Province, China(Natural Science Foundation of Hunan Province); Australian Research Council, Australia(Australian Research Council)</t>
  </si>
  <si>
    <t>The financial support from the National Natural Science Foundation of China (52008407) and the Natural Science Foundation of Hunan Province, China (2023JJ40727) is acknowledged gratefully. This research is also supported by Australian Research Council, Australia (Laureate Fellowship FL180100196). Moreover, the authors would like to thank Xinshi Co. for the generous donation of the GFRP tubes.</t>
  </si>
  <si>
    <t>0263-8231</t>
  </si>
  <si>
    <t>1879-3223</t>
  </si>
  <si>
    <t>THIN WALL STRUCT</t>
  </si>
  <si>
    <t>Thin-Walled Struct.</t>
  </si>
  <si>
    <t>10.1016/j.tws.2023.111018</t>
  </si>
  <si>
    <t>Engineering, Civil; Engineering, Mechanical; Mechanics</t>
  </si>
  <si>
    <t>P6HN2</t>
  </si>
  <si>
    <t>WOS:001051666400001</t>
  </si>
  <si>
    <t>Li, C; Su, K; Liang, XF; Jiang, XB; Wang, JP; You, YF; Wang, LY; Chang, SH; Wei, CW; Zhang, YM; Liao, ZH</t>
  </si>
  <si>
    <t>Li, Chuang; Su, Kai; Liang, Xiaofei; Jiang, Xuebing; Wang, Jiping; You, Yongfa; Wang, Luying; Chang, Shihui; Wei, Changwen; Zhang, Yiming; Liao, Zhihong</t>
  </si>
  <si>
    <t>Identification of priority areas to provide insights for ecological protection planning: A case study in Hechi, China</t>
  </si>
  <si>
    <t>Gross Ecosystem Product; Ecological networks; Complex network analysis; Optimization; Karst characteristics region</t>
  </si>
  <si>
    <t>SUPPLY-AND-DEMAND; ECOSYSTEM SERVICES; SOIL CONSERVATION; NETWORK; RESTORATION; BIODIVERSITY; MOUNTAIN; FORESTS; PATTERN; IMPACT</t>
  </si>
  <si>
    <t>The prolonged disregard for the Gross Ecosystem Product (GEP) has limited the effectiveness of regional ecological conservation. However, identifying and safeguarding areas with high GEP, and optimizing their distribution and spatial structure, are of great immense for preserving ecosystem services (ESs). Our goal is to refine the spatial configuration of ecological network (EN), and subsequently augment and sustain the stability of ESs. We have specifically chosen Hechi City, situated in the Karst region of southwest China, as our case study. Firstly, we devised a GEP evaluation system to pinpoint crucial areas as ecological sources. Subsequently, we utilized the circuit theory and minimum cumulative resistance model to construct the preliminary EN. Through the circuit theory model identified the key nodes in the EN and optimized the EN. Finally, by combining complex network analysis methods, we evaluated the robustness and topological characteristics of the EN. Our results showed that the area of ecological sources increased from 71 to 161 after optimization. The number of corridors increased from 161 to 423, resulting in an overall increment of 8.8% in the source area. The connectivity and stability of the optimized EN can be significantly enhanced. The addition of new nodes increases the overall importance of the network, making the importance of each node more balanced. Additionally, the complex network analysis method provided a detailed understanding about the spatial topology of the overall and local elements of the EN. The study results can provide a valuable reference for optimizing, restoring and evaluating ENs in karst areas.</t>
  </si>
  <si>
    <t>[Li, Chuang; Su, Kai; Liang, Xiaofei; Wang, Luying; Chang, Shihui; Wei, Changwen; Zhang, Yiming; Liao, Zhihong] Guangxi Univ, Coll Forestry, Nanning 530004, Peoples R China; [Jiang, Xuebing] Guangxi Univ, Sch Mech Engn, Nanning 530004, Peoples R China; [Wang, Jiping] Chinese Acad Forestry CAF, Inst Ecol Protect &amp; Restorat, Beijing 100091, Peoples R China; [You, Yongfa] Auburn Univ, Coll Forestry Wildlife &amp; Environm, Int Ctr Climate &amp; Global Change Res, Auburn, AL USA</t>
  </si>
  <si>
    <t>Guangxi University; Guangxi University; Auburn University System; Auburn University</t>
  </si>
  <si>
    <t>Su, K (corresponding author), Guangxi Univ, Coll Forestry, Nanning 530004, Peoples R China.</t>
  </si>
  <si>
    <t>2209392023@st.gxu.edu.cn; sukai_lxy@gxu.edu.cn</t>
  </si>
  <si>
    <t>Su, Kai/0000-0002-7998-0544</t>
  </si>
  <si>
    <t>Open Foundation of the State Key Laboratory of Urban and Regional Ecology of China [2022GXNSFBA035570]; Youth Science Foundation of the Natural Science Foundation of Guangxi [A3360051018]; Talent Introduction Program of Guangxi University; [SKLURE2023-2-3]</t>
  </si>
  <si>
    <t>Open Foundation of the State Key Laboratory of Urban and Regional Ecology of China; Youth Science Foundation of the Natural Science Foundation of Guangxi; Talent Introduction Program of Guangxi University;</t>
  </si>
  <si>
    <t>Acknowledgements This research was supported by the Open Foundation of the State Key Laboratory of Urban and Regional Ecology of China (SKLURE2023-2-3) , the Youth Science Foundation of the Natural Science Foundation of Guangxi (2022GXNSFBA035570) , and the Talent Introduction Program of Guangxi University (A3360051018) . We also thank the anonymous reviewers.</t>
  </si>
  <si>
    <t>10.1016/j.ecolind.2023.110738</t>
  </si>
  <si>
    <t>Q7YG3</t>
  </si>
  <si>
    <t>WOS:001059636900001</t>
  </si>
  <si>
    <t>Li, F; Shi, WZ; Tu, YL; Zhang, H</t>
  </si>
  <si>
    <t>Li, Feng; Shi, Wenzhong; Tu, Yunlin; Zhang, Hua</t>
  </si>
  <si>
    <t>Automated methods for indoor point cloud preprocessing: Coordinate frame reorientation and building exterior removal</t>
  </si>
  <si>
    <t>Indoor point cloud; Data preprocessing; Nonlinear optimization; Energy minimization</t>
  </si>
  <si>
    <t>RECONSTRUCTION; MODELS; ENVIRONMENTS; GENERATION; EXTRACTION; SPACES; BIM</t>
  </si>
  <si>
    <t>Raw indoor datasets acquired from laser scanning may be tilted and contain outliers, which negatively influence the accuracy of subsequent tasks. Therefore, an automatic framework with three steps is provided to preprocess indoor point cloud. First, a hybrid segmentation method is proposed to extract planar primitives from noisy points. Then, a nonlinear optimization is designed to discover the dominant orientations of the building with topological constraints. Finally, the outdoor points are removed through a novel graph-cut formulation. The experiments on six various buildings indicates that our methods successfully reorient the point cloud and preserve the indoor points. In comparison with other methods, we achieve superior performance on visual inspection and evaluation metrics. Besides, our work only relies on the geometric po-sition and is not limited by Manhattan-World assumption. We present a reliable solution for in-door point cloud preprocessing that have potential for indoor modelling, floorplan generation, and objects detection.</t>
  </si>
  <si>
    <t>[Li, Feng; Tu, Yunlin; Zhang, Hua] China Univ Min &amp; Technol, Sch Environm &amp; Spatial Informat, Xuzhou 221116, Peoples R China; [Shi, Wenzhong] Hong Kong Polytech Univ, Smart Cities Res Inst, Dept Land Surveying &amp; Geoinformat, Hong Kong 999077, Peoples R China</t>
  </si>
  <si>
    <t>China University of Mining &amp; Technology; Hong Kong Polytechnic University</t>
  </si>
  <si>
    <t>Shi, WZ (corresponding author), Hong Kong Polytech Univ, Smart Cities Res Inst, Dept Land Surveying &amp; Geoinformat, Hong Kong 999077, Peoples R China.</t>
  </si>
  <si>
    <t>lswzshi@polyu.edu.hk</t>
  </si>
  <si>
    <t>National Natural Science Foundation of China [41971400]; Otto Poon Charitable Foundation Smart Cities Research Institute; Hong Kong Polytechnic University [CD03]</t>
  </si>
  <si>
    <t>National Natural Science Foundation of China(National Natural Science Foundation of China (NSFC)); Otto Poon Charitable Foundation Smart Cities Research Institute; Hong Kong Polytechnic University(Hong Kong Polytechnic University)</t>
  </si>
  <si>
    <t>Acknowledgments This work is supported in part by the National Natural Science Foundation of China (No. 41971400) and the Otto Poon Charitable Foundation Smart Cities Research Institute, the Hong Kong Polytechnic University (Work Program: CD03) . The author would like to thank Satoshi Ikehata, Claudio Mura and Kourosh Khoshelham for the acquisition of the 3D indoor point cloud. We thank the anonymous reviewers for their insightful comments on improving this article.</t>
  </si>
  <si>
    <t>10.1016/j.jobe.2023.107270</t>
  </si>
  <si>
    <t>O6XK3</t>
  </si>
  <si>
    <t>WOS:001045210500001</t>
  </si>
  <si>
    <t>Li, GF; Chen, Y; Chaudhary, S; Li, CS; Hao, DM; Yang, L; Li, CSR</t>
  </si>
  <si>
    <t>Li, Guangfei; Chen, Yu; Chaudhary, Shefali; Li, Clara S.; Hao, Dongmei; Yang, Lin; Li, Chiang-Shan R.</t>
  </si>
  <si>
    <t>Sleep dysfunction mediates the relationship between hypothalamic-insula connectivity and anxiety-depression symptom severity bidirectionally in young adults</t>
  </si>
  <si>
    <t>PSQI; Anxiety; rsFC; Hypothalamus; fMRI</t>
  </si>
  <si>
    <t>STATE FUNCTIONAL CONNECTIVITY; ALCOHOL-USE SEVERITY; SEX-DIFFERENCES; GENDER-DIFFERENCES; BASAL NUCLEUS; DISTURBANCE; BEHAVIOR; NEURONS; QUALITY; IMPULSIVITY</t>
  </si>
  <si>
    <t>Background: The hypothalamus plays a crucial role in regulating sleep-wake cycle and motivated behavior. Sleep disturbance is associated with impairment in cognitive and affective functions. However, how hypothalamic dysfunction may contribute to inter-related sleep, cognitive, and emotional deficits remain unclear. Methods: We curated the Human Connectome Project dataset and investigated how hypothalamic resting state functional connectivities (rsFC) were associated with sleep dysfunction, as evaluated by the Pittsburgh Sleep Quality Index (PSQI), cognitive performance, and subjective mood states in 687 young adults (342 women). Imaging data were processed with published routines and evaluated with a corrected threshold. We examined the inter-relationship amongst hypothalamic rsFC, PSQI score, and clinical measures with mediation analyses.Results: In whole-brain regressions with age and drinking severity as covariates, men showed higher hypotha-lamic rsFC with the right insula in correlation with PSQI score. No clusters were identified in women at the same threshold. Both hypothalamic-insula rsFC and PSQI score were significantly correlated with anxiety and depression scores in men. Further, mediation analyses showed that PSQI score mediated the relationship between hypothalamic-insula rsFC and anxiety/depression symptom severity bidirectionally in men.Conclusions: Sleep dysfunction is associated with negative emotions and hypothalamic rsFC with the right insula, a core structure of the interoceptive circuits. Notably, anxiety-depression symptom severity and altered hypothalamic-insula rsFC are related bidirectionally by poor sleep quality. These findings are specific to men, suggesting potential sex differences in the neural circuits regulating sleep and emotional states that need to be further investigated.</t>
  </si>
  <si>
    <t>[Li, Guangfei; Hao, Dongmei; Yang, Lin] Beijing Univ Technol, Fac Environm &amp; Life, Dept Biomed Engn, Beijing, Peoples R China; [Li, Guangfei; Hao, Dongmei; Yang, Lin] Beijing Int Sci &amp; Technol Cooperat Base Intelligen, Beijing, Peoples R China; [Chen, Yu; Chaudhary, Shefali; Li, Clara S.; Li, Chiang-Shan R.] Yale Univ, Sch Med, Dept Psychiat, New Haven, CT USA; [Li, Clara S.] Smith Coll, Northampton, MA USA; [Li, Chiang-Shan R.] Yale Univ, Sch Med, Dept Neurosci, New Haven, CT USA; [Li, Chiang-Shan R.] Yale Univ, Sch Med, Interdept Neurosci Program, New Haven, CT USA; [Li, Chiang-Shan R.] Yale Univ, Wu Tsai Inst, New Haven, CT USA; [Li, Guangfei] Beijing Univ Technol, 220 Life Sci Bldg,100 Pingleyuan, Beijing 100124, Peoples R China</t>
  </si>
  <si>
    <t>Beijing University of Technology; Yale University; Smith College; Yale University; Yale University; Yale University; Beijing University of Technology</t>
  </si>
  <si>
    <t>Li, GF (corresponding author), Beijing Univ Technol, 220 Life Sci Bldg,100 Pingleyuan, Beijing 100124, Peoples R China.</t>
  </si>
  <si>
    <t>guangfei.li@bjut.edu.cn</t>
  </si>
  <si>
    <t>Li, Chiang-shan/J-2813-2016</t>
  </si>
  <si>
    <t>Li, Chiang-shan/0000-0002-9393-1212; CHAUDHARY, SHEFALI/0000-0003-4505-0506</t>
  </si>
  <si>
    <t>McDonnell Center for Systems Neuroscience at Washington University</t>
  </si>
  <si>
    <t>&amp; nbsp;The current study is supported by China Postdoctoral Science Foundation (2022M720326) , National Key R &amp; amp;D Program of China (2019YFC0119700) and NIH grants DA051922 (C-SRL) . Data were provided by the Human Connectome Project, WU-Minn Consortium (Principal Investigators: David Van Essen and Kamil Ugurbil; 1U54MH091657) funded by the 16 NIH Institutes and Centers that support the NIH Blueprint for Neuroscience Research; and by theMcDonnell Center for Systems Neuroscience at Washington University.r McDonnell Center for Systems Neuroscience at Washington University.</t>
  </si>
  <si>
    <t>10.1016/j.neuroimage.2023.120340</t>
  </si>
  <si>
    <t>R9AK8</t>
  </si>
  <si>
    <t>WOS:001067206200001</t>
  </si>
  <si>
    <t>Li, GY; Li, HM; Li, XH; Huang, HP; Bian, HM; Liang, JT; Zhou, ZD</t>
  </si>
  <si>
    <t>Li, Guiyin; Li, HaiMei; Li, Xinhao; Huang, Huapeng; Bian, Huimin; Liang, Jintao; Zhou, Zhide</t>
  </si>
  <si>
    <t>A label-free electrochemical aptasensor for low-density lipoprotein detection using MoS2-Au-Fc nanosheets as a high-performance redox indicator</t>
  </si>
  <si>
    <t>Electrochemical aptasensor; Low-density lipoprotein; Aptamer; Label-free detection; MoS2-Au-Fc NSs</t>
  </si>
  <si>
    <t>GRAPHENE; NANOHYBRID; BIOSENSOR; PLATFORM</t>
  </si>
  <si>
    <t>Low-density lipoprotein (LDL) is a key biomarker involved in cardiovascular disease (CVD) risk assessment. Early-stage diagnosis of CVD complications by monitoring LDL levels could be a significant clinical tool and the first step toward adopting efficient therapy. Herein, a novel label-free electrochemical aptasensor for LDL detection was developed via the molybdenum disulfide-gold nanoparticle- ferrocene-carboxylic acid nanosheets (MoS2-Au-Fc NSs) enhanced signal amplification strategy. The MoS2-Au-Fc NSs were used not only as the biocompatible substrate for LDL aptamer (LDLapt) stabilization due to the increasing electrical conductivity and effective surface area, but also as a redox probe for monitoring the changes of the electrochemical signal because of good electroactive properties of Fc. The aptasensor fabrication steps were investigated by cyclic voltammetry (CV), electrochemical impedance spectroscopy (EIS), and scanning electron microscopy (SEM). When LDL was captured onto the sensor via the specific affinity of the LDLapt, the formed LDLapt-LDL complexes shed from the electrode and enhanced the electron transfer rate on the electrode surface, resulting in an increase of the peak current. Thus, LDL can be easily detected by measuring the changes of peak current. Under ideal circumstances, the aptasensor was linearly correlated with logarithm LDL concentration from 0.001 to 100.0 &amp; mu;g/mL with R2 of 0.9914, and a low detection limit of 0.42 ng/mL. Furthermore, the LDL detected by aptasensor in actual serum samples with good actual errors (0.73%-5.00%) and satisfactory relative standard deviations (RSDs) (0.04%- 0.84%). This study provides a new analytical method for measuring the level of LDL which is specifically upregulated in CVD patients at an early stage.</t>
  </si>
  <si>
    <t>[Li, Guiyin] Guangdong Univ Petrochem Technol, Coll Chem, Guandu Rd, Maoming 525000, Guangdong, Peoples R China; [Li, Guiyin; Li, HaiMei; Li, Xinhao; Huang, Huapeng; Liang, Jintao; Zhou, Zhide] Guilin Univ Elect Technol, Sch Life &amp; Environm Sci, Guilin 541004, Guangxi, Peoples R China; [Bian, Huimin] Guangxi Med Univ, Inst Life Sci, Nanning 530021, Guangxi, Peoples R China</t>
  </si>
  <si>
    <t>Guangdong University of Petrochemical Technology; Guilin University of Electronic Technology; Guangxi Medical University</t>
  </si>
  <si>
    <t>Liang, JT; Zhou, ZD (corresponding author), Guilin Univ Elect Technol, Sch Life &amp; Environm Sci, Guilin 541004, Guangxi, Peoples R China.;Bian, HM (corresponding author), Guangxi Med Univ, Inst Life Sci, Nanning 530021, Guangxi, Peoples R China.</t>
  </si>
  <si>
    <t>bhmwin@163.com; dxljt@guet.edu.com; zhouzhide10@guet.edu.com</t>
  </si>
  <si>
    <t>National Nature Science Foundation of China [62161009, 62261010]; Projects of Talents Recruit-ment of GDUPT [RC-XJ2022000401]; Open Fund of Guangxi Key Laboratory of Information Materials [211022-K]</t>
  </si>
  <si>
    <t>National Nature Science Foundation of China(National Natural Science Foundation of China (NSFC)); Projects of Talents Recruit-ment of GDUPT; Open Fund of Guangxi Key Laboratory of Information Materials</t>
  </si>
  <si>
    <t>Acknowledgments This work was supported by the National Nature Science Foundation of China (Nos. 62161009 and 62261010) , Projects of Talents Recruit-ment of GDUPT (RC-XJ2022000401) , the Open Fund of Guangxi Key Laboratory of Information Materials (No. 211022-K) .</t>
  </si>
  <si>
    <t>10.1016/j.microc.2023.109068</t>
  </si>
  <si>
    <t>O8OT2</t>
  </si>
  <si>
    <t>WOS:001046359300001</t>
  </si>
  <si>
    <t>Li, HR; He, MC; Qiao, YF; Cheng, T; Xiao, YM; Gu, ZJ</t>
  </si>
  <si>
    <t>Li, Hongru; He, Manchao; Qiao, Yafei; Cheng, Tai; Xiao, Yingming; Gu, Zhoujie</t>
  </si>
  <si>
    <t>Mode I fracture properties and energy partitioning of sandstone under coupled static-dynamic loading: Implications for rockburst</t>
  </si>
  <si>
    <t>Dynamic fracture toughness; Rockburst; Kinetic energy; Split Hopkinson pressure bar; Coupled static-dynamic loading</t>
  </si>
  <si>
    <t>SUGGESTED METHOD; ROCK; TOUGHNESS; PARAMETERS; BEHAVIOR; NUCLEATION; MECHANISM; STRENGTH; CRITERIA</t>
  </si>
  <si>
    <t>A series of mode I fracture tests under coupled static-dynamic loading were performed on notched semi-circular bend (NSCB) sandstone specimens using the split Hopkinson pressure bar (SHPB) to investigate the dynamic fracture properties and energy partitioning, which can help further elucidate the rockburst mechanism and its kinetic energy source. The fracture processes were captured by the high-speed camera and the digital image correlation (DIC) technique was used. Effects of dynamic loading rates and static pre-load were then analyzed and highlighted. As the loading rate increases, the crack initiation toughness, crack propagation velocity, crack propagation toughness and energy dissipation (including fracture energy and kinetic energy) all increase, while the proportion of kinetic energy decreases. Low pre-load increases the above parameters compared to no preload, while high pre-load does the opposite. All the above behaviors are then explained from a perspective of micro-fracture. The mismatch between energy release and energy requirement for fracture is the cause of the kinetic energy of rockburst, and it can be characterized by the established realistic energy release rate (RERR) index.</t>
  </si>
  <si>
    <t>[Li, Hongru; He, Manchao; Qiao, Yafei; Cheng, Tai; Xiao, Yingming] Tongji Univ, Coll Civil Engn, Dept Geotech Engn, Shanghai 200092, Peoples R China; [He, Manchao] China Univ Min &amp; Technol, State Key Lab Geomech &amp; Deep Underground Engn, Beijing 100083, Peoples R China; [Gu, Zhoujie] China Univ Min &amp; Technol, Sch Safety Engn, Xuzhou, Jiangsu, Peoples R China</t>
  </si>
  <si>
    <t>Tongji University; China University of Mining &amp; Technology; China University of Mining &amp; Technology</t>
  </si>
  <si>
    <t>Qiao, YF (corresponding author), Tongji Univ, Coll Civil Engn, Dept Geotech Engn, Shanghai 200092, Peoples R China.</t>
  </si>
  <si>
    <t>yafei.qiao@tongji.edu.cn</t>
  </si>
  <si>
    <t>Li, Hongru/0000-0001-9847-6733</t>
  </si>
  <si>
    <t>National Natural Science Founda- tion of China [41941018]; Key Technology Research on Water Diversion Project for Central Area of Yunnan Province</t>
  </si>
  <si>
    <t>National Natural Science Founda- tion of China(National Natural Science Foundation of China (NSFC)); Key Technology Research on Water Diversion Project for Central Area of Yunnan Province</t>
  </si>
  <si>
    <t>This research is supported by the National Natural Science Founda- tion of China (41941018) , and Key Technology Research on Water Diversion Project for Central Area of Yunnan Province.</t>
  </si>
  <si>
    <t>10.1016/j.tafmec.2023.104025</t>
  </si>
  <si>
    <t>P4ZD1</t>
  </si>
  <si>
    <t>WOS:001050752400001</t>
  </si>
  <si>
    <t>Li, JY; Ge, Q; Liu, B; Gao, ZP; Guo, CF</t>
  </si>
  <si>
    <t>Li, Jing-Yan; Ge, Qian; Liu, Bin; Gao, Zhen-Peng; Guo, Chun-Feng</t>
  </si>
  <si>
    <t>Quantification of cow milk in adulterated goat milk by HPLC-MS/MS using N-acetylglucosamine as a reliable biomarker of cow milk</t>
  </si>
  <si>
    <t>Cow milk; Goat milk; Adulteration; Biomarker; N-acetylglucosamine; HPLC-MS; MS</t>
  </si>
  <si>
    <t>GAS-CHROMATOGRAPHY; IDENTIFICATION</t>
  </si>
  <si>
    <t>This study aimed to develop a non-protein-based method for quantify cow milk in adulterated goat milk. The raw cow milk and raw goat milk samples were mixed separately with the same volume of cold acetone and centrifuged to remove their proteins. The supernatants were evaporated, and the residues were derivatized by silylation followed by GC-MS analysis. N-acetylglucosamine was identified as a thermostable non-protein biomarker of cow milk. Its concentration in the raw cow milk (146.7 mg/L) was 32 times higher than that in the raw goat milk. On this basis, a HPLC-MS/MS method using positive-ion electrospray ionization in parallel reaction monitoring mode was developed for quantifying cow milk in adulterated goat milk by determining peak area of the biomarker. The method showed good linearity over cow milk concentrations of 1-100% and could detect as low as 0.3% cow milk in adulterated goat milk. Besides, the method was characterized by a simple sample pretreatment process, rapid detection, high accuracy, and high precision. With this method, a sample could be analyzed in 10 min. The present study demonstrated the feasibility of quantifying cow milk in adulterated goat milk using N-acetylglucosamine as a biomarker of cow milk.</t>
  </si>
  <si>
    <t>[Li, Jing-Yan; Liu, Bin; Gao, Zhen-Peng; Guo, Chun-Feng] Northwest A&amp;F Univ, Coll Food Sci &amp; Engn, Yangling 712100, Peoples R China; [Ge, Qian] Ningxia Acad Agr &amp; Forestry Sci, Inst Qual Stand &amp; Testing Technol Agr Prod, Yinchuan 750002, Peoples R China</t>
  </si>
  <si>
    <t>Northwest A&amp;F University - China; Ningxia Academy of Agricultural &amp; Forestry Sciences</t>
  </si>
  <si>
    <t>Guo, CF (corresponding author), Northwest A&amp;F Univ, Coll Food Sci &amp; Engn, Yangling 712100, Peoples R China.</t>
  </si>
  <si>
    <t>gcf@nwafu.edu.cn</t>
  </si>
  <si>
    <t>National Natural Science Foundation of China [31972057]; Key Research and Development Program of Shaanxi Province [2023-YBNY-191]; Science and Technology Program of Shaanxi Administration for Market Regulation [2023KY13]</t>
  </si>
  <si>
    <t>National Natural Science Foundation of China(National Natural Science Foundation of China (NSFC)); Key Research and Development Program of Shaanxi Province; Science and Technology Program of Shaanxi Administration for Market Regulation</t>
  </si>
  <si>
    <t>This research was supported by the National Natural Science Foundation of China (NSFC, No. 31972057) , the Key Research and Development Program of Shaanxi Province (No. 2023-YBNY-191) , and the Science and Technology Program of Shaanxi Administration for Market Regulation (No. 2023KY13) .</t>
  </si>
  <si>
    <t>10.1016/j.jfca.2023.105583</t>
  </si>
  <si>
    <t>P8CJ4</t>
  </si>
  <si>
    <t>WOS:001052892800001</t>
  </si>
  <si>
    <t>Li, JR; Chen, JC; Zhao, XJ; Vomiero, A; Gong, X</t>
  </si>
  <si>
    <t>Li, Jiurong; Chen, Jiancang; Zhao, Xiujian; Vomiero, Alberto; Gong, Xiao</t>
  </si>
  <si>
    <t>High-loading of organosilane-grafted carbon dots in high-performance luminescent solar concentrators with ultrahigh transparency</t>
  </si>
  <si>
    <t>Luminescent solar concentrators; Organosilane-grafted carbon dots; UV shielding; Highly transparent; High-loading</t>
  </si>
  <si>
    <t>QUANTUM DOTS</t>
  </si>
  <si>
    <t>Carbon dots (CDs) generally suffer from aggregation-induced fluorescence quenching effect in solid-state, which significantly limits their application in photoelectric devices. Due to this effect, it is a great challenge to achieve high-transparency and high-performance luminescent solar concentrators (LSCs) based on CDs. Here, the syn-thesis of organosilane-grafted carbon dots (Si-CDs) is rationally designed by hydrothermal method using anhy-drous citric acid, ethanolamine and KH-792 as the reaction precursors. The obtained Si-CDs can be uniformly dispersed in the polyvinyl alcohol (PVA) matrix through the dehydration condensation reaction and hydrogen bonding between the silicon hydroxyl group of Si-CDs and the hydroxyl group of PVA. Based on this property, Si-CDs/PVA thin-film LSCs (5 x 5 x 0.2 cm3) with ultrahigh CD loading (25 wt%) and high transparency can be fabricated, exhibiting excellent absorption in the UV spectral region and about 90 % transmission in the visible range. Furthermore, the power conversion efficiency (PCE) of the LSCs can reach 2.09 % under a standard solar light and shows excellent stability even over 12 weeks. This synthetic design is expected to be beneficial for future development of CD synthesis and paves the way for the development of CDs-based photoelectric devices.</t>
  </si>
  <si>
    <t>[Li, Jiurong; Chen, Jiancang; Zhao, Xiujian; Gong, Xiao] Wuhan Univ Technol, State Key Lab Silicate Mat Architectures, Wuhan 430070, Peoples R China; [Vomiero, Alberto] Lulea Univ Technol, Dept Engn Sci &amp; Math, Div Mat Sci, S-97187 Lulea, Sweden; [Vomiero, Alberto] CaFoscari Univ Venice, Dept Mol Sci &amp; Nanosyst, Via Torino 155, I-30172 Venice, Italy</t>
  </si>
  <si>
    <t>Wuhan University of Technology; Lulea University of Technology; Universita Ca Foscari Venezia</t>
  </si>
  <si>
    <t>Gong, X (corresponding author), Wuhan Univ Technol, State Key Lab Silicate Mat Architectures, Wuhan 430070, Peoples R China.;Vomiero, A (corresponding author), Lulea Univ Technol, Dept Engn Sci &amp; Math, Div Mat Sci, S-97187 Lulea, Sweden.</t>
  </si>
  <si>
    <t>alberto.vomiero@ltu.se; xgong@whut.edu.cn</t>
  </si>
  <si>
    <t>Zhao, Xiujian/E-1499-2011; Vomiero, Alberto/F-7567-2010</t>
  </si>
  <si>
    <t>Zhao, Xiujian/0000-0002-2517-2605; Vomiero, Alberto/0000-0003-2935-1165</t>
  </si>
  <si>
    <t>National Natural Science Foundation of China [21774098]; Ministry of Education, China-111 Project; Kempe Foundation; Wallenberg Foundation; LTU Lab fund</t>
  </si>
  <si>
    <t>National Natural Science Foundation of China(National Natural Science Foundation of China (NSFC)); Ministry of Education, China-111 Project(Ministry of Education, China - 111 Project); Kempe Foundation; Wallenberg Foundation; LTU Lab fund</t>
  </si>
  <si>
    <t>This work was supported by the National Natural Science Foundation of China (No. 21774098), and the Ministry of Education, China -111 Project (No. B18038). A. Vomiero acknowledges the Kempe Foundation, the Wallenberg Foundation and LTU Lab fund for financial support.</t>
  </si>
  <si>
    <t>10.1016/j.nanoen.2023.108674</t>
  </si>
  <si>
    <t>P0GR6</t>
  </si>
  <si>
    <t>WOS:001047514800001</t>
  </si>
  <si>
    <t>Li, SS; Lu, LP</t>
  </si>
  <si>
    <t>Li, Shanshan; Lu, Liping</t>
  </si>
  <si>
    <t>No-bailout event and local bank-government nexus in China</t>
  </si>
  <si>
    <t>No-bailout event; Market discipline; Bank-government nexus</t>
  </si>
  <si>
    <t>YIELD SPREADS; MARKET DISCIPLINE; RISK PREMIA; SOVEREIGN; DECENTRALIZATION; FEDERALISM; TOO; EMU</t>
  </si>
  <si>
    <t>We examine the impact of a no-bailout event on the local bank-government nexus in China in the context of a multi-level fiscal federalism. Using a difference-in-difference (DID) model, we find that the no-bailout event leads to a tighter relationship between the issuance premia of negotiable certificates of deposit (NCDs) by local banks and the fiscal strength of local governments. It also induces a higher divergence of issuance premia among cities with different fiscal strengths and local banks of different sizes. The divergence is weaker among province-level banks. We also find that the spread of urban construction investment bonds (UCIBs) decreases more in fiscally stronger cities, while that of provincial government bonds declines more in fiscally weaker provinces. The market discipline on governments is strengthened at the city level but weakened at the province level. It suggests that the decline of implicit guarantee, especially that of higher-level governments, is an essential channel for the changes of local bank-government nexus after the event.</t>
  </si>
  <si>
    <t>[Li, Shanshan] Renmin Univ China, Chongyang Inst Financial Studies, 6th Floor,Culture Bldg,59 Zhongguancun Ave, Beijing 100872, Peoples R China; [Lu, Liping] Renmin Univ China, Sch Finance, Room 812,Mingde Bldg,59 Zhongguancun Ave, Beijing 100872, Peoples R China</t>
  </si>
  <si>
    <t>Renmin University of China; Renmin University of China</t>
  </si>
  <si>
    <t>Lu, LP (corresponding author), Renmin Univ China, Sch Finance, Room 812,Mingde Bldg,59 Zhongguancun Ave, Beijing 100872, Peoples R China.</t>
  </si>
  <si>
    <t>susanliss@ruc.edu.cn; luliping@ruc.edu.cn</t>
  </si>
  <si>
    <t>Asia Research Center at Renmin University of China [23YYA005]</t>
  </si>
  <si>
    <t>Asia Research Center at Renmin University of China</t>
  </si>
  <si>
    <t>Funding Lu acknowledges the fund from Asia Research Center at Renmin University of China (Project No. 23YYA005) .</t>
  </si>
  <si>
    <t>10.1016/j.irfa.2023.102793</t>
  </si>
  <si>
    <t>P1CA5</t>
  </si>
  <si>
    <t>WOS:001048074300001</t>
  </si>
  <si>
    <t>Li, WF; Gurdziel, K; Pitchaikannu, A; Gupta, N; Hazlett, LD; Xu, SB</t>
  </si>
  <si>
    <t>Li, Weifeng; Gurdziel, Katherine; Pitchaikannu, Ahalya; Gupta, Naman; Hazlett, Linda D.; Xu, Shunbin</t>
  </si>
  <si>
    <t>The miR-183/96/182 cluster is a checkpoint for resident immune cells and shapes the cellular landscape of the cornea</t>
  </si>
  <si>
    <t>OCULAR SURFACE</t>
  </si>
  <si>
    <t>Single cell RNA sequencing (scRNA seq); microRNAs (miRNAs); miR-183/96/182 cluster (miR-183C); Corneal resident immune cells (CRICs); Resident macrophages (ResM9); Corneal resident fibrocytes (CRFs); Corneal resident myeloid cells (CRMCs); Corneal resident lymphocytes (CRL); Corneal resident neutrophils (CRNs)</t>
  </si>
  <si>
    <t>DELTA-T-CELLS; POLYMORPHONUCLEAR NEUTROPHIL INFLUX; WOUND-HEALING RESPONSE; INNATE LYMPHOID-CELLS; GROWTH-FACTOR-BETA; OCULAR SURFACE; PSEUDOMONAS-AERUGINOSA; CIRCULATING FIBROCYTES; GENE-EXPRESSION; NKT CELLS</t>
  </si>
  <si>
    <t>Purpose: The conserved miR-183/96/182 cluster (miR-183C) regulates both corneal sensory innervation and corneal resident immune cells (CRICs). This study is to uncover its role in CRICs and in shaping the corneal cellular landscape at a single-cell (sc) level.Methods: Corneas of naive, young adult [2 and 6 months old (mo)], female miR-183C knockout (KO) mice and wild-type (WT) littermates were harvested and dissociated into single cells. Dead cells were removed using a Dead Cell Removal kit. CD45+ CRICs were enriched by Magnetic Activated Cell Sorting (MACS). scRNA libraries were constructed and sequenced followed by comprehensive bioinformatic analyses.Results: The composition of major cell types of the cornea stays relatively stable in WT mice from 2 to 6 mo, however the compositions of subtypes of corneal cells shift with age. Inactivation of miR-183C disrupts the stability of the major cell-type composition and age-related transcriptomic shifts of subtypes of corneal cells. The diversity of CRICs is enhanced with age. Naive mouse cornea contains previously-unrecognized resident fibrocytes and neutrophils. Resident macrophages (ResM9) adopt cornea-specific function by expressing abundant extracellular matrix (ECM) and ECM organization-related genes. Naive cornea is endowed with partially differentiated proliferative ResM9 and contains microglia-like M9. Resident lymphocytes, including innate lymphoid cells (ILCs), NKT and &amp; gamma;8T cells, are the major source of innate IL-17a. miR-183C limits the diversity and polarity of ResM9.Conclusion: miR-183C serves as a checkpoint for CRICs and imposes a global regulation of the cellular landscape of the cornea.</t>
  </si>
  <si>
    <t>[Li, Weifeng] McKusick Nathans Inst Genet Med, Dept Genet Med, Predoctoral Training Program Human Genet, Baltimore, MD USA; [Li, Weifeng] Johns Hopkins Univ, Wilmer Eye Inst, Sch Med, Baltimore, MD USA; [Gurdziel, Katherine] Wayne State Univ, Genome Sci Core, Detroit, MI USA; [Pitchaikannu, Ahalya; Gupta, Naman; Hazlett, Linda D.; Xu, Shunbin] Wayne State Univ, Sch Med, Dept Ophthalmol Visual &amp; Anat Sci, Detroit, MI USA; [Xu, Shunbin] Wayne State Univ, Sch Med, Dept Ophthalmol Visual &amp; Anat Sci, 540 E Canfield St, Detroit, MI 48201 USA</t>
  </si>
  <si>
    <t>Johns Hopkins University; Johns Hopkins Medicine; Wayne State University; Wayne State University; Wayne State University</t>
  </si>
  <si>
    <t>Xu, SB (corresponding author), Wayne State Univ, Sch Med, Dept Ophthalmol Visual &amp; Anat Sci, Detroit, MI USA.;Xu, SB (corresponding author), Wayne State Univ, Sch Med, Dept Ophthalmol Visual &amp; Anat Sci, 540 E Canfield St, Detroit, MI 48201 USA.</t>
  </si>
  <si>
    <t>sxu@med.wayne.edu</t>
  </si>
  <si>
    <t>National Eye Institute, National Institutes of Health [R01 EY02605902, R01EY016058, P30EY004068]; Research to Prevent Blindness</t>
  </si>
  <si>
    <t>National Eye Institute, National Institutes of Health(United States Department of Health &amp; Human ServicesNational Institutes of Health (NIH) - USANIH National Eye Institute (NEI)); Research to Prevent Blindness(Research to Prevent Blindness (RPB))</t>
  </si>
  <si>
    <t>This work was supported by grants from the National Eye Institute, National Institutes of Health (R01 EY02605902 to SX; R01EY016058 and P30EY004068 to LDH) , and by a Research to Prevent Blindness unrestricted grant to the Department of Ophthalmology, Visual and Anatomical Science, Wayne State University School of Medicine.</t>
  </si>
  <si>
    <t>1542-0124</t>
  </si>
  <si>
    <t>1937-5913</t>
  </si>
  <si>
    <t>OCUL SURF</t>
  </si>
  <si>
    <t>Ocul. Surf.</t>
  </si>
  <si>
    <t>10.1016/j.jtos.2023.07.012</t>
  </si>
  <si>
    <t>S2GS3</t>
  </si>
  <si>
    <t>WOS:001069410200001</t>
  </si>
  <si>
    <t>Li, XM; Huang, Y; Liu, MQ; Zhang, MQ; Liu, Y; Teng, T; Liu, XE; Yu, Y; Jiang, YL; Ouyang, X; Xu, M; Lv, FJ; Long, YC; Zhou, XY</t>
  </si>
  <si>
    <t>Li, Xuemei; Huang, Yang; Liu, Mengqi; Zhang, Manqi; Liu, Yang; Teng, Teng; Liu, Xueer; Yu, Ying; Jiang, Yuanliang; Ouyang, Xuan; Xu, Ming; Lv, Fajin; Long, Yicheng; Zhou, Xinyu</t>
  </si>
  <si>
    <t>Childhood trauma is linked to abnormal static-dynamic brain topology in adolescents with major depressive disorder</t>
  </si>
  <si>
    <t>INTERNATIONAL JOURNAL OF CLINICAL AND HEALTH PSYCHOLOGY</t>
  </si>
  <si>
    <t>Childhood trauma; Major depressive disorder; Adolescent; Functional neuroimaging; Brain network</t>
  </si>
  <si>
    <t>TEST-RETEST RELIABILITY; DEFAULT-MODE NETWORK; FUNCTIONAL CONNECTIVITY; FMRI; ORGANIZATION; ARCHITECTURE; METAANALYSIS; ADVERSITIES; ASSOCIATION; RUMINATION</t>
  </si>
  <si>
    <t>Childhood trauma is a leading risk factor for adolescents developing major depressive disorder (MDD); however, the underlying neuroimaging mechanisms remain unclear. This study aimed to investigate the association among childhood trauma, MDD and brain dysfunctions by combining static and dynamic brain network models. We recruited 46 first-episode drug-naive adolescent MDD patients with childhood trauma (MDD-CT), 53 MDD patients without childhood trauma (MDD-nCT), and 90 healthy controls (HCs) for resting-state functional magnetic resonance imaging (fMRI) scans; all participants were aged 13-18 years. Compared to the HCs and MDD-nCT groups, the MDD-CT group exhibited significantly higher global and local efficiency in static brain networks and significantly higher temporal correlation coefficients in dynamic brain network models at the whole-brain level, and altered the local efficiency of default mode network (DMN) and temporal correlation coefficients of DMN, salience (SAN), and attention (ATN) networks at the local perspective. Correlation analysis indicated that altered brain network features and clinical symptoms, childhood trauma, and particularly emotional neglect were highly correlated in adolescents with MDD. This study may provide new evidence for the dysconnectivity hypothesis regarding the associations between childhood trauma and MDD in adolescents from the perspectives of both static and dynamic brain topology.</t>
  </si>
  <si>
    <t>[Li, Xuemei; Teng, Teng; Liu, Xueer; Jiang, Yuanliang; Zhou, Xinyu] Chongqing Med Univ, Affiliated Hosp 1, Dept Psychiat, Chongqing, Peoples R China; [Huang, Yang; Liu, Mengqi; Liu, Yang; Lv, Fajin] Chongqing Med Univ, Affiliated Hosp 1, Dept Radiol, Chongqing, Peoples R China; [Zhang, Manqi; Ouyang, Xuan; Long, Yicheng] Cent South Univ, Xiangya Hosp 2, Dept Psychiat, Changsha, Peoples R China; [Zhang, Manqi; Ouyang, Xuan; Long, Yicheng] Cent South Univ, Xiangya Hosp 2, Natl Clin Res Ctr Mental Disorders, Changsha, Peoples R China; [Yu, Ying] Chongqing Med Univ, Affiliated Hosp 1, Dept Neurol, Chongqing, Peoples R China; [Xu, Ming] Chinese Acad Sci, Inst Automat, Brainnetome Ctr, Beijing, Peoples R China; [Xu, Ming] Chinese Acad Sci, Inst Automat, Natl Lab Pattern Recognit, Beijing, Peoples R China; [Xu, Ming] Univ Chinese Acad Sci, Sch Artificial Intelligence, Beijing, Peoples R China; [Long, Yicheng] Cent South Univ, Xiangya Hosp 2, Dept Psychiat, 139 Renmin Middle Rd, Changsha, Peoples R China; [Long, Yicheng] Cent South Univ, Xiangya Hosp 2, Natl Clin Res Ctr Mental Disorders, 139 Renmin Middle Rd, Changsha, Peoples R China; [Zhou, Xinyu] Chongqing Med Univ, Affiliated Hosp 1, Dept Psychiat, 1 Youyi Rd, Chongqing, Peoples R China</t>
  </si>
  <si>
    <t>Chongqing Medical University; Chongqing Medical University; Central South University; Central South University; Chongqing Medical University; Chinese Academy of Sciences; Institute of Automation, CAS; Chinese Academy of Sciences; Institute of Automation, CAS; Chinese Academy of Sciences; University of Chinese Academy of Sciences, CAS; Central South University; Central South University; Chongqing Medical University</t>
  </si>
  <si>
    <t>Long, YC (corresponding author), Cent South Univ, Xiangya Hosp 2, Dept Psychiat, 139 Renmin Middle Rd, Changsha, Peoples R China.;Long, YC (corresponding author), Cent South Univ, Xiangya Hosp 2, Natl Clin Res Ctr Mental Disorders, 139 Renmin Middle Rd, Changsha, Peoples R China.;Zhou, XY (corresponding author), Chongqing Med Univ, Affiliated Hosp 1, Dept Psychiat, 1 Youyi Rd, Chongqing, Peoples R China.</t>
  </si>
  <si>
    <t>yichenglong@csu.edu.cn; zhouxinyu@cqmu.edu.cn</t>
  </si>
  <si>
    <t>STI2030-Major Projects [82271565]; National Natural Science Foundation of China [82201692, cstc2020jcyj-jqX0024]; Chongqing Outstanding Youth Foundation; [2022ZD0212900]</t>
  </si>
  <si>
    <t>STI2030-Major Projects; National Natural Science Foundation of China(National Natural Science Foundation of China (NSFC)); Chongqing Outstanding Youth Foundation;</t>
  </si>
  <si>
    <t>This work was supported by the STI2030-Major Projects (2022ZD0212900 to XZ) , the National Natural Science Foundation of China (82271565 to XZ, 82201692 to YL) and Chongqing Outstanding Youth Foundation (cstc2020jcyj-jqX0024 to XZ) .</t>
  </si>
  <si>
    <t>1697-2600</t>
  </si>
  <si>
    <t>1576-7329</t>
  </si>
  <si>
    <t>INT J CLIN HLTH PSYC</t>
  </si>
  <si>
    <t>Int. J. Clin. Health Psychol.</t>
  </si>
  <si>
    <t>OCT-DEC</t>
  </si>
  <si>
    <t>10.1016/j.ijchp.2023.100401</t>
  </si>
  <si>
    <t>Psychology, Clinical</t>
  </si>
  <si>
    <t>P8ZA3</t>
  </si>
  <si>
    <t>WOS:001053489700001</t>
  </si>
  <si>
    <t>Li, Y; Liu, HY; Yang, MJ; Liu, D; Songa, JQ; Lao, ZQ; Chen, Y; Yang, Y</t>
  </si>
  <si>
    <t>Li, Yang; Liu, Han-Yu; Yang, Ming-Jiang; Liu, Dong; Songa, Jia-Qi; Lao, Zhiqi; Chen, Yue; Yang, Yang</t>
  </si>
  <si>
    <t>Preparation of eicosavalent triazolylsialoside-conjugated human serum albumin as a dual hemagglutinin/neuraminidase inhibitor and virion adsorbent for the prevention of influenza infection</t>
  </si>
  <si>
    <t>CARBOHYDRATE RESEARCH</t>
  </si>
  <si>
    <t>Multivalent sialoside; Human serum albumin conjugate; Influenza hemagglutinin/neuraminidase; inhibitor; Surface plasmon resonance</t>
  </si>
  <si>
    <t>VIRUS NEURAMINIDASE; RECEPTOR-BINDING; ZANAMIVIR; RESISTANT; POTENT; HEMAGGLUTININ; OSELTAMIVIR; TRANSMISSION; RECOGNITION; SPECIFICITY</t>
  </si>
  <si>
    <t>A triazolylsialoside-human serum albumin conjugate was prepared as a multivalent hemagglutinin and neuraminidase inhibitor using a di-(N-succinimidyl) adipate strategy. Matrix-Assisted Laser Desorption/IonizationTime of Flight-Mass Spectrometry (MALDI-TOF-MS) indicated that five tetravalent sialyl galactosides were grafted onto the protein backbone resulting in an eicosavalent triazolylsialoside-protein complex. Compared with monomeric sialic acid, molecular interaction studies showed that the synthetic pseudo-glycoprotein bound tightly not only to hemagglutinin (HA)/neuraminidase (NA) but also to mutated drug-resistant NA on the surface of the influenza virus with a dissociation constant (KD) in the 1 &amp; mu;M range, attributed to the cluster effect. Moreover, this glycoconjugate exhibited potent antiviral activity against a broad spectrum of virus strains and showed no cytotoxicity towards Human Umbilical Vein Endothelial Cells (HUVECs) and Madin-Darby canine kidney (MDCK) cells at high concentrations. Further mechanistic studies demonstrated this multivalent sialyl conjugate showed strong capture and trapping of influenza virions, thus disrupting the ability of the influenza virus to infect host cells. This research lays the experimental foundation for the development of new antiviral agents based on multivalent sialic acid-protein conjugates.</t>
  </si>
  <si>
    <t>[Li, Yang; Liu, Han-Yu; Yang, Ming-Jiang; Liu, Dong; Songa, Jia-Qi; Yang, Yang] Tianjin Univ Sci &amp; Technol, Coll Biotechnol, China Int Sci &amp; Technol Cooperat Base Food Nutr Sa, 29 13th Ave, Tianjin 300457, Peoples R China; [Lao, Zhiqi; Chen, Yue] Jinan Univ, Shenzhen Peoples Hosp, Clin Med Coll 2, Dept Med Lab, Shenzhen 518020, Guangdong, Peoples R China; [Lao, Zhiqi] Jinan Univ, Integrated Chinese &amp; Western Med Postdoctoral Res, Guangzhou 510632, Peoples R China</t>
  </si>
  <si>
    <t>Tianjin University Science &amp; Technology; Jinan University; Jinan University</t>
  </si>
  <si>
    <t>Yang, Y (corresponding author), Tianjin Univ Sci &amp; Technol, Coll Biotechnol, China Int Sci &amp; Technol Cooperat Base Food Nutr Sa, 29 13th Ave, Tianjin 300457, Peoples R China.;Lao, ZQ; Chen, Y (corresponding author), Jinan Univ, Shenzhen Peoples Hosp, Clin Med Coll 2, Dept Med Lab, Shenzhen 518020, Guangdong, Peoples R China.</t>
  </si>
  <si>
    <t>jimlao@126.com; chenyue_dr@163.com; yyang@tust.edu.cn</t>
  </si>
  <si>
    <t>Li, Yang/0000-0002-6288-0643</t>
  </si>
  <si>
    <t>National Science Foundation of China [2020STCV0019]; Tackling Key Research Project for New Corona Virus Prevention and Treatment of Tianjin University of Science amp; Technology; [81773583]</t>
  </si>
  <si>
    <t>National Science Foundation of China(National Natural Science Foundation of China (NSFC)); Tackling Key Research Project for New Corona Virus Prevention and Treatment of Tianjin University of Science amp; Technology;</t>
  </si>
  <si>
    <t>This work was financially supported by the National Science Foundation of China (81773583) and the Tackling Key Research Project for New Corona Virus Prevention and Treatment of Tianjin University of Science &amp; amp; Technology (2020STCV0019) . We thank National Institute for Viral Disease Control and Prevention, Chinese CDC for the viral strains and Research Centre of Modern Analytical Technology, Tianjin Uni-versity of Science &amp; amp; Technology for NMR, HRMS and MALDI-TOF characterization and SPR analysis.</t>
  </si>
  <si>
    <t>0008-6215</t>
  </si>
  <si>
    <t>1873-426X</t>
  </si>
  <si>
    <t>CARBOHYD RES</t>
  </si>
  <si>
    <t>Carbohydr. Res.</t>
  </si>
  <si>
    <t>10.1016/j.carres.2023.108918</t>
  </si>
  <si>
    <t>Biochemistry &amp; Molecular Biology; Chemistry, Applied; Chemistry, Organic</t>
  </si>
  <si>
    <t>R3IL8</t>
  </si>
  <si>
    <t>WOS:001063321600001</t>
  </si>
  <si>
    <t>Li, ZB; Huang, ZG; Guo, LX; Shan, LF; Yu, GY; Chong, ZQ; Zhang, Y</t>
  </si>
  <si>
    <t>Li, Zhenbin; Huang, Zhigang; Guo, Lingxu; Shan, Lianfei; Yu, Guangyao; Chong, Zhiqiang; Zhang, Yue</t>
  </si>
  <si>
    <t>Cognitive knowledge graph generation for grid fault handling based on attention mechanism combined with multi-modal factor fusion</t>
  </si>
  <si>
    <t>COMPUTERS &amp; ELECTRICAL ENGINEERING</t>
  </si>
  <si>
    <t>Knowledge graph; Multi-modal; Variational auto-encoder; Attention mechanism; TransR</t>
  </si>
  <si>
    <t>With the rapid development of artificial intelligence, reinforcement learning frameworks combined with knowledge graph have been widely applied in power grid fault detection and handling. However, the existing algorithms lack the consideration of multi-modal factors, which makes it difficult to improve the accuracy of prediction. To solve the above problems, we propose the cognitive knowledge graph generation algorithm for grid fault handling based on the attention mechanism combined with multi-modal factors fusion. It uses the variational auto-encoder to initialize the embedding of power equipment nodes with different modal factor constraints and dynamically fuses the embeddings of nodes based on attention mechanism, then we train the representation of nodes and relations based on TransR and construct a cognitive knowledge graph of power grid fault handling. Our algorithm is validated on the power grid fault handling data set, and the accuracy is improved.</t>
  </si>
  <si>
    <t>[Li, Zhenbin; Yu, Guangyao; Chong, Zhiqiang] State Grid Tianjin Elect Power Res Inst, Tianjin 300392, Peoples R China; [Huang, Zhigang; Guo, Lingxu] State Grid Tianjin Elect Power Co, Tianjin 300010, Peoples R China; [Yu, Guangyao; Chong, Zhiqiang] Tianjin Key Lab Internet Things Elect, Tianjin 300392, Peoples R China; [Shan, Lianfei; Zhang, Yue] NARI Grp Corp Co Ltd, State Grid Elect Power Res Inst Co Ltd, Nanjing 211106, Peoples R China; [Zhang, Yue] Beijing KeDong Elect Power Control Syst Co Ltd, Beijing 100192, Peoples R China</t>
  </si>
  <si>
    <t>State Grid Corporation of China</t>
  </si>
  <si>
    <t>Zhang, Y (corresponding author), NARI Grp Corp Co Ltd, State Grid Elect Power Res Inst Co Ltd, Nanjing 211106, Peoples R China.</t>
  </si>
  <si>
    <t>zhenbli@163.com; zhigang_h@163.com; lingxuguo@163.com; lianfshan@163.com; guangy_yu@163.com; zhiqchong@163.com; yuezhang@sgcc.ac.cn</t>
  </si>
  <si>
    <t>State Grid Tianjin electric power company science and technology project [KJ21-1-1]</t>
  </si>
  <si>
    <t>State Grid Tianjin electric power company science and technology project</t>
  </si>
  <si>
    <t>This work was supported by State Grid Tianjin electric power company science and technology project (Research on Human-Machine Hybrid Collaborative Decision-making Technology for Power Grid Dispatch and Control, No. KJ21-1-1).</t>
  </si>
  <si>
    <t>0045-7906</t>
  </si>
  <si>
    <t>1879-0755</t>
  </si>
  <si>
    <t>COMPUT ELECTR ENG</t>
  </si>
  <si>
    <t>Comput. Electr. Eng.</t>
  </si>
  <si>
    <t>10.1016/j.compeleceng.2023.108855</t>
  </si>
  <si>
    <t>Computer Science, Hardware &amp; Architecture; Computer Science, Interdisciplinary Applications; Engineering, Electrical &amp; Electronic</t>
  </si>
  <si>
    <t>R1CQ9</t>
  </si>
  <si>
    <t>WOS:001061793700001</t>
  </si>
  <si>
    <t>Li, ZL; Rahman, M; Kaaliveetil, S; Haridas, N; Cheng, YH; Chande, C; Basuray, S</t>
  </si>
  <si>
    <t>Li, Zhenglong; Rahman, Maryom; Kaaliveetil, Sreerag; Haridas, Niranjan; Cheng, Yu-Hsuan; Chande, Charmi; Basuray, Sagnik</t>
  </si>
  <si>
    <t>Critical reviews on recent states and challenges in spectroelectrochemistry with applications to microfluidic systems</t>
  </si>
  <si>
    <t>CURRENT OPINION IN ELECTROCHEMISTRY</t>
  </si>
  <si>
    <t>Spectroelectrochemistry; Nuclear magnetic resonance SEC; Dark field; microscopy SEC</t>
  </si>
  <si>
    <t>NANOPARTICLES; OXIDATION; ELECTRODES</t>
  </si>
  <si>
    <t>Spectroelectrochemistry (SEC) is an integrated technique that marries the best of electrochemistry and spectroscopy during the electron transfer process. The review presents the recent developments in two not-frequently used but promising techniques (nuclear magnetic resonance (NMR) SEC and dark field microscopy (DFM) SEC). The dissemination of these two SEC techniques is required for their future widespread applications. The research challenges and development perspectives of NMR and DFM SEC are elaborated. Furthermore, it is found that employing SEC techniques in microfluidics is becoming a research hotspot. Therefore, Raman and ultraviolet-Visiblevisible-based SEC techniques in microfluidics are discussed. The last section summarizes and elaborates on the inherent challenges with SEC.</t>
  </si>
  <si>
    <t>[Li, Zhenglong; Rahman, Maryom; Kaaliveetil, Sreerag; Haridas, Niranjan; Cheng, Yu-Hsuan; Chande, Charmi; Basuray, Sagnik] New Jersey Inst Technol, Dept Chem &amp; Mat Engn, Newark, NJ 07102 USA; [Basuray, Sagnik] New Jersey Inst Technol, Dept Biomed Engn, Newark, NJ 07102 USA</t>
  </si>
  <si>
    <t>New Jersey Institute of Technology; New Jersey Institute of Technology</t>
  </si>
  <si>
    <t>Basuray, S (corresponding author), New Jersey Inst Technol, Dept Chem &amp; Mat Engn, Newark, NJ 07102 USA.;Basuray, S (corresponding author), New Jersey Inst Technol, Dept Biomed Engn, Newark, NJ 07102 USA.</t>
  </si>
  <si>
    <t>sbasuray@njit.edu</t>
  </si>
  <si>
    <t>Sagnik Basuray's NSF [1751759]; Career: ASSURED electrochemical platform for multiplexed detection of Cancer Biomarker Panel using Shear Enhanced Nanoporous Capacitive Electrodes; New Jersey Health Foundation [PC 54-20]</t>
  </si>
  <si>
    <t>Sagnik Basuray's NSF; Career: ASSURED electrochemical platform for multiplexed detection of Cancer Biomarker Panel using Shear Enhanced Nanoporous Capacitive Electrodes; New Jersey Health Foundation</t>
  </si>
  <si>
    <t>This manuscript is supported by Sagnik Basuray's NSF grant #1751759, Career: ASSURED electrochemical platform for multiplexed detection of Cancer Biomarker Panel using Shear Enhanced Nanoporous Capacitive Electrodes and a New Jersey Health Foundation Grant, #PC 54-20, ESSENCE-A Selective and Sensitive Electrochemical POC Platform for Liquid Biopsy.</t>
  </si>
  <si>
    <t>2451-9103</t>
  </si>
  <si>
    <t>CURR OPIN ELECTROCHE</t>
  </si>
  <si>
    <t>Curr. Opin. Electrochem.</t>
  </si>
  <si>
    <t>10.1016/j.coelec.2023.101357</t>
  </si>
  <si>
    <t>Chemistry, Physical; Electrochemistry; Materials Science, Multidisciplinary</t>
  </si>
  <si>
    <t>Chemistry; Electrochemistry; Materials Science</t>
  </si>
  <si>
    <t>Q9XK9</t>
  </si>
  <si>
    <t>WOS:001060972000001</t>
  </si>
  <si>
    <t>Li, Z; Zhang, GB; Pan, KW; Niu, XJ; Shu-Chien, AC; Chen, T; Zhang, X; Wu, XG</t>
  </si>
  <si>
    <t>Li, Zhi; Zhang, Guangbao; Pan, Kewu; Niu, Xingjian; Shu-Chien, Alexander Chong; Chen, Ting; Zhang, Xin; Wu, Xugan</t>
  </si>
  <si>
    <t>Functional transcriptome reveals hepatopancreatic lipid metabolism during the molting cycle of the Chinese mitten crab Eriocheir sinensis</t>
  </si>
  <si>
    <t>COMPARATIVE BIOCHEMISTRY AND PHYSIOLOGY A-MOLECULAR &amp; INTEGRATIVE PHYSIOLOGY</t>
  </si>
  <si>
    <t>Crustacean molting; Lipid metabolism; Hepatopancreas; Transcriptome; Triacylglyceride</t>
  </si>
  <si>
    <t>DIGESTIVE ENZYME; GROWTH</t>
  </si>
  <si>
    <t>Crustacean molting is highly related to energy and lipid metabolism. This study was conducted to detect the changes of total lipids (TL), triacylglyceride (TAG), phospholipid (PL) and lipid droplets in hepatopancreas, and then to investigate the gene expression patterns related to hepatopancreatic lipid metabolism during the molting cycle of Chinese mitten crab Eriocheir sinensis. Hepatopancreatic TL and TAG increased significantly from postmolt stage to pre-molt stage, then decreased significantly from pre-molt stage to ecdysis stage, which is consistent to the changes of neutral lipid-rich adipocytes in hepatopancreas. By transcriptomic analysis, 65,325 transcripts were sequenced and assembled, and 28,033 transcripts were annotated. Most genes were related to energy metabolism, and the enriched genes were involved in carbohydrate and lipid metabolism and biosynthesis, especially in de novo synthesis of fatty acids and TAG, and ketone body production. Compared to the inter-molt stages, acetyl-CoA carboxylase, fatty acid synthase and other genes related to the synthesis of fatty acids were upregulated in the pre-molt stage. TAG synthesis related genes, including Glycerol-3-phosphate acyltransferase and 1-acylglycerol-3-phosphate acyltransferases, were upregulated in the post-molt stage compared to the intermolt stage. The expression of ketone body-related genes had no significant changes during the molting cycle. Compared to the TAG synthetic pathway, ketone body biosynthesis may contribute less/secondarily to fatty acid metabolic processes, which could be involved in the other physiological processes or metabolism. In conclusion, these results showed that TAG is the major lipid deposition during inter- and pre-molt stages, and the most genes are related to the fatty acids and TAG metabolism in the hepatopancreas during the molting cycle of E. sinensis.</t>
  </si>
  <si>
    <t>[Li, Zhi; Zhang, Guangbao; Pan, Kewu; Niu, Xingjian; Wu, Xugan] Shanghai Ocean Univ, Shanghai Collaborat Innovat Ctr Aquat Anim Genet &amp;, Shanghai 201306, Peoples R China; [Li, Zhi; Chen, Ting; Zhang, Xin] Chinese Acad Sci, South China Sea Inst Oceanol, CAS Key Lab Trop Marine Bioresources &amp; Ecol LMB, Guangzhou, Peoples R China; [Shu-Chien, Alexander Chong; Wu, Xugan] Univ Sains Malaysia, Sch Biol Sci, Minden 11800, Penang, Malaysia; [Wu, Xugan] Shanghai Ocean Univ, Ctr Res Environm Ecol &amp; Fish Nutr, Minist Agr, Shanghai 201306, Peoples R China; [Wu, Xugan] Shanghai Ocean Univ, Coll Fisheries &amp; Life Sci, Key Lab Explorat &amp; Utilizat Aquat Genet Resources, Shanghai, Peoples R China</t>
  </si>
  <si>
    <t>Shanghai Ocean University; Chinese Academy of Sciences; South China Sea Institute of Oceanology, CAS; Universiti Sains Malaysia; Shanghai Ocean University; Ministry of Agriculture &amp; Rural Affairs; Shanghai Ocean University</t>
  </si>
  <si>
    <t>Wu, XG (corresponding author), Shanghai Ocean Univ, Shanghai Collaborat Innovat Ctr Aquat Anim Genet &amp;, Shanghai 201306, Peoples R China.;Zhang, X (corresponding author), Chinese Acad Sci, South China Sea Inst Oceanol, CAS Key Lab Trop Marine Bioresources &amp; Ecol LMB, Guangzhou, Peoples R China.</t>
  </si>
  <si>
    <t>zhangxin@scsio.ac.cn; xgwu@shou.edu.cn</t>
  </si>
  <si>
    <t>Chong, Alexander/E-6120-2010</t>
  </si>
  <si>
    <t>Chong, Alexander/0000-0003-3014-442X</t>
  </si>
  <si>
    <t>National Natural Science Foundation of China [31572630, 2018100]; Shanghai talents development fund for the young scientists from Shanghai Municipal Human Resources and Social Security Bureau [2019KJ149]; Guangdong Provincial Special Fund for Modern Agriculture Industry Technology Innovation Teams; Academic Fellow program in the School of Biological Sciences, Universiti Sains Malaysia; [31873041]</t>
  </si>
  <si>
    <t>National Natural Science Foundation of China(National Natural Science Foundation of China (NSFC)); Shanghai talents development fund for the young scientists from Shanghai Municipal Human Resources and Social Security Bureau; Guangdong Provincial Special Fund for Modern Agriculture Industry Technology Innovation Teams; Academic Fellow program in the School of Biological Sciences, Universiti Sains Malaysia(Universiti Sains Malaysia);</t>
  </si>
  <si>
    <t>This research was funded by two general projects (No. 31873041 and No. 31572630) from the National Natural Science Foundation of China, the Shanghai talents development fund for the young scientists (No. 2018100) from Shanghai Municipal Human Resources and Social Security Bureau, and the Guangdong Provincial Special Fund for Modern Agriculture Industry Technology Innovation Teams (2019KJ149) . XGW was supported by the Academic Fellow program in the School of Biological Sciences, Universiti Sains Malaysia. The authors thank Ms. Min Zhang and Mr. Dingding Fan for their help in data collection and Dr. Xiao Jiang for her help in manuscript preparation.</t>
  </si>
  <si>
    <t>1095-6433</t>
  </si>
  <si>
    <t>1531-4332</t>
  </si>
  <si>
    <t>COMP BIOCHEM PHYS A</t>
  </si>
  <si>
    <t>Comp. Biochem. Physiol. A-Mol. Integr. Physiol.</t>
  </si>
  <si>
    <t>10.1016/j.cbpa.2023.111474</t>
  </si>
  <si>
    <t>Biochemistry &amp; Molecular Biology; Physiology; Zoology</t>
  </si>
  <si>
    <t>Q6ET9</t>
  </si>
  <si>
    <t>WOS:001058441800001</t>
  </si>
  <si>
    <t>Li, ZH; Wang, BB; Xu, QH; You, DQ; Li, W; Wang, XJ</t>
  </si>
  <si>
    <t>Li, Ziheng; Wang, Binbin; Xu, Qihang; You, Deqiang; Li, Wei; Wang, Xiaojian</t>
  </si>
  <si>
    <t>A dual-crosslinked zwitterionic hydrogel with load-bearing capacity and ultra-low friction coefficient</t>
  </si>
  <si>
    <t>Cartilage repair; Friction; Hydrogel; Load-bearing; Lubrication</t>
  </si>
  <si>
    <t>DOUBLE-NETWORK HYDROGELS; ARTICULAR-CARTILAGE; MECHANICAL-PROPERTIES; HIGH-STRENGTH; TOUGHNESS; LUBRICATION</t>
  </si>
  <si>
    <t>Due to similar properties to that of cartilage, hydrogels are considered as promising candidates for cartilage repair. However, it is still a challenge to synthesize hydrogel combining high strength and low friction like natural cartilage. In this work, we synthesized a dual-crosslinked zwitterionic P(AAm-co-AAc-co-SBMA)/Fe3+ hydrogel, in which a zwitterionic monomer [2-(methacryloyloxy)ethyl]dimethyl-(3-sulfopropyl)(SBMA) was used to improve the hydrophilicity of the polymer chain. The results showed that the hydrogel exhibited significantly improved tensile strength (9.9 MPa) and compressive strength (207.6 MPa), which was due to the physical crosslinking points introduced by SBMA. Moreover, the zwitterionic hydrogel achieved an ultra-low friction coefficient (CoF) of 0.04 in water. The results provide a new approach for cartilage repair materials with considerable strength and low friction.</t>
  </si>
  <si>
    <t>[Li, Ziheng; Wang, Binbin; Xu, Qihang; You, Deqiang; Li, Wei; Wang, Xiaojian] Jinan Univ, Inst Adv Wear &amp; Corros Resistant &amp; Funct Mat, Guangzhou 510632, Peoples R China; [Wang, Xiaojian] Jinan Univ, Shaoguan Res Inst, 168 Muxi Ave, Shaoguan 512029, Peoples R China; [Wang, Xiaojian] Jinan Univ, Guangdong Prov Engn &amp; Technol Res Ctr 3D Printing, Guangzhou 510632, Peoples R China</t>
  </si>
  <si>
    <t>Jinan University; Jinan University</t>
  </si>
  <si>
    <t>Wang, XJ (corresponding author), Jinan Univ, Inst Adv Wear &amp; Corros Resistant &amp; Funct Mat, Guangzhou 510632, Peoples R China.</t>
  </si>
  <si>
    <t>xiaojian.wang@jnu.edu.cn</t>
  </si>
  <si>
    <t>Zhang, Yanfei/IXW-5406-2023</t>
  </si>
  <si>
    <t>Guang-dong Basic and Applied Basic Research Foundation [2022A1515011261]; Fundamental Research Funds for the Central Universities [21620110]; Education Department of Guangdong Province [2020ZDZX2024]</t>
  </si>
  <si>
    <t>Guang-dong Basic and Applied Basic Research Foundation; Fundamental Research Funds for the Central Universities(Fundamental Research Funds for the Central Universities); Education Department of Guangdong Province</t>
  </si>
  <si>
    <t>The authors gratefully acknowledge financial support from Guang-dong Basic and Applied Basic Research Foundation (No. 2022A1515011261) , and Fundamental Research Funds for the Central Universities (21620110) . This work was also supported by the Education Department of Guangdong Province No. 2020ZDZX2024.</t>
  </si>
  <si>
    <t>10.1016/j.matchemphys.2023.128208</t>
  </si>
  <si>
    <t>P2JY4</t>
  </si>
  <si>
    <t>WOS:001048965800001</t>
  </si>
  <si>
    <t>Liang, H; Zhao, R</t>
  </si>
  <si>
    <t>Liang, Hui; Zhao, Rui</t>
  </si>
  <si>
    <t>Model predictive temperature control of a closed-loop spray cooling system</t>
  </si>
  <si>
    <t>Spray cooling; Model predictive temperature control; Control path planning; Thermal and hydraulic lags; Changes in heat load</t>
  </si>
  <si>
    <t>HEAT-TRANSFER PERFORMANCE; FLASH EVAPORATION; PUMP</t>
  </si>
  <si>
    <t>A dynamic model of a closed-loop spray cooling system was proposed, and a model predictive temperature control algorithm was presented. The presented algorithm could quantitively estimate sudden changes in heat load, and then plan an optimized control path along which the temperature trajectory was numerically predicted to be the most stable. Then, the presented algorithm was integrated into a closed-loop spray cooling system, and its control performance was numerically studied. The results showed that, following a 20 W downward step change in heat load, the temperature was re-stabilized in 4 s, with its oscillation less than 0.14 K. Under identical conditions, the presented algorithm outperformed PID in terms of temperature stability, with its peak time shorter by 25-55%, settling time shorter by 38-51%, and average temperature offset smaller by 50-60%. This advantage was mainly because the presented algorithm compensated for hydraulic and thermal lags, two sources of control nonlinearity, by excessive regulation in advance. Unexpectedly, temperature overshoots of the presented algorithm and PID did not differ significantly, seemingly due to the algorithm-inherent estimation lag. From a system design perspective, the length of pump pipeline should be as short as possible, which proved to help reduce overshoot and settling time. Similarly, addition in heat load's mass also helped reduce overshoot, but would result in an unfavorable long settling time, and vice versa. The simulation results were validated by experimental data, with error less than 10%.</t>
  </si>
  <si>
    <t>[Liang, Hui] Anhui Agr Univ, Sch Informat &amp; Comp, Anhui Prov Engn Lab Beidou Precis Agr Informat, Hefei 230036, Anhui, Peoples R China; [Zhao, Rui] Hefei Univ Technol, Sch Automot &amp; Transportat Engn, Hefei 230009, Anhui, Peoples R China</t>
  </si>
  <si>
    <t>Anhui Agricultural University; Hefei University of Technology</t>
  </si>
  <si>
    <t>Zhao, R (corresponding author), Hefei Univ Technol, Sch Automot &amp; Transportat Engn, Hefei 230009, Anhui, Peoples R China.</t>
  </si>
  <si>
    <t>rzhao@hfut.edu.cn</t>
  </si>
  <si>
    <t>Zhao, Rui/0000-0002-5007-0096</t>
  </si>
  <si>
    <t>Major Science and Tech-nology Projects in Anhui Province [202004a07020053]; Open Foundation of State Key Laboratory of Compressor Technology [SKL-YSJ202105]; Startup Fund of Hefei University of Technology [13020-03712023002]; Startup Fund of Anhui Agricultural University [RC482001]</t>
  </si>
  <si>
    <t>Major Science and Tech-nology Projects in Anhui Province; Open Foundation of State Key Laboratory of Compressor Technology; Startup Fund of Hefei University of Technology; Startup Fund of Anhui Agricultural University</t>
  </si>
  <si>
    <t>The authors gratefully acknowledge the Major Science and Technology Projects in Anhui Province (Grant No. 202004a07020053) , Open Foundation of State Key Laboratory of Compressor Technology (No. SKL-YSJ202105) , the Startup Fund of Hefei University of Technology (No. 13020-03712023002) and the Startup Fund of Anhui Agricultural University (No. RC482001) for the financial support.</t>
  </si>
  <si>
    <t>10.1016/j.applthermaleng.2023.121196</t>
  </si>
  <si>
    <t>P1LT6</t>
  </si>
  <si>
    <t>WOS:001048332300001</t>
  </si>
  <si>
    <t>Lima-Castaneda, LA; Bringas, ME; Aguilar-Hernandez, L; Garces-Ramirez, L; Morales-Medina, JC; Flores, G</t>
  </si>
  <si>
    <t>Lima-Castaneda, Luis Angel; Bringas, Maria Elena; Aguilar-Hernandez, Leonardo; Garces-Ramirez, Linda; Morales-Medina, Julio Cesar; Flores, Gonzalo</t>
  </si>
  <si>
    <t>The antipsychotic olanzapine reduces memory deficits and neuronal abnormalities in a male rat model of Autism</t>
  </si>
  <si>
    <t>JOURNAL OF CHEMICAL NEUROANATOMY</t>
  </si>
  <si>
    <t>Autism spectrum disorder; Hippocampus; Morris water maze; Nitric oxide; Novel object recognition test; Olanzapine; Valproic acid</t>
  </si>
  <si>
    <t>VALPROIC ACID; DENDRITIC MORPHOLOGY; STRUCTURAL-CHANGES; NITRIC-OXIDE; BEHAVIOR; HIPPOCAMPUS; PLASTICITY; ENRICHMENT; DISORDER; CHILDREN</t>
  </si>
  <si>
    <t>The prevalence of autism spectrum disorder (ASD), a neurodevelopmental condition that impacts social interaction and sensory processing, is rising. Valproic acid (VPA) exposure during pregnancy causes autistic-like traits in offspring. Olanzapine (OLZ), an atypical antipsychotic, is used to treat ASD. We assessed the impact of OLZ on behavior, neuromorphology, and nitric oxide (NO) levels in the hippocampus using prenatal VPA treatment in rats. It is commonly known that ASD patients exhibit sensory abnormalities. As such, we utilized the tail flick test to validate the ASD model. In the novel object recognition test (NORT), VPA exposure reduces the discrimination index (DI) in the first introduction to the novel object. Moreover, OLZ and vehicle-treated rats perform differently in the second exposition to the DI of the novel object, suggesting that OLZ reverses VPA-induced deficits in recognition memory. The latency to find the hidden platform in the Morris water maze test of memory and learning improves in VPA-exposed rats after OLZ administration, indicating that OLZ improves spatial memory in these rats. Administration of prenatal VPA induces neuronal hypotrophy and reduces spine density in pyramidal neurons of the CA1 region of the hippocampus. Treatment with OLZ corrects the neuromorphological changes brought on by VPA. In the CA1 region of the hippocampus, VPA treatment increases the number of neurons, which normalizes with OLZ treatment. OLZ increases the NO levels in the dorsal hippocampus in control rats. In rats exposed to VPA, the second-generation antipsychotic OLZ reduces memory-related and neuroplastic alterations. The current findings support the use of OLZ in this illness and further validate the use of prenatal VPA as a model of ASD.</t>
  </si>
  <si>
    <t>[Lima-Castaneda, Luis Angel; Bringas, Maria Elena; Aguilar-Hernandez, Leonardo; Flores, Gonzalo] Benemerita Univ Autonoma Puebla, Lab Neuropsiquiatria, Inst Fisiol, 14 Sur 6301, Puebla 72570, Mexico; [Lima-Castaneda, Luis Angel; Garces-Ramirez, Linda] Inst Politecn Nacl, Escuela Nacl Ciencias Biol, Dept Fisiol, Ciudad Mexico, Mexico; [Morales-Medina, Julio Cesar] CINVESTAV Univ Autonoma Tlaxcala, Ctr Invest Reprod Anim, AP 62, Tlaxcala 90000, Mexico; [Morales-Medina, Julio Cesar] Ctr Invest Reprod Anim, Km 10-5 Carretera San Martin Texmelucan, Ixtacuixtla 90128, Tlaxcala, Mexico</t>
  </si>
  <si>
    <t>Benemerita Universidad Autonoma de Puebla; Instituto Politecnico Nacional - Mexico; CINVESTAV - Centro de Investigacion y de Estudios Avanzados del Instituto Politecnico Nacional</t>
  </si>
  <si>
    <t>Flores, G (corresponding author), Benemerita Univ Autonoma Puebla, Lab Neuropsiquiatria, Inst Fisiol, 14 Sur 6301, Puebla 72570, Mexico.;Morales-Medina, JC (corresponding author), Ctr Invest Reprod Anim, Km 10-5 Carretera San Martin Texmelucan, Ixtacuixtla 90128, Tlaxcala, Mexico.</t>
  </si>
  <si>
    <t>jmoralesm@cinvestav.mx; gonzalo.flores@correo.buap.mx</t>
  </si>
  <si>
    <t>Flores, Gonzalo/0000-0002-4100-2104</t>
  </si>
  <si>
    <t>0891-0618</t>
  </si>
  <si>
    <t>1873-6300</t>
  </si>
  <si>
    <t>J CHEM NEUROANAT</t>
  </si>
  <si>
    <t>J. Chem. Neuroanat.</t>
  </si>
  <si>
    <t>10.1016/j.jchemneu.2023.102317</t>
  </si>
  <si>
    <t>Biochemistry &amp; Molecular Biology; Neurosciences</t>
  </si>
  <si>
    <t>Biochemistry &amp; Molecular Biology; Neurosciences &amp; Neurology</t>
  </si>
  <si>
    <t>P7JN4</t>
  </si>
  <si>
    <t>WOS:001052401300001</t>
  </si>
  <si>
    <t>Liu, D; Cao, WB; Li, F; Hu, YM; Ding, YG</t>
  </si>
  <si>
    <t>Liu, Dong; Cao, Wenbin; Li, Fan; Hu, Yongming; Ding, Yigang</t>
  </si>
  <si>
    <t>Controllable morphology engineering of Cu2O nanoparticles for non-enzymatic glucose sensing</t>
  </si>
  <si>
    <t>Cuprous oxide; Morphology engineering; Glucose sensing; OH- concentration</t>
  </si>
  <si>
    <t>PERFORMANCE; COMPOSITES; NANOCUBES</t>
  </si>
  <si>
    <t>The controllable morphology engineering of active electrode materials is an effective strategy to obtain high performance non-enzymatic glucose sensing. Herein, different morphologic cuprous oxide (Cu2O nanospheres, nanocubes and microcubes) were controllably prepared by wet-chemistry precipitation technique through adjusting the OH- concentration. The growth and evolution mechanism of Cu2O at different OH- concentrations were extensively studied. Electrochemical testing revealed that Cu2O nanospheres had the highest sensitivity of 1438 &amp; mu;A mM-1 cm-2 and the lowest detection limit of 0.17 &amp; mu;M (S/N = 3), making them the best choice for glucose sensing. Additionally, the glucose detection range spanned two orders of concentration magnitude (0.5 &amp; mu;M - 1.332 mM and 1.332 mM - 3.832 mM), and the sensor displayed excellent anti-interference ability, reproducibility, and long-term stability. The electrode material also performed well in detecting glucose in real serum samples, indicating its practical applicability as a non-enzymatic sensor.</t>
  </si>
  <si>
    <t>[Liu, Dong; Cao, Wenbin; Li, Fan; Ding, Yigang] Wuhan Inst Technol, Sch Chem &amp; Environm Engn, Hubei Key Lab Novel Reactor &amp; Green Chem Technol, Wuhan 430205, Peoples R China; [Liu, Dong; Hu, Yongming] Hubei Univ, Fac Phys &amp; Elect Sci, Hubei Key Lab Ferro &amp; Piezoelectr Mat &amp; Devices, Wuhan 430062, Peoples R China</t>
  </si>
  <si>
    <t>Wuhan Institute of Technology; Hubei University</t>
  </si>
  <si>
    <t>Cao, WB; Ding, YG (corresponding author), Wuhan Inst Technol, Sch Chem &amp; Environm Engn, Hubei Key Lab Novel Reactor &amp; Green Chem Technol, Wuhan 430205, Peoples R China.;Hu, YM (corresponding author), Hubei Univ, Fac Phys &amp; Elect Sci, Hubei Key Lab Ferro &amp; Piezoelectr Mat &amp; Devices, Wuhan 430062, Peoples R China.</t>
  </si>
  <si>
    <t>cwb19910718@163.com; huym@hubu.edu.cn; dingyg2016@163.com</t>
  </si>
  <si>
    <t>Liu, Dong/0000-0003-2397-269X</t>
  </si>
  <si>
    <t>Laboratory of Ferro amp; Piezoelectric Materials and Devices [K201909]; Graduate Innovative Fund of Wuhan Institute of Technology [CX2022424]</t>
  </si>
  <si>
    <t>Laboratory of Ferro amp; Piezoelectric Materials and Devices; Graduate Innovative Fund of Wuhan Institute of Technology</t>
  </si>
  <si>
    <t>Laboratory of Ferro &amp; amp; Piezoelectric Materials and Devices (No. K201909) and Graduate Innovative Fund of Wuhan Institute of Technology (No.CX2022424)</t>
  </si>
  <si>
    <t>10.1016/j.microc.2023.108922</t>
  </si>
  <si>
    <t>P3IO9</t>
  </si>
  <si>
    <t>WOS:001049613800001</t>
  </si>
  <si>
    <t>Liu, H; Cheng, YX; Qu, YD; Wu, GH</t>
  </si>
  <si>
    <t>Liu, Hao; Cheng, Yuxi; Qu, Yidan; Wu, Guohao</t>
  </si>
  <si>
    <t>Unraveling the gut microbiota and short-chain fatty acids characteristics and associations in a cancer cachexia mouse model</t>
  </si>
  <si>
    <t>MICROBIAL PATHOGENESIS</t>
  </si>
  <si>
    <t>Cachexia; Gut microbiota; Short-chain fatty acids; Microbiota; Metabolites</t>
  </si>
  <si>
    <t>Objective: Cachexia is a common pathological condition in cancer patients, affecting prognosis and treatment outcomes. The relationship between cachexia and gut microbiota and short-chain fatty acids (SCFAs) remains understudied. This research aimed to establish a cachexia mouse model and explore the gut microbiota-SCFAs connection. The study provides fundamental insights into the regulatory mechanisms of cancer cachexia and potential therapeutic strategies.Methods: A cachexia mouse model was created using C26 cells, with relevant indicators measured. Histological and immunohistochemical analyses assessed muscle structure and protein expression. ELISA was performed to detect the levels of IL-1 &amp; beta;, IL-6, TNF-&amp; alpha;, and LPS in serum to evaluate inflammation.16S rDNA sequencing and GC-MS quantified gut microbiota and SCFAs. Bioinformatics analysis identified indicator species and explored microbiota-SCFAs correlations.ROC analysis was performed to assess the potential of gut microbiota and SCFAs in identifying cachexia.Results: The cachexia mouse model exhibited weight loss, muscle atrophy, and elevated inflammatory factors. Gut microbiota in cachexia mice showed decreased diversity and imbalance. Fourteen bacterial genera were identified as potential cachexia indicators. Functional prediction indicated alterations in the functional composition of gut microbial communities in cachexia mice, particularly in carbohydrate and lipid metabolism pathways. Four SCFAs showed significant changes, potentially serving as diagnostic factors. Specific microbial taxa were positively or negatively correlated with changes in SCFAs, and these microbial taxa and differential SCFAs were also correlated with inflammatory cytokines.Conclusion: Our study uncovers the gut microbiota and SCFAs features in a cachexia mouse model, revealing novel correlations between them. These newfound insights into the interplay between cachexia, gut microbiota, and SCFAs provide a crucial foundation for understanding the mechanisms behind cancer cachexia development and potential therapeutic approaches.</t>
  </si>
  <si>
    <t>[Liu, Hao; Cheng, Yuxi; Wu, Guohao] Fudan Univ, Zhongshan Hosp, Shanghai Clin Nutr Res Ctr, Dept Gen Surg, Shanghai, Peoples R China; [Qu, Yidan] Shandong First Med Univ &amp; Shandong Acad Med Sci, Dept Radiat Oncol, Jinan, Shandong, Peoples R China; [Qu, Yidan] Bohai Rim Adv Res Inst Drug Discovery, Shandong Lab Yantai Drug Discovery, Yantai, Shandong, Peoples R China; [Wu, Guohao] Fudan Univ, Zhongshan Hosp, Dept Ophthalmol, Shanghai Xuhui Dist Fenglin Rd 180, Shanghai 200032, Peoples R China</t>
  </si>
  <si>
    <t>Fudan University; Shandong First Medical University &amp; Shandong Academy of Medical Sciences; Fudan University</t>
  </si>
  <si>
    <t>Wu, GH (corresponding author), Fudan Univ, Zhongshan Hosp, Shanghai Clin Nutr Res Ctr, Dept Gen Surg, Shanghai, Peoples R China.;Wu, GH (corresponding author), Fudan Univ, Zhongshan Hosp, Dept Ophthalmol, Shanghai Xuhui Dist Fenglin Rd 180, Shanghai 200032, Peoples R China.</t>
  </si>
  <si>
    <t>dr_wugh@163.com</t>
  </si>
  <si>
    <t>0882-4010</t>
  </si>
  <si>
    <t>1096-1208</t>
  </si>
  <si>
    <t>MICROB PATHOGENESIS</t>
  </si>
  <si>
    <t>Microb. Pathog.</t>
  </si>
  <si>
    <t>10.1016/j.micpath.2023.106332</t>
  </si>
  <si>
    <t>Immunology; Microbiology</t>
  </si>
  <si>
    <t>S5UL4</t>
  </si>
  <si>
    <t>WOS:001071813600001</t>
  </si>
  <si>
    <t>Liu, K; Chen, YC; Wang, HR; Xie, H; Liu, ZW</t>
  </si>
  <si>
    <t>Liu, Kang; Chen, Yongcan; Wang, Haoran; Xie, Hui; Liu, Zhaowei</t>
  </si>
  <si>
    <t>Reducing inconsistencies of FAHP in structural safety assessment of diversion tunnels</t>
  </si>
  <si>
    <t>Fuzzy analytic hierarchy process; Structural safety assessment; Expert weight; Diversion tunnel</t>
  </si>
  <si>
    <t>GROUP DECISION-MAKING; FUZZY AHP; RISK-ASSESSMENT; WEIGHTS; CONSISTENCY; MAKERS; TOPSIS; AGGREGATION; SELECTION; CRITERIA</t>
  </si>
  <si>
    <t>The Fuzzy Analytic Hierarchy Process (FAHP) is an effective method for assessing risks and has great potential for assessing the structural safety of diversion tunnels. However, this type of professional assessment can become more complicated due to the presence of multiple factors that influence the safety of the tunnel. This complexity not only necessitates the establishment of a comprehensive index system but also introduces uncertainties related to inconsistencies in expert judgments and unknown expert weights in group decision-making process. To address these issues, this study proposed an improved FAHP method for the structural safety assessment of diversion tunnels. This method incorporates a proposed comprehensive index system and incorporates a preceding ordering process before pairwise comparisons in the questionnaire to enhance the consistency in expert judgment. The consistency and compatibility of expert judgment matrices are quantified using a distance vector rather than a single number, and a reasonable comprehensive weight is calculated based on the Dempster-Shafer (D-S) evidence theory. We applied this method to the structure safety assessment of the Houziyan hydropower station diversion tunnel and found an overall low risk for the tunnel, but significant issues were identified regarding lining crack. Furthermore, we conducted a comparative evaluation of the proposed method against other related methods, thereby demonstrating its high quality. The study contributes an improved FAHP method for the structural safety analysis of diversion tunnels and encourages the wider application of FAHP in more complicated systems.&amp; COPY; 2023 Elsevier B.V. All rights reserved.</t>
  </si>
  <si>
    <t>[Liu, Kang; Chen, Yongcan; Liu, Zhaowei] Tsinghua Univ, State Key Lab Hydrosci &amp; Engn, Beijing, Peoples R China; [Chen, Yongcan] Southwest Petr Univ, Sch Civil Engn &amp; Geomatics, Chengdu, Peoples R China; [Wang, Haoran; Xie, Hui] Tsinghua Univ, Sichuan Energy Internet Res Inst, Chengdu, Peoples R China</t>
  </si>
  <si>
    <t>Tsinghua University; Southwest Petroleum University; Tsinghua University</t>
  </si>
  <si>
    <t>Liu, ZW (corresponding author), Tsinghua Univ, State Key Lab Hydrosci &amp; Engn, Beijing, Peoples R China.</t>
  </si>
  <si>
    <t>liu-k21@mails.tsinghua.edu.cn; chenyc@mail.tsinghua.edu.cn; thuwhr@163.com; xiexieh@163.com; liuzhw@mail.tsinghua.edu.cn</t>
  </si>
  <si>
    <t>National Natural Science Foundation of China [U21A20157, 51979142, 52009064]; Open Research Fund Program of State Key Laboratory of Hydroscience and Engineer- ing, People's Republic of China [sklhse-2019-B-06]</t>
  </si>
  <si>
    <t>National Natural Science Foundation of China(National Natural Science Foundation of China (NSFC)); Open Research Fund Program of State Key Laboratory of Hydroscience and Engineer- ing, People's Republic of China</t>
  </si>
  <si>
    <t>The authors are thankful to the associated editor and anony- mous reviewers for their constructive comments. This research was funded by the National Natural Science Foundation of China (NO. U21A20157, 51979142, 52009064) and Open Research Fund Program of State Key Laboratory of Hydroscience and Engineer- ing, People's Republic of China (sklhse-2019-B-06)</t>
  </si>
  <si>
    <t>10.1016/j.asoc.2023.110642</t>
  </si>
  <si>
    <t>P4WY7</t>
  </si>
  <si>
    <t>WOS:001050694200001</t>
  </si>
  <si>
    <t>Liu, Q; Sterck, FJ; Zhang, JL; Poorter, L</t>
  </si>
  <si>
    <t>Liu, Qi; Sterck, Frank J.; Zhang, Jiao -Lin; Poorter, Lourens</t>
  </si>
  <si>
    <t>Abiotic and biotic drivers of liana community change in an Asian tropical rainforest</t>
  </si>
  <si>
    <t>Climbers; Demographic process; Ecosystem functioning; Functional composition; Topography</t>
  </si>
  <si>
    <t>PLANT FUNCTIONAL TRAITS; LONG-TERM CHANGES; HABITAT ASSOCIATIONS; SPATIAL-DISTRIBUTION; SPECIES TRAITS; MOIST-FOREST; XISHUANGBANNA; DIVERSITY; ABUNDANCE; PROTOCOL</t>
  </si>
  <si>
    <t>Lianas have a major influence on community and ecosystem processes in tropical forests, but their dynamics and underlying drivers have rarely been assessed. This study evaluates which demographic processes underlie liana community change and how these demographic processes are driven by abiotic factors (light gaps, soil nutrients, soil water availability, and topography), and biotic factors such as competition by life forms (liana and tree basal area) and the functional properties of the liana community. In a tropical rainforest in Southwest China &gt; 20,000 liana individuals were monitored in 20 1-ha plots and for each plot, average trait values of the liana community were determined for eighteen functional traits that are important for plant performance. Across the 20 plots, changes in liana density were more strongly driven by mortality than by recruitment. Liana recruitment and mortality were driven by biotic factors, especially the functional properties. Liana mortality was higher for acquisitive communities, possibly because of strong competition amongst fast-growing liana species and the short lifespan of pioneers. Liana growth was driven by abiotic factors and increased with elevation and soil water availability. Hence, liana community dynamics are shaped by mortality, and functional properties are more important than the environment. Simultaneously testing the roles of multiple environmental factors and inherent plant characteristics yields better insights into the mechanisms underlying community dynamics.</t>
  </si>
  <si>
    <t>[Liu, Qi; Sterck, Frank J.; Poorter, Lourens] Wageningen Univ &amp; Res, Forest Ecol &amp; Forest Management Grp, POB 47, NL-6700 AA Wageningen, Netherlands; [Liu, Qi; Zhang, Jiao -Lin] Chinese Acad Sci, CAS Key Lab Trop Forest Ecol, Xishuangbanna Trop Bot Garden, Mengla 666303, Yunnan, Peoples R China; [Liu, Qi] Univ Toronto Mississauga, Dept Biol, Mississauga, ON L5L 1C6, Canada</t>
  </si>
  <si>
    <t>Wageningen University &amp; Research; Chinese Academy of Sciences; Xishuangbanna Tropical Botanical Garden, CAS; University of Toronto; University Toronto Mississauga</t>
  </si>
  <si>
    <t>Liu, Q (corresponding author), Wageningen Univ &amp; Res, Forest Ecol &amp; Forest Management Grp, POB 47, NL-6700 AA Wageningen, Netherlands.</t>
  </si>
  <si>
    <t>chn-liuq@outlook.com</t>
  </si>
  <si>
    <t>Zhang, Jiao-Lin/0000-0003-3693-7965</t>
  </si>
  <si>
    <t>National Natural Science Foundation of China [32171507, 31870385]; CAS Light of West China program; canopy foundation (Stichting het Kronendak); State Scholarship Fund from Chinese Scholarship Council</t>
  </si>
  <si>
    <t>National Natural Science Foundation of China(National Natural Science Foundation of China (NSFC)); CAS Light of West China program; canopy foundation (Stichting het Kronendak); State Scholarship Fund from Chinese Scholarship Council</t>
  </si>
  <si>
    <t>This work was funded by the National Natural Science Foundation of China (32171507, 31870385) , the CAS Light of West China program, and the canopy foundation (Stichting het Kronendak) . Qi Liu was supported by the State Scholarship Fund from Chinese Scholarship Council.</t>
  </si>
  <si>
    <t>10.1016/j.foreco.2023.121261</t>
  </si>
  <si>
    <t>O9DZ9</t>
  </si>
  <si>
    <t>WOS:001046765800001</t>
  </si>
  <si>
    <t>Liu, S; Zhang, Q; Kollie, L; Dong, JE; Liang, ZS</t>
  </si>
  <si>
    <t>Liu, Shuang; Zhang, Qiang; Kollie, Larwubah; Dong, Juane; Liang, Zongsuo</t>
  </si>
  <si>
    <t>Molecular networks of secondary metabolism accumulation in plants: Current understanding and future challenges</t>
  </si>
  <si>
    <t>Secondary metabolism; Molecular networks; Post -translational modifications; Plant hormone; Transcriptional factors</t>
  </si>
  <si>
    <t>INDUCED ANTHOCYANIN BIOSYNTHESIS; AP2/ERF TRANSCRIPTION FACTOR; F-BOX PROTEINS; ARTEMISININ BIOSYNTHESIS; FLAVONOID BIOSYNTHESIS; ALKALOID BIOSYNTHESIS; EPIGENETIC REGULATION; ARABIDOPSIS; TOLERANCE; REGULATOR</t>
  </si>
  <si>
    <t>Plant secondary metabolites are the outcomes of the adaptation of plants to ecological environment changes in the long-term evolution. The accumulation of secondary metabolites not only affects the evolutionary adaptability of plants, but also affects the quality and yield of some medicinal plants and crops. Therefore, it is an indispensable research field to understand further the mechanism of regulating secondary metabolism accumulation in plant science. Recent studies have confirmed that some signaling pathways are involved in regulating the accumulation of plant secondary metabolites, containing the ubiquitin-proteasome pathway, mitogenactivated protein kinase (MAPK) signaling, epigenomic regulatory pathway, plant hormone, and some transcriptional factors. This review summarizes the latest molecular mechanisms and regulatory networks regulating secondary metabolism accumulation, and discusses the difficulties in future research.</t>
  </si>
  <si>
    <t>[Liu, Shuang; Dong, Juane; Liang, Zongsuo] Northwest A&amp;F Univ, Coll Life Sci, Shaanxi 712100, Peoples R China; [Zhang, Qiang; Kollie, Larwubah; Liang, Zongsuo] Zhejiang Sci Tech Univ, Coll Life Sci &amp; Med, Hangzhou 310018, Zhejiang, Peoples R China</t>
  </si>
  <si>
    <t>Northwest A&amp;F University - China; Zhejiang Sci-Tech University</t>
  </si>
  <si>
    <t>Dong, JE; Liang, ZS (corresponding author), Northwest A&amp;F Univ, Coll Life Sci, Shaanxi 712100, Peoples R China.;Liang, ZS (corresponding author), Zhejiang Sci Tech Univ, Coll Life Sci &amp; Med, Hangzhou 310018, Zhejiang, Peoples R China.</t>
  </si>
  <si>
    <t>dzsys@nwsuaf.edu.cn; liangzs2023@126.com</t>
  </si>
  <si>
    <t>liu, li/HGC-0900-2022</t>
  </si>
  <si>
    <t>R &amp; D project of 'Jianbing' and 'Lingyan' in Zhejiang Province [2022C02023]; Key Projects at the Central Government Level: The Ability Establishment of Sustainable Use for Valuable Chinese Medicine Resources [2060302]</t>
  </si>
  <si>
    <t>R &amp; D project of 'Jianbing' and 'Lingyan' in Zhejiang Province; Key Projects at the Central Government Level: The Ability Establishment of Sustainable Use for Valuable Chinese Medicine Resources</t>
  </si>
  <si>
    <t>Fundings This study was supported by the R &amp; D project of 'Jianbing' and 'Lingyan' in Zhejiang Province (2022C02023) , and Key Projects at the Central Government Level: The Ability Establishment of Sustainable Use for Valuable Chinese Medicine Resources (2060302) .</t>
  </si>
  <si>
    <t>10.1016/j.indcrop.2023.116901</t>
  </si>
  <si>
    <t>J5XO7</t>
  </si>
  <si>
    <t>WOS:001010346500001</t>
  </si>
  <si>
    <t>Liu, SX; Xue, RM; Qin, W; Yang, XJ; Ye, QH; Wu, QP</t>
  </si>
  <si>
    <t>Liu, Shuxiang; Xue, Ruimin; Qin, Wen; Yang, Xiaojuan; Ye, Qinghua; Wu, Qingping</t>
  </si>
  <si>
    <t>Performance and transcriptome analysis of Salmonella enterica serovar Enteritidis PT 30 under persistent desiccation stress: Cultured by lawn and broth methods</t>
  </si>
  <si>
    <t>Survival; Heat tolerance; DEGs; Virulence genes</t>
  </si>
  <si>
    <t>ESCHERICHIA-COLI; THERMAL-RESISTANCE; HEAT-RESISTANCE; WATER ACTIVITY; ENTEROCOCCUS-FAECIUM; PROTEINS; SURVIVAL; TYPHIMURIUM; VIRULENCE; EXPRESSION</t>
  </si>
  <si>
    <t>Lawn-harvest method uses a solid medium (e.g., tryptic soy agar, TSA) to produce bacterial lawns and is widely accepted for the culture of microorganisms in microbial studies of low-moisture foods (LMFs, foods with water activity less than 0.85). It produces desiccation-tolerant cells with higher D-values in LMFs; however, little is known about the molecular mechanisms underlying bacterial resistance. Salmonella enterica Enteritidis PT 30 (S. Enteritidis), the most pertinent pathogen in LMFs, was cultured in TSA and tryptic soy broth (TSB). Cells were harvested and inoculated on filter papers to assess their performance under a relative humidity of 32 &amp; PLUSMN; 2%. Transcriptome analysis of cultured cells during long-term desiccation (24, 72, and 168 h) was conducted in TruSeq PE Cluster Kit (Illumina) by paired-end methods. Lawn-cultured S. Enteritidis cells have stronger survivability (only decreased by 0.78 &amp; PLUSMN; 0.12 log after 130 d of storage) and heat tolerance (higher D/ll value) than those from the broth method. More desiccation genes of lawn-cultured cells were significantly upregulated from growth to long-term desiccation. Differentially expressed genes were the most enriched in the ribosome and sulfur metabolism pathways in the lawn- and broth-cultured groups. This study tracked the transcriptomic differences between two cultured groups in response to long-term desiccation stress and revealed some molecular mechanisms underlying their different suitability in microbial studies of LMFs.</t>
  </si>
  <si>
    <t>[Liu, Shuxiang; Xue, Ruimin; Qin, Wen] Sichuan Agr Univ, Coll Food Sci, Yaan 625014, Peoples R China; [Liu, Shuxiang; Yang, Xiaojuan; Ye, Qinghua; Wu, Qingping] Guangdong Acad Sci, Inst Microbiol, Guangdong Prov Key Lab Microbial Culture Collect &amp;, State Key Lab Appl Microbiol Southern China, Guangzhou 510070, Peoples R China</t>
  </si>
  <si>
    <t>Sichuan Agricultural University; Guangdong Academy of Sciences</t>
  </si>
  <si>
    <t>Liu, SX (corresponding author), Sichuan Agr Univ, Coll Food Sci, Yaan 625014, Peoples R China.;Liu, SX; Wu, QP (corresponding author), Guangdong Acad Sci, Inst Microbiol, Guangdong Prov Key Lab Microbial Culture Collect &amp;, State Key Lab Appl Microbiol Southern China, Guangzhou 510070, Peoples R China.</t>
  </si>
  <si>
    <t>sliu@sicau.edu.cn; wuqp203@163.com</t>
  </si>
  <si>
    <t>Liu, Shuxiang/0000-0003-4189-770X</t>
  </si>
  <si>
    <t>National Natural Science Foundation of China [03120327]; Sichuan Agricultural University; [31901793]</t>
  </si>
  <si>
    <t>National Natural Science Foundation of China(National Natural Science Foundation of China (NSFC)); Sichuan Agricultural University;</t>
  </si>
  <si>
    <t>We acknowledge the research support from the National Natural Science Foundation of China (31901793) and Sichuan Agricultural University (03120327) .</t>
  </si>
  <si>
    <t>10.1016/j.fm.2023.104323</t>
  </si>
  <si>
    <t>Q6BZ2</t>
  </si>
  <si>
    <t>WOS:001058368900001</t>
  </si>
  <si>
    <t>Liu, SJ; Li, HG; Zhang, YK; Song, HL; Fu, L</t>
  </si>
  <si>
    <t>Liu, Sujuan; Li, Huige; Zhang, Yukun; Song, Hualong; Fu, Li</t>
  </si>
  <si>
    <t>Exercise ameliorates chronic inflammatory response induced by high-fat diet via Sestrin2 in an Nrf2-dependent manner</t>
  </si>
  <si>
    <t>Sestrin2; Nrf2; Chronic inflammation; High-fat diet; Exercise</t>
  </si>
  <si>
    <t>SKELETAL-MUSCLE; LIVER</t>
  </si>
  <si>
    <t>Chronic inflammation is a major contributor to the development of metabolic disorders and is commonly seen in studies of diet-induced obesity in humans and rodents. Exercise has been shown to have anti-inflammatory properties, though the exact mechanisms are still not fully understood. Sestrins and Nrf2 are of interest to researchers as they are known to protect against inflammation and oxidative stress. In this study, we aim to explore the interconnection between Sestrin2 (SESN2) and Nrf2 and their roles in exercise benefits on chronic inflammation. Our data showed that SESN2 knockout aggravated the abnormalities of body weight, fat mass, and serum lipid that were induced by a high-fat diet (HFD), and a concomitant increase of TNF-&amp; alpha;, IL-1 &amp; beta; and IL-6 in both serum and skeletal muscle. Notably, exercise was found to reverse these changes, and SESN2 was found to be necessary for exercise to reduce the inflammatory response in skeletal muscles, though not in serum. Immunoprecipitation and bioinformatics prediction experiments further revealed that SESN2 directly binds to Nrf2, indicating a protein-protein interaction between the two. Furthermore, our data demonstrated that SESN2 protein is necessary for exercise-induced effects on Nrf2 pathway in HFD-fed mice, and Nrf2 protein is necessary to enable SESN2 to reduce the inflammation caused by palmitic acid (PA)+ oleic acid (OA) treatment in vitro. Our findings indicate that exercise mitigates chronic inflammation induced by HFD through SESN2 in an Nrf2dependent manner. Our study reveals a novel molecular mechanism whereby the SESN2/Nrf2 pathway mediates the positive impact of exercise on chronic inflammation.</t>
  </si>
  <si>
    <t>[Liu, Sujuan] Tianjin Med Univ, Sch Basic Med Sci, Dept Anat &amp; Histol, Tianjin 300070, Peoples R China; [Li, Huige] Huanghuai Univ, Dept Phys Educ, Zhumadian 463000, Peoples R China; [Zhang, Yukun; Song, Hualong; Fu, Li] Tianjin Med Univ, Sch Basic Med Sci, Dept Physiol &amp; Pathophysiol, Tianjin 300070, Peoples R China; [Song, Hualong; Fu, Li] Tianjin Univ Tradit Chinese Med, Teaching Hosp 1, Tianjin 300381, Peoples R China; [Song, Hualong; Fu, Li] Natl Clin Res Ctr Chinese Med Acupuncture &amp; Moxibu, Tianjin 300381, Peoples R China</t>
  </si>
  <si>
    <t>Tianjin Medical University; Huanghuai University; Tianjin Medical University; Tianjin University of Traditional Chinese Medicine</t>
  </si>
  <si>
    <t>Song, HL; Fu, L (corresponding author), Tianjin Med Univ, Sch Basic Med Sci, Dept Physiol &amp; Pathophysiol, Tianjin 300070, Peoples R China.;Song, HL; Fu, L (corresponding author), Tianjin Univ Tradit Chinese Med, Teaching Hosp 1, Tianjin 300381, Peoples R China.;Song, HL; Fu, L (corresponding author), Natl Clin Res Ctr Chinese Med Acupuncture &amp; Moxibu, Tianjin 300381, Peoples R China.</t>
  </si>
  <si>
    <t>tjsonghualong@sina.com; lifu@tmu.edu.cn</t>
  </si>
  <si>
    <t>National Natural Science Foundation of China (NSFC); [32171135]</t>
  </si>
  <si>
    <t>This work was supported by grant from the National Natural Science Foundation of China (NSFC) 32171135 (to LF) .</t>
  </si>
  <si>
    <t>10.1016/j.bbadis.2023.166792</t>
  </si>
  <si>
    <t>Q4QR7</t>
  </si>
  <si>
    <t>WOS:001057388200001</t>
  </si>
  <si>
    <t>Liu, Y; Zhang, FQ; Yang, SP; Cao, J</t>
  </si>
  <si>
    <t>Liu, Ye; Zhang, Fuqiang; Yang, Shuopeng; Cao, Jie</t>
  </si>
  <si>
    <t>Self-attention mechanism for dynamic multi-step ROP prediction under continuous learning structure</t>
  </si>
  <si>
    <t>The evaluation and prediction of the rate of penetration have been long-term challenging in real-time drilling operations due to, for example, the complexity of influence parameters and uncertainties from the subsurface. In this paper, we propose a machine learning structure combining with a conceptual framework of continuous learning and a deep learning network with the self-attention mechanism to further improve the practical ROP prediction. The self-attention mechanism, also the cornerstone of the Transformer model in the recent impressive GPT3.5 and 4 (Generative Pretrained Transformer), exhibits an enhanced capability to capture the long-dependence relation within sequential data. Compared with the other commonly used recurrent neural networks, the proposed self-attention network model shows significant improvement in reliability and accuracy, especially when one tries to forward predict a long sequence of ROP. This newly presented model can predict the real-time long-term ROP value and can further improve its efficiency by adjusting the controllable drilling parameters. Moreover, the continuous learning structure allows for the extension of single well application to a field scale in a continuous manner for each network model. Field case studies demonstrate the effectiveness and stability of the newly proposed model, which reaches a higher prediction accuracy than 90% for three testing wells. Hence, the proposed structure and network model can help with predictive analysis for real-time drilling performance as an accurate and robust model.</t>
  </si>
  <si>
    <t>[Liu, Ye; Zhang, Fuqiang; Yang, Shuopeng] Xian Shiyou Univ, Sch Comp Sci, Xian 710065, Shaanxi, Peoples R China; [Cao, Jie] eDrilling AS, Stavanger, Rogaland, Norway</t>
  </si>
  <si>
    <t>Xi'an Shiyou University</t>
  </si>
  <si>
    <t>Cao, J (corresponding author), eDrilling AS, Stavanger, Rogaland, Norway.</t>
  </si>
  <si>
    <t>jc@edrilling.no</t>
  </si>
  <si>
    <t>/0000-0002-3106-8097</t>
  </si>
  <si>
    <t>National Natural Science Foundation of China [52004214]; Natural Science Foundation of Shaanxi Province [2021JM-400, 2021JQ-598, 2022JM-301]</t>
  </si>
  <si>
    <t>National Natural Science Foundation of China(National Natural Science Foundation of China (NSFC)); Natural Science Foundation of Shaanxi Province(Natural Science Foundation of Shaanxi Province)</t>
  </si>
  <si>
    <t>The authors thank the funding supported from National Natural Science Foundation of China (No. 52004214) and the Natural Science Foundation of Shaanxi Province (2021JM-400, 2021JQ-598, 2022JM-301) .</t>
  </si>
  <si>
    <t>10.1016/j.geoen.2023.212083</t>
  </si>
  <si>
    <t>Q3DE0</t>
  </si>
  <si>
    <t>WOS:001056343900001</t>
  </si>
  <si>
    <t>Liu, YZ; Chen, C; Wang, K; Zhang, ML; Yan, YQ; Sui, L; Yao, JC; Zhu, X; Wang, H; Pan, QM; Wang, YF; Liang, P; Xu, D</t>
  </si>
  <si>
    <t>Liu, Yuanzhen; Chen, Chen; Wang, Kai; Zhang, Maoliang; Yan, Yuqi; Sui, Lin; Yao, Jincao; Zhu, Xi; Wang, Hui; Pan, Qianmeng; Wang, Yifan; Liang, Ping; Xu, Dong</t>
  </si>
  <si>
    <t>The auxiliary diagnosis of thyroid echogenic foci based on a deep learning segmentation model: A two-center study</t>
  </si>
  <si>
    <t>EUROPEAN JOURNAL OF RADIOLOGY</t>
  </si>
  <si>
    <t>Thyroid nodule; Thyroid echogenic foci; Auxiliary diagnosis; Deep learning; Ultrasound</t>
  </si>
  <si>
    <t>SYSTEM TI-RADS; ARTIFICIAL-INTELLIGENCE; NODULES; MANAGEMENT; ULTRASOUND; CANCER; ASSOCIATION; CALCIFICATIONS; PATTERNS; DISEASE</t>
  </si>
  <si>
    <t>Objective: The aim of this study is to develop AI-assisted software incorporating a deep learning (DL) model based on static ultrasound images. The software aims to aid physicians in distinguishing between malignant and benign thyroid nodules with echogenic foci and to investigate how the AI-assisted DL model can enhance radiologists' diagnostic performance.Methods: For this retrospective study, a total of 2724 ultrasound (US) scans were collected from two independent institutions, encompassing 1038 echogenic foci nodules. All echogenic foci were confirmed by pathology. Three DL segmentation models (DeepLabV3+, U-Net, and PSPNet) were developed, with each model using two different backbones to extract features from the nodular regions with echogenic foci. Evaluation indexes such as Mean Inter-section over Union (MIoU), Mean Pixel Accuracy (MPA), and Dice coefficients were employed to assess the perfor-mance of the segmentation model. The model demonstrating the best performance was selected to develop the AI-assisted diagnostic software, enabling radiologists to benefit from AI-assisted diagnosis. The diagnostic performance of radiologists with varying levels of seniority and beginner radiologists in assessing high-echo nodules was then compared, both with and without the use of auxiliary strategies. The area under the receiver operating characteristic curve (AUROC) was used as the primary evaluation index, both with and without the use of auxiliary strategies.Results: In the analysis of Institution 2, the DeepLabV3+ (backbone is MobileNetV2 exhibited optimal segmen-tation performance, with MIoU = 0.891, MPA = 0.945, and Dice = 0.919. The combined AUROC (0.693 [95% CI 0.595-0.791]) of radiology beginners using AI-assisted strategies was significantly higher than those without such strategies (0.551 [0.445-0.657]). Additionally, the combined AUROC of junior physicians employing adjuvant strategies improved from 0.674 [0.574-0.774] to 0.757 [0.666-0.848]. Similarly, the combined AUROC of senior physicians increased slightly, rising from 0.745 [0.652-0.838] to 0.813 [0.730-0.896]. With the implementation of AI-assisted strategies, the accuracy, sensitivity, specificity, positive predictive value (PPV), and negative predictive value (NPV) of both senior physicians and beginners in the radiology department un-derwent varying degrees of improvement.Conclusions: This study demonstrates that the DL-based auxiliary diagnosis model using US static images can improve the performance of radiologists and radiology students in identifying thyroid echogenic foci.</t>
  </si>
  <si>
    <t>[Liu, Yuanzhen; Chen, Chen; Yao, Jincao; Zhu, Xi; Wang, Yifan; Xu, Dong] Zhejiang Canc Hosp, Dept Diagnost Ultrasound Imaging &amp; Intervent Thera, Hangzhou 310022, Zhejiang, Peoples R China; [Liu, Yuanzhen; Chen, Chen; Zhu, Xi; Wang, Yifan; Xu, Dong] Wenling Big Data &amp; Artificial Intelligence Inst Me, Taizhou 317502, Zhejiang, Peoples R China; [Liu, Yuanzhen; Chen, Chen; Yao, Jincao; Zhu, Xi; Wang, Yifan; Xu, Dong] Chinese Acad Sci, Hangzhou Inst Med HIM, Hangzhou 310018, Zhejiang, Peoples R China; [Chen, Chen] Wannan Med Coll, Grad Sch, Wuhu 241002, Anhui, Peoples R China; [Wang, Kai] Wenzhou Med Univ, Dept Ultrasound, Affiliated Dongyang Hosp, Dongyang 322100, Zhejiang, Peoples R China; [Yan, Yuqi; Sui, Lin] Postgrad Training Base Alliance Wenzhou Med Univ, Zhejiang Canc Hosp, Hangzhou 310022, Zhejiang, Peoples R China; [Yao, Jincao; Wang, Yifan; Xu, Dong] Key Lab Head Neck Canc Translat Res Zhejiang Prov, Hangzhou 310022, Zhejiang, Peoples R China; [Wang, Yifan; Xu, Dong] Zhejiang Prov Res Ctr Canc Intelligent Diag &amp; Mol, Hangzhou 310022, Zhejiang, Peoples R China; [Wang, Hui; Pan, Qianmeng; Wang, Yifan; Xu, Dong] Taizhou Canc Hosp, Taizhou 317500, Zhejiang, Peoples R China; [Liang, Ping] Chinese Peoples Liberat Army Gen Hosp, Dept Intervent Ultrasound, Beijing 100853, Peoples R China; [Wang, Yifan; Liang, Ping; Xu, Dong] 1 East Banshan Rd, Hangzhou 310022, Peoples R China; [Wang, Yifan; Liang, Ping; Xu, Dong] 28 Fuxing Rd, Beijing 100853, Peoples R China</t>
  </si>
  <si>
    <t>Zhejiang Cancer Hospital; Chinese Academy of Sciences; Wannan Medical College; Wenzhou Medical University; Zhejiang Cancer Hospital; Chinese People's Liberation Army General Hospital</t>
  </si>
  <si>
    <t>Wang, YF; Liang, P; Xu, D (corresponding author), 1 East Banshan Rd, Hangzhou 310022, Peoples R China.;Wang, YF; Liang, P; Xu, D (corresponding author), 28 Fuxing Rd, Beijing 100853, Peoples R China.</t>
  </si>
  <si>
    <t>yuanzhen_0128@aliyun.com; yaojc@zjcc.org.cn; wangyf@zjcc.org.cn; liangping301@126.com; xudong@zjcc.org.cn</t>
  </si>
  <si>
    <t>National Natural Science Foundation of China [LZY21F030001]; Natural Science Foundation of Zhejiang Province [2023C04039]; Pioneer and Leading Goose Ramp;D Program of Zhejiang [2021KY099]; Research Program of Zhejiang Provincial Department of Health [2022KY110, 2023KY066]; [82071946]</t>
  </si>
  <si>
    <t>National Natural Science Foundation of China(National Natural Science Foundation of China (NSFC)); Natural Science Foundation of Zhejiang Province(Natural Science Foundation of Zhejiang Province); Pioneer and Leading Goose Ramp;D Program of Zhejiang; Research Program of Zhejiang Provincial Department of Health;</t>
  </si>
  <si>
    <t>This work was supported by the National Natural Science Foundation of China (No. 82071946) , the Natural Science Foundation of Zhejiang Province (No. LZY21F030001) , Pioneer and Leading Goose R &amp; amp;D Program of Zhejiang (No. 2023C04039) and the Research Program of Zhejiang Provincial Department of Health (No. 2021KY099, 2022KY110 and 2023KY066) .</t>
  </si>
  <si>
    <t>0720-048X</t>
  </si>
  <si>
    <t>1872-7727</t>
  </si>
  <si>
    <t>EUR J RADIOL</t>
  </si>
  <si>
    <t>Eur. J. Radiol.</t>
  </si>
  <si>
    <t>10.1016/j.ejrad.2023.111033</t>
  </si>
  <si>
    <t>Q7CI2</t>
  </si>
  <si>
    <t>WOS:001059061200001</t>
  </si>
  <si>
    <t>Liu, YW; Shen, ZJ; Wei, XY; Gu, LK; Zheng, MX; Zhang, YA; Cheng, XD; Fu, YF; Lu, WG</t>
  </si>
  <si>
    <t>Liu, Yuwan; Shen, Zhangjin; Wei, Xinyi; Gu, Lingkai; Zheng, Mengxia; Zhang, Yanan; Cheng, Xiaodong; Fu, Yunfeng; Lu, Weiguo</t>
  </si>
  <si>
    <t>CircSLC39A8 attenuates paclitaxel resistance in ovarian cancer by regulating the miR-185-5p/BMF axis</t>
  </si>
  <si>
    <t>BMF; miR-185-5p; Ovarian cancer; Paclitaxel resistance</t>
  </si>
  <si>
    <t>CIRCULAR RNAS; BREAST-CANCER; EXPRESSION; PATHWAY; REPAIR; CELLS</t>
  </si>
  <si>
    <t>Chemoresistance to paclitaxel (PTX) is one of the main reasons for treatment failure and poor prognosis in pa-tients with advanced ovarian cancer. Therefore, it is imperative to explore the mechanisms related to chemo-therapy resistance in ovarian cancer to find potential therapeutic targets. Circular RNAs (circRNAs) play important roles in cancer development and progression. However, their biological functions and clinical sig-nificance in ovarian cancer have not been fully elucidated. Therefore, in this study, we aimed to investigate the function and underlying mechanism of hsa_circ_0002782 (circSLC39A8), identified by circRNA sequencing, in regulating PTX resistance. The effects of circSLC39A8 on PTX resistance was assessed by cell viability, colony formation, flow cytometry assays and an in vivo subcutaneous xenografted tumor mouse model. RNA immu-noprecipitation and dual-luciferase reporter assays were performed to verify the interaction between circSLC39A8 and the miR-185-5p/BMF signal axis. We found that circSLC39A8 was downregulated in PTX-resistant ovarian cancer cells and tissues, and its low expression was associated with poor prognosis. Biologi-cally, circSLC39A8 knockdown promoted PTX resistance in vitro and in vivo, while circSLC39A8 overexpression showed the opposite effect. Mechanistically, circSLC39A8, acting as an endogenous sponge for miR-185-5p, could relieve the inhibition of miR-185-5p on the expression of its downstream target, BMF; thus enhancing the sensitivity of ovarian cancer to PTX. Our findings demonstrate that circSLC39A8 can promote PTX sensitivity by regulating the miR-185-5p/BMF axis. This may be a valuable prognostic biomarker and a promising therapeutic target for patients with ovarian cancer.</t>
  </si>
  <si>
    <t>[Liu, Yuwan; Shen, Zhangjin; Wei, Xinyi; Gu, Lingkai; Zheng, Mengxia; Fu, Yunfeng; Lu, Weiguo] Zhejiang Univ, Womens Hosp, Sch Med, Womens Reprod Hlth Lab Zhejiang Prov, Hangzhou 310006, Zhejiang, Peoples R China; [Zhang, Yanan; Cheng, Xiaodong; Fu, Yunfeng; Lu, Weiguo] Zhejiang Univ, Womens Hosp, Sch Med, Dept Gynecol Oncol, Hangzhou 310006, Zhejiang, Peoples R China; [Lu, Weiguo] Zhejiang Prov Clin Res Ctr Obstetr &amp; Gynecol Dis, Hangzhou 310006, Zhejiang, Peoples R China; [Cheng, Xiaodong; Lu, Weiguo] Zhejiang Univ, Canc Ctr, Hangzhou 310058, Zhejiang, Peoples R China; [Fu, Yunfeng; Lu, Weiguo] Zhejiang Univ, Womens Hosp, Sch Med, 1 Xueshi Rd, Hangzhou 310006, Peoples R China</t>
  </si>
  <si>
    <t>Zhejiang University; Zhejiang University; Zhejiang University; Zhejiang University</t>
  </si>
  <si>
    <t>Fu, YF; Lu, WG (corresponding author), Zhejiang Univ, Womens Hosp, Sch Med, 1 Xueshi Rd, Hangzhou 310006, Peoples R China.</t>
  </si>
  <si>
    <t>5100008@zju.edu.cn; lbwg@zju.edu.cn</t>
  </si>
  <si>
    <t>Chinese Medicine Research Program of Zhejiang Province, China [2020ZZ014]; Fundamental Research Funds for the Central Universities [2021-KYY-518054-0008]; National Key Ramp;D Program of China [2022YFC2704200]</t>
  </si>
  <si>
    <t>Chinese Medicine Research Program of Zhejiang Province, China; Fundamental Research Funds for the Central Universities(Fundamental Research Funds for the Central Universities); National Key Ramp;D Program of China</t>
  </si>
  <si>
    <t>We thank very much for the support of The Chinese Medicine Research Program of Zhejiang Province, China (2020ZZ014), The &amp; nbsp;Fundamental Research Funds for the Central Universities (2021-KYY-518054-0008), The National Key R&amp;D Program of China (2022YFC2704200).</t>
  </si>
  <si>
    <t>10.1016/j.tranon.2023.101746</t>
  </si>
  <si>
    <t>O9WS1</t>
  </si>
  <si>
    <t>WOS:001047253500001</t>
  </si>
  <si>
    <t>Liu, Y; Quan, C</t>
  </si>
  <si>
    <t>Liu, Yuzhe; Quan, Chunlian</t>
  </si>
  <si>
    <t>A sensitive electrochemical sensor for the detection of sports stimulant methyltestosterone via ZnO/TiO2 nanocomposite</t>
  </si>
  <si>
    <t>Methyltestosterone; Electrochemical sensor; TiO2; ZnO; Biosensor</t>
  </si>
  <si>
    <t>19-NORTESTOSTERONE</t>
  </si>
  <si>
    <t>This research paper introduces a highly sensitive electrochemical sensor designed for the detection of the sports stimulant methyltestosterone, utilizing a unique ZnO/TiO2 nanocomposite. Methyltestosterone, an extensively abused anabolic steroid in sports, calls for an efficient detection technique to maintain sporting integrity. The sensor was designed and synthesized with enhanced properties leveraging the specific characteristics of the ZnO/ TiO2 nanocomposite. The sensor demonstrated high sensitivity and selectivity towards methyltestosterone, outstripping traditional detection techniques. When subjected to real-world scenarios, including testing in synthetic urine samples, the sensor showcased outstanding precision and consistency, making it a robust tool for anti-doping control.</t>
  </si>
  <si>
    <t>[Liu, Yuzhe; Quan, Chunlian] Jungwon Univ, Grad Sch, Republ Korea, 85,Munmu Ro, Goesan 28024, Chungcheongbugd, South Korea</t>
  </si>
  <si>
    <t>Jungwon University</t>
  </si>
  <si>
    <t>Quan, C (corresponding author), Jungwon Univ, Grad Sch, Republ Korea, 85,Munmu Ro, Goesan 28024, Chungcheongbugd, South Korea.</t>
  </si>
  <si>
    <t>yzkx0523@163.com</t>
  </si>
  <si>
    <t>10.1016/j.ijoes.2023.100308</t>
  </si>
  <si>
    <t>P9AW5</t>
  </si>
  <si>
    <t>WOS:001053538700001</t>
  </si>
  <si>
    <t>Liu, ZP; Feng, SY; Zhangsong, A; Han, YP; Cao, RX</t>
  </si>
  <si>
    <t>Liu, Zhongpei; Feng, Shaoyi; Zhangsong, A.; Han, Yuping; Cao, Runxiang</t>
  </si>
  <si>
    <t>Long-term evolution of groundwater hydrochemistry and its influencing factors based on self-organizing map (SOM)</t>
  </si>
  <si>
    <t>Hydrochemical characteristics; Influencing factors; Self-organizing map; Stable isotope</t>
  </si>
  <si>
    <t>SHALLOW GROUNDWATER; WATER-QUALITY; IRRIGATION; NORTH; DISTRICT; PREDICTION; AQUIFER; MODEL; AREA</t>
  </si>
  <si>
    <t>The primary water source for agricultural irrigation in the People's Victory Canal irrigation area was the Yellow River water in the early stage, and the Yellow River water diversion volume decreased in the later stage. Hence, the groundwater became the primary water source for the irrigation area. It is significant for the rational utilization of groundwater resources to explore groundwater hydrochemistry's evolution characteristics and formation mechanism. Based on the hydrochemical data of groundwater and Yellow River in the irrigation area from 1987 to 2022. The spatiotemporal evolution of chemical components of groundwater and the main influencing factors were revealed using traditional hydrochemistry research methods, self-organizing map, and stable isotopes. The results show that the classification results of groundwater and Yellow River water samples by the self-organizing map show regional and phased characteristics. Regionally, the self-organizing map classifies groundwater into five clusters, and Cluster I-III of groundwater are mainly distributed in the head, middle and northeast areas. Cluster IV and V of groundwater are mainly distributed in the northwest region. In terms of time, from 1987 to 2001, the Yellow River water diversion volume was higher, and the ion concentration of groundwater showed a decreasing trend. The ion concentration was close to the Yellow River water ion concentration except in the northwest area. Accordingly, the classification results of the self-organizing map change from Cluster I of groundwater to Cluster II of groundwater. After 2001, the amount of water diverted from the Yellow River decreased, and the concentration of each ion in the groundwater at the head of the canal and the central area showed an overall increasing trend from 2001 to 2022. The classification results of the selforganizing map change to Cluster I of groundwater. Due to the change in runoff conditions and the influence of domestic sewage, the classification results of the self-organizing map in the funnel area in the middle of the irrigation district changed to Cluster III of groundwater after 2013.</t>
  </si>
  <si>
    <t>[Liu, Zhongpei; Feng, Shaoyi; Zhangsong, A.; Han, Yuping; Cao, Runxiang] North China Univ Water Resources &amp; Elect Power, Coll Water Resources, Zhengzhou 450046, Peoples R China; [Liu, Zhongpei; Han, Yuping; Cao, Runxiang] Henan Key Lab Water Resources Conservat &amp; Intens U, Zhengzhou 450046, Peoples R China</t>
  </si>
  <si>
    <t>Liu, ZP (corresponding author), North China Univ Water Resources &amp; Elect Power, Coll Water Resources, Zhengzhou 450046, Peoples R China.</t>
  </si>
  <si>
    <t>brightlzp@126.com</t>
  </si>
  <si>
    <t>National Natural Science Foundation of China [42072287]; Postgraduate Innovation Ability Improvement Project of North China University of Water Resources and Electric Power [YK-2021-47]</t>
  </si>
  <si>
    <t>National Natural Science Foundation of China(National Natural Science Foundation of China (NSFC)); Postgraduate Innovation Ability Improvement Project of North China University of Water Resources and Electric Power</t>
  </si>
  <si>
    <t>Acknowledgements This study was financially supported by the National Natural Science Foundation of China (42072287) and Postgraduate Innovation Ability Improvement Project of North China University of Water Resources and Electric Power (YK-2021-47) .</t>
  </si>
  <si>
    <t>10.1016/j.ecolind.2023.110697</t>
  </si>
  <si>
    <t>P5KQ7</t>
  </si>
  <si>
    <t>WOS:001051068300001</t>
  </si>
  <si>
    <t>Logan, MK; Irvin, SD; Enfrin, M; Arafat, H; Dumee, LF; Gibert, Y</t>
  </si>
  <si>
    <t>Logan, Madelyn K.; Irvin, Scheldon D.; Enfrin, Marie; Arafat, Hassan; Dumee, Ludovic F.; Gibert, Yann</t>
  </si>
  <si>
    <t>Toxicity of nanofibers on zebrafish embryogenesis - Impact of materials properties on inflammatory responses</t>
  </si>
  <si>
    <t>Microplastics; Nanofibers; Apoptosis; Fragmentation; Nano-toxicity; Vasculogenesis</t>
  </si>
  <si>
    <t>WATER TREATMENT PLANTS; ENDOTHELIAL-CELLS; MICROPLASTICS; ACTIVATION; EXPRESSION; POLLUTION; NANOPARTICLES; FRAGMENTATION; INTEGRINS; MIGRATION</t>
  </si>
  <si>
    <t>Textile microfibers are the most common form of microplastic pollution and among the most dangerous to wildlife across multiple biomes. Besides toxicological challenges arising from their shapes, the morphology of fibrous materials make them excellent adsorbents and transportation media for harmful chemical pollutants and support both uptake and bioaccumulation across living organisms. The fragmentation of microfibers used in the textile industry is shown to lead to the formation of a broad range of sub-micron and nanofibers, with greater surface to volume ratio and much finer diameters, whose toxicity and environmental impact are not yet understood. Here, the impact of nanofibers on zebrafish embryos is studied to reveal risks associated with nanofiber pollution during early developmental stages. Exposure of embryos to nanofibers at a similar concentration to what has been observed in polluted water streams was found to dramatically increase apoptosis, neutrophils, and cytokine production that the chorion was unable to protect against. Furthermore, disturbed vascular basement membrane assembly in exposed embryos was detected leading to an expanded dorsal aorta diameter. These results obtained with model nanofibers demonstrate the risks of fragmented microplastics and the impact of surface properties on uptake and response by living organisms.</t>
  </si>
  <si>
    <t>[Logan, Madelyn K.; Irvin, Scheldon D.; Gibert, Yann] Univ Mississippi, Canc Ctr, Dept Cell &amp; Mol Biol, Med Ctr, Jackson, MS 39216 USA; [Logan, Madelyn K.; Irvin, Scheldon D.; Gibert, Yann] Univ Mississippi, Res Inst, Med Ctr, Jackson, MS 39216 USA; [Enfrin, Marie] RMIT Univ, Dept Civil &amp; Infrastruct Engn, Melbourne, Australia; [Arafat, Hassan; Dumee, Ludovic F.] Khalifa Univ, Dept Chem Engn, Sas Al Nakhl Campus, Abu Dhabi, U Arab Emirates</t>
  </si>
  <si>
    <t>University of Mississippi Medical Center; University of Mississippi; University of Mississippi Medical Center; University of Mississippi; Royal Melbourne Institute of Technology (RMIT); Khalifa University of Science &amp; Technology</t>
  </si>
  <si>
    <t>Gibert, Y (corresponding author), Univ Mississippi, Canc Ctr, Dept Cell &amp; Mol Biol, Med Ctr, Jackson, MS 39216 USA.;Gibert, Y (corresponding author), Univ Mississippi, Res Inst, Med Ctr, Jackson, MS 39216 USA.;Dumee, LF (corresponding author), Khalifa Univ, Dept Chem Engn, Sas Al Nakhl Campus, Abu Dhabi, U Arab Emirates.</t>
  </si>
  <si>
    <t>ludovic.dumee@ku.ac.ae; ygibert@umc.edu</t>
  </si>
  <si>
    <t>NIH/NHLBI [R01 DE029803]; NIH/NIDCR [GM121334]; NIH/NIGMS [GM104357]; [T2HL105324]</t>
  </si>
  <si>
    <t>NIH/NHLBI(United States Department of Health &amp; Human ServicesNational Institutes of Health (NIH) - USANIH National Heart Lung &amp; Blood Institute (NHLBI)); NIH/NIDCR(United States Department of Health &amp; Human ServicesNational Institutes of Health (NIH) - USANIH National Institute of Dental &amp; Craniofacial Research (NIDCR)); NIH/NIGMS(United States Department of Health &amp; Human ServicesNational Institutes of Health (NIH) - USANIH National Institute of General Medical Sciences (NIGMS));</t>
  </si>
  <si>
    <t>We acknowledge Goldie Faircloth for taking excellent care of the zebrafish. This work was funded by a NIH/NHLBI T2HL105324 Fellowship to MLK; a NIH/NIDCR R01 DE029803 to YG; a NIH/NIGMS grant GM104357 to YG; a NIH/NIGMS grant GM121334 to YG.</t>
  </si>
  <si>
    <t>10.1016/j.jece.2023.110727</t>
  </si>
  <si>
    <t>R3QQ4</t>
  </si>
  <si>
    <t>WOS:001063535000001</t>
  </si>
  <si>
    <t>Loganathan, V; Bharathi, A; Prince, AM; Ramakrishnan, J</t>
  </si>
  <si>
    <t>Loganathan, Vignesh; Bharathi, Arivarasan; Prince, Alyssa Maria; Ramakrishnan, Jayalakshmy</t>
  </si>
  <si>
    <t>Treatment efficacy of vitamin C or ascorbate given as co-intervention with iron for anemia - A systematic review and meta-analysis of experimental studies</t>
  </si>
  <si>
    <t>Vitamin C; Iron -de ficiency anemia; Meta -analysis; Hemoglobin; Ferritin</t>
  </si>
  <si>
    <t>DEFICIENCY ANEMIA; FERROUS ASCORBATE; ACID; SAFETY; WOMEN</t>
  </si>
  <si>
    <t>Introduction: Iron deficiency anemia (IDA) is one of the leading causes of anemia, globally. Oral vitamin C enhances iron absorption and is commonly prescribed with iron for anemia patients. Considering the lack of evidence to support this practice, we conducted this systematic review and meta-analysis to determine the treatment efficacy of experimental studies where oral vitamin C or ascorbate was given as co-intervention with iron compared to providing only iron among participants with anemia of all ages. Methodology: A comprehensive strategy was used to search literature from PubMed, Cochrane and Google Scholar. Experimental studies conducted among participants with lab-confirmed anemia at baseline, with oral ascorbic acid or vitamin C given as co-intervention with iron as intervention and only oral iron as the comparator, and reported the outcomes hemoglobin or ferritin, were selected. Random-effects model was used to estimate standardized mean differences or odds ratio of outcomes, and sensitivity analyses were done. Sub-group and meta-regression analyses were conducted to evaluate the reasons for heterogeneity (PROSPERO number: CRD42022306612).Results: Of the total nine studies included in the review, seven studies with 905 participants were included for meta-analysis. The pooled estimate for standardized mean difference (SMD) of hemoglobin (g/dL) and Serum Ferritin (mcg/L) for intervention-type ferrous ascorbate were 0.44 (95% C.I.: -0.30, 1.26) and 0.03 (95% C.I.: -0.68, 0.73) respectively, and were not statistically significant. The pooled estimate for SMD of hemoglobin (g/dL) and Serum Ferritin (mcg/L) for intervention type 'oral iron and vitamin C' was 0.11 (95% C.I.: -0.05, 0.28) and -0.90 (95% C.I.: -1.09, -0.72) respectively, and were not statistically significant.Conclusion: The SMD of hemoglobin or serum ferritin between the intervention group were not significantly favouring the intervention when the intervention group was ferrous ascorbate or oral iron and vitamin C, and the methodological quality of evidence of these effect measures was very low. This necessitates studying the treatment efficacy of oral vitamin C or ascorbate when given with oral iron for participants with anemia in future clinical trials.&amp; COPY; 2023 European Society for Clinical Nutrition and Metabolism. Published by Elsevier Ltd. All rights reserved.</t>
  </si>
  <si>
    <t>[Loganathan, Vignesh; Prince, Alyssa Maria; Ramakrishnan, Jayalakshmy] JIPMER, Pondicherry, India; [Bharathi, Arivarasan] ESIC Med Coll &amp; PGIMSR, Chennai, India; [Ramakrishnan, Jayalakshmy] JIPMER, Dept Prevent &amp; Social Med, Pondicherry 605006, India</t>
  </si>
  <si>
    <t>Jawaharlal Institute of Postgraduate Medical Education &amp; Research; Jawaharlal Institute of Postgraduate Medical Education &amp; Research</t>
  </si>
  <si>
    <t>Ramakrishnan, J (corresponding author), JIPMER, Dept Prevent &amp; Social Med, Pondicherry 605006, India.</t>
  </si>
  <si>
    <t>medico.jay@gmail.com</t>
  </si>
  <si>
    <t>Loganathan, Vignesh/0000-0003-2980-9156</t>
  </si>
  <si>
    <t>10.1016/j.clnesp.2023.07.081</t>
  </si>
  <si>
    <t>Q6PM2</t>
  </si>
  <si>
    <t>WOS:001058724200001</t>
  </si>
  <si>
    <t>Loi, G; Aymerich, F</t>
  </si>
  <si>
    <t>Loi, G.; Aymerich, F.</t>
  </si>
  <si>
    <t>Effect of stitching on the static and fatigue properties of fibre-dominated and matrix-dominated composite laminates</t>
  </si>
  <si>
    <t>A. 3-Dimensional reinforcement; B. Fatigue; E. Stitching; Damage</t>
  </si>
  <si>
    <t>INPLANE MECHANICAL-PROPERTIES; DELAMINATION RESISTANCE; IMPACT DAMAGE; 3D WOVEN; COMPRESSION; BEHAVIOR; FRACTURE; THICKNESS; TOUGHNESS; STRENGTH</t>
  </si>
  <si>
    <t>The paper reports the results of an experimental investigation into the effect of stitching on the static and fatigue response of fibre-dominated and matrix-dominated laminates. The tests were conducted on stitched carbon/ epoxy laminates with quasi-isotropic ([0/&amp; PLUSMN;45/90]s) or angle-ply ([+302/- 302]s, [+452/- 452]s, [+602/- 602]s) layups. The analyses show that stitching significantly reduces both the static and the fatigue strength of fibredominated [0/&amp; PLUSMN;45/90]s laminates, owing to the presence of localized fibre damage introduced during the stitching process. On the other hand, stitching does not affect the fatigue response of [+602/- 602]s laminates but significantly improves the fatigue strength of [+302/- 302]s and [+452/- 452]s laminates. The effectiveness of stitching on the fatigue performance of the angle-ply layups was found to be directly related to the specific damage mechanisms preceding the ultimate failure, which are controlled by edge delaminations in [+302/- 302] s and [+452/- 452]s and transverse matrix cracking in [+602/- 602]s laminates.</t>
  </si>
  <si>
    <t>[Loi, G.; Aymerich, F.] Univ Cagliari, Dept Mech Chem &amp; Mat Engn, Cagliari, Italy</t>
  </si>
  <si>
    <t>University of Cagliari</t>
  </si>
  <si>
    <t>Aymerich, F (corresponding author), Univ Cagliari, Dept Mech Chem &amp; Mat Engn, Cagliari, Italy.</t>
  </si>
  <si>
    <t>francesco.aymerich@dimcm.unica.it</t>
  </si>
  <si>
    <t>10.1016/j.compositesa.2023.107648</t>
  </si>
  <si>
    <t>Q0QQ7</t>
  </si>
  <si>
    <t>WOS:001054651700001</t>
  </si>
  <si>
    <t>Londero, VS; Rosa, ME; Baitello, JB; Costa-Silva, TA; Cruz, LMS; Tempone, AG; Caseli, L; Lago, JHG</t>
  </si>
  <si>
    <t>Londero, Vinicius S.; Rosa, Matheus E.; Baitello, Joao B.; Costa-Silva, Thais A.; Cruz, Lucas Monteiro S.; Tempone, Andre G.; Caseli, Luciano; Lago, Joao Henrique G.</t>
  </si>
  <si>
    <t>Barbellatanic acid, a new antitrypanosomal pseudo-disesquiterpenoid isolated from Nectandra barbellata, displayed interaction with protozoan cell membrane</t>
  </si>
  <si>
    <t>BIOCHIMICA ET BIOPHYSICA ACTA-BIOMEMBRANES</t>
  </si>
  <si>
    <t>Barbellatanic acid; Antiprotozoal activity; Trypanosoma cruzi; Air -water interface; DPPE</t>
  </si>
  <si>
    <t>PHASE-TRANSITIONS; LIPID-COMPOSITION; WATER; MODEL; DYNAMICS; LANGMUIR</t>
  </si>
  <si>
    <t>As part of our ongoing studies involving the discovery of new natural prototypes with antiprotozoal activity against Trypanosoma cruzi from Brazilian plant species, the chromatographic fractionation of hexane extract from leaves of Nectandra barbellata afforded one new pseudo-disesquiterpenoid, barbellatanic acid. The structure of this compound was elucidated by NMR and HR-ESIMS data analysis. Barbellatanic acid displayed a trypanocidal effect with IC50 of 13.2 mu M to trypomastigotes and no toxicity against NCTC cells (CC50 &gt; 200 mu M), resulting in an SI value higher than 15.1. The investigation of the lethal mechanism of barbellatanic acid in trypomastigotes, using both fluorescence microscopy and spectrofluorimetric analysis, revealed a time-dependent permeation of the plasma membrane. Based on these results, this compound was incorporated in cellular membrane models built with lipid Langmuir monolayers. The interaction of barbellatanic acid with the models was inferred by tensiometric, rheological, spectroscopical, and morphological techniques, which showed that this compound altered the thermodynamic, viscoelastic, structural, and morphological properties of the film. Taking together, these results could be employed when this prodrug interacts with lipidic interfaces, such as protozoa membranes or liposomes for drug delivery systems.</t>
  </si>
  <si>
    <t>[Londero, Vinicius S.; Rosa, Matheus E.; Caseli, Luciano] Univ Fed Sao Paulo, Inst Environm Chem &amp; Pharmaceut Sci, BR-09972270 Sao Paulo, Brazil; [Baitello, Joao B.] Forestry Inst, Div Dason, BR-02377000 Sao Paulo, Brazil; [Costa-Silva, Thais A.] Fed Univ ABC, Ctr Nat &amp; Human Sci, BR-09210180 Sao Paulo, Brazil; [Cruz, Lucas Monteiro S.] Adolfo Lutz Inst, Organ Contaminants Nucleus Contaminants Ctr, BR-01246902 Sao Paulo, Brazil; [Tempone, Andre G.; Lago, Joao Henrique G.] Adolfo Lutz Inst, Ctr Parasitol &amp; Mycol, BR-01246902 Sao Paulo, Brazil</t>
  </si>
  <si>
    <t>Universidade Federal de Sao Paulo (UNIFESP); Instituto Adolfo Lutz; Instituto Adolfo Lutz</t>
  </si>
  <si>
    <t>Caseli, L (corresponding author), Univ Fed Sao Paulo, Inst Environm Chem &amp; Pharmaceut Sci, BR-09972270 Sao Paulo, Brazil.;Lago, JHG (corresponding author), Adolfo Lutz Inst, Ctr Parasitol &amp; Mycol, BR-01246902 Sao Paulo, Brazil.</t>
  </si>
  <si>
    <t>lcaselli@unifesp.br; joao.lago@ufabc.edu.br</t>
  </si>
  <si>
    <t>FAPESP [2022/03736-7, 2021/15084-1, 2021/02789-7, 2018/22214-6, 2014/50869-6, 001]; CNPq; Coordenacao de Aperfeicoamento de Pessoal de Nivel Superior - Brazil (CAPES); Instituto Florestal - Sao Paulo State; [2017/17044-1]</t>
  </si>
  <si>
    <t>FAPESP(Fundacao de Amparo a Pesquisa do Estado de Sao Paulo (FAPESP)); CNPq(Conselho Nacional de Desenvolvimento Cientifico e Tecnologico (CNPQ)); Coordenacao de Aperfeicoamento de Pessoal de Nivel Superior - Brazil (CAPES)(Coordenacao de Aperfeicoamento de Pessoal de Nivel Superior (CAPES)); Instituto Florestal - Sao Paulo State;</t>
  </si>
  <si>
    <t>This work was supported by FAPESP (grants 2017/17044-1, 2022/03736-7, 2021/15084-1, 2021/02789-7, 2018/22214-6, and 2014/50869-6), CNPq. This study was financed in part by the Coordenacao de Aperfeicoamento de Pessoal de Nivel Superior - Brazil (CAPES) - finance code 001. The authors are grateful for the support of Instituto Florestal - Sao Paulo State.</t>
  </si>
  <si>
    <t>0005-2736</t>
  </si>
  <si>
    <t>1879-2642</t>
  </si>
  <si>
    <t>BBA-BIOMEMBRANES</t>
  </si>
  <si>
    <t>Biochim. Biophys. Acta-Biomembr.</t>
  </si>
  <si>
    <t>10.1016/j.bbamem.2023.184184</t>
  </si>
  <si>
    <t>Q9WK9</t>
  </si>
  <si>
    <t>WOS:001060946000001</t>
  </si>
  <si>
    <t>Lopes, AV; Lopes, SMR; Pinto, MIM</t>
  </si>
  <si>
    <t>Lopes, A. V.; Lopes, S. M. R.; Pinto, M. I. M.</t>
  </si>
  <si>
    <t>Flexural stiffness and structural behavior of alkali-activated metakaolin faced with cement-based beams</t>
  </si>
  <si>
    <t>P -d beam behavior; Experimental analysis; Metakaolin-based geopolymer; Ultimate strength; Ductility; Beam failure</t>
  </si>
  <si>
    <t>GEOPOLYMER CONCRETE BEAMS; FLY-ASH; DRYING SHRINKAGE; PERFORMANCE EVALUATION; MECHANICAL-PROPERTIES; SLAG CONCRETE; STRENGTH; TECHNOLOGY; PASTES</t>
  </si>
  <si>
    <t>In this work, the authors intend to experimentally analyze the viability of using geopolymers, in particular, by means of alkali-activated metakaolin as a binder in the construction of beams. For this, an experimental procedure will be used, where 15 reinforced beams will be tested. Of these, 10 are built using two geopolymers whose binders are made up of two different metakaolins (white metakaolin supplied by MetaMax and brick-colored metakaolin supplied by Argeco) and the remaining 5 beams will be built with Ordinary Portland Cement mortar. The beams (b = 100 mm x h = 150 mm x L = 1500 mm) were built in groups of 3, with identical reinforcement (reinforcement ratios of 0.38%, 0.57%, 0.75%, 1.01% and 1.34%). They have the particularity of having dimensions smaller than the ones in the practice of Civil Engineering. The beams were tested under 4-point load scheme until failure were carried out. This scheme allowed the evaluation of the necessary parameters to proceed with the evaluation of the structural behavior of the beams, namely in terms of the elastic phase, the development of cracking and plastification, including ultimate strength, ductility and beam failure.It can be concluded that beams constructed with metakaolin offer a viable alternative to cement beams, exhibiting comparable structural behavior and often displaying equivalent or higher strength values. For instance, in relation to yielding loads, white metakaolin beams exhibit an average reduction of approximately 10%, while brick-colored metakaolin beams show similar values (with a non-significant reduction of 1.5%). Notably, metakaolin beams demonstrate distinctive behavior compared to cement beams concerning cracking loads, showcasing an average reduction of approximately 45%. In terms of elastic flexibility under bending, metakaolin beams also exhibit discernible differences in comparison to cement beams. The average deflection at the yield point is 30% higher for white metakaolin beams and 13% higher for brick-colored metakaolin beams.</t>
  </si>
  <si>
    <t>[Lopes, A. V.] Univ Coimbra, Dept Civil Engn, INESC Coimbra, P-3030788 Coimbra, Portugal; [Lopes, S. M. R.; Pinto, M. I. M.] Univ Coimbra, Dept Civil Engn, CEMMPRE, ARISE, P-3030788 Coimbra, Portugal; [Lopes, A. V.] FCTUC, Civil Engn Dept, Coimbra, Portugal</t>
  </si>
  <si>
    <t>Universidade de Coimbra; INESC Coimbra; Universidade de Coimbra; Universidade de Coimbra</t>
  </si>
  <si>
    <t>Lopes, AV (corresponding author), FCTUC, Civil Engn Dept, Coimbra, Portugal.</t>
  </si>
  <si>
    <t>avlopes@dec.uc.pt; sergio@dec.uc.pt; isabelmp@dec.uc.pt</t>
  </si>
  <si>
    <t>Lopes, Sergio MR/A-1637-2010</t>
  </si>
  <si>
    <t>Lopes, Sergio MR/0000-0002-8101-7095</t>
  </si>
  <si>
    <t>national funds through FCT - Fundacao para a Ciencia e a Tecnologia [UIDB/00285/2020, LA/P/0112/2020]</t>
  </si>
  <si>
    <t>national funds through FCT - Fundacao para a Ciencia e a Tecnologia(Fundacao para a Ciencia e a Tecnologia (FCT))</t>
  </si>
  <si>
    <t>This research is sponsored by national funds through FCT - Fundacao para a Ciencia e a Tecnologia, under the project UIDB/00285/2020 and LA/P/0112/2020.</t>
  </si>
  <si>
    <t>10.1016/j.jobe.2023.107310</t>
  </si>
  <si>
    <t>O8AG5</t>
  </si>
  <si>
    <t>WOS:001045973600001</t>
  </si>
  <si>
    <t>Lopes, FV; Ribeiro, EP; Reis, RLA; Silva, KM; Britto, AM; Moraes, CM; Agostinho, RL; Rodrigues, MAM</t>
  </si>
  <si>
    <t>Lopes, Felipe V.; Ribeiro, Eduardo P.; Reis, Raphael L. A.; Silva, Kleber M.; Britto, Amauri M.; Moraes, Caio M.; Agostinho, Rodrigo L.; Rodrigues, Marco A. M.</t>
  </si>
  <si>
    <t>Three-parameter ATP/ATPDraw transmission line high impedance fault model</t>
  </si>
  <si>
    <t>ATP; ATPDraw; Data regression; Fault resistance; High impedance fault; Transmission line; Power systems</t>
  </si>
  <si>
    <t>This paper presents a three-parameter transmission line high impedance fault (HIF) model for the Alternative Transients Program (ATP)/ATPDraw. Real-world HIFs caused by vegetation contact on lines belonging to a Brazilian utility are firstly investigated to identify representative features of the fault resistance behavior during the disturbance period. Then, a data regression method is applied to obtain a time-domain function which emulates the fault resistance. Finally, an ATP/ATPDraw transmission line HIF model is developed and described in detail. For the sake of simplicity, only three parameters are proposed to be used in the model, namely: Initial resistance, final resistance and resistance decaying time constant. To prove the proposed model is representative, real HIF records are compared against ATP/ATPDraw simulated ones. The obtained results show the proposed model satisfactorily emulates the effects of real HIFs.</t>
  </si>
  <si>
    <t>[Lopes, Felipe V.; Reis, Raphael L. A.] Fed Univ Paraiba UFPB, Joao Pessoa, Brazil; [Ribeiro, Eduardo P.; Silva, Kleber M.; Britto, Amauri M.; Moraes, Caio M.] Univ Brasilia UnB, Brasilia, Brazil; [Agostinho, Rodrigo L.] Evoltz, Rio De Janeiro, Brazil; [Rodrigues, Marco A. M.] CEPEL, Rio De Janeiro, Brazil</t>
  </si>
  <si>
    <t>Universidade Federal da Paraiba; Universidade de Brasilia; Eletrobras Cepel</t>
  </si>
  <si>
    <t>Lopes, FV (corresponding author), Fed Univ Paraiba UFPB, Joao Pessoa, Brazil.</t>
  </si>
  <si>
    <t>felipelopes@cear.ufpb.br; eduardopassos@lapse.unb.br; raphael.leite@cear.ufpb.br; klebermelo@lapse.unb.br; amaurigm@lapse.unb.br; caiomoraes@lapse.unb.br; rodrigo.lehnemann@evoltz.com.br; mamr@cepel.br</t>
  </si>
  <si>
    <t>de Andrade Reis, Raphael Leite/X-6854-2019; Lopes, Felipe/N-8272-2017; de Andrade Reis, Raphael Leite/JCE-9476-2023; Martins-Britto, Amauri Gutierrez/GRN-8425-2022</t>
  </si>
  <si>
    <t>de Andrade Reis, Raphael Leite/0000-0002-8155-2530; Lopes, Felipe/0000-0001-6465-8045; Martins-Britto, Amauri Gutierrez/0000-0002-2691-9061; Antonio, Marco/0000-0001-5622-8846</t>
  </si>
  <si>
    <t>CEPEL within the scope of the Ramp;D project [PD-06908-0003/2021]; Brazilian Agency of Electrical Energy (ANEEL) and EVOLTZ</t>
  </si>
  <si>
    <t>CEPEL within the scope of the Ramp;D project; Brazilian Agency of Electrical Energy (ANEEL) and EVOLTZ</t>
  </si>
  <si>
    <t>This work was developed in partnership with IATI and CEPEL within the scope of the R&amp;D project PD-06908-0003/2021, sponsored by the Brazilian Agency of Electrical Energy (ANEEL) and EVOLTZ. The authors thank the cooperation of Ms. Larissa Silva (EVOLTZ) .</t>
  </si>
  <si>
    <t>10.1016/j.epsr.2023.109577</t>
  </si>
  <si>
    <t>N8KW4</t>
  </si>
  <si>
    <t>WOS:001039448500001</t>
  </si>
  <si>
    <t>Lopez-Brau, M; Jara-Ettinger, J</t>
  </si>
  <si>
    <t>Lopez-Brau, Michael; Jara-Ettinger, Julian</t>
  </si>
  <si>
    <t>People can use the placement of objects to infer communicative goals</t>
  </si>
  <si>
    <t>COGNITION</t>
  </si>
  <si>
    <t>Computational modeling; Social objects; Theory of Mind</t>
  </si>
  <si>
    <t>INFANTS INFER; AGENTS; COOPERATION; KNOWLEDGE; ACCOUNT</t>
  </si>
  <si>
    <t>Beyond words and gestures, people have a remarkable capacity to communicate indirectly through everyday objects: A hat on a chair can mean it is occupied, rope hanging across an entrance can mean we should not cross, and objects placed in a closed box can imply they are not ours to take. How do people generate and interpret the communicative meaning of objects? We hypothesized that this capacity is supported by social goal inference, where observers recover what social goal explains an object being placed in a particular location. To test this idea, we study a category of common ad-hoc communicative objects where a small cost is used to signal avoidance. Using computational modeling, we first show that goal inference from indirect physical evidence can give rise to the ability to use object placement to communicate. We then show that people from the U.S. and the Tsimane'-a farming-foraging group native to the Bolivian Amazon-can infer the communicative meaning of object placement in the absence of a pre-existing convention, and that people's inferences are quantitatively predicted by our model. Finally, we show evidence that people can store and retrieve this meaning for use in subsequent encounters, revealing a potential mechanism for how ad-hoc communicative objects become quickly conventionalized. Our model helps shed light on how humans use their ability to interpret other people's behavior to embed social meaning into the physical world.</t>
  </si>
  <si>
    <t>[Lopez-Brau, Michael; Jara-Ettinger, Julian] Yale Univ, Dept Psychol, 2 Hillhouse Ave, New Haven, CT 06520 USA</t>
  </si>
  <si>
    <t>Yale University</t>
  </si>
  <si>
    <t>Lopez-Brau, M (corresponding author), Yale Univ, Dept Psychol, 2 Hillhouse Ave, New Haven, CT 06520 USA.</t>
  </si>
  <si>
    <t>michael.lopez-brau@yale.edu; julian.jara-ettinger@yale.edu</t>
  </si>
  <si>
    <t>NSF [BCS-2045778]</t>
  </si>
  <si>
    <t>NSF(National Science Foundation (NSF))</t>
  </si>
  <si>
    <t>&amp; nbsp;This work was supported by NSF award BCS-2045778 (awarded to Julian Jara-Ettinger) .</t>
  </si>
  <si>
    <t>0010-0277</t>
  </si>
  <si>
    <t>1873-7838</t>
  </si>
  <si>
    <t>Cognition</t>
  </si>
  <si>
    <t>10.1016/j.cognition.2023.105524</t>
  </si>
  <si>
    <t>Psychology, Experimental</t>
  </si>
  <si>
    <t>O6JD8</t>
  </si>
  <si>
    <t>WOS:001044839600001</t>
  </si>
  <si>
    <t>Lorenz, SJ; Sadeghi, F; Sharma, A; Wang, CP; Wang, B</t>
  </si>
  <si>
    <t>Lorenz, Steven J.; Sadeghi, Farshid; Sharma, Akshat; Wang, Chinpei; Wang, Ben</t>
  </si>
  <si>
    <t>An investigation into various failure criteria on rolling contact fatigue through an improved probabilistic model</t>
  </si>
  <si>
    <t>TRIBOLOGY INTERNATIONAL</t>
  </si>
  <si>
    <t>Rolling contact fatigue; Failure criteria; Continuum damage mechanics; Probabilistic</t>
  </si>
  <si>
    <t>BEARING STEELS; MULTIAXIAL FATIGUE; CRACK INITIATION; LIFE; PROPAGATION; LIMIT; MICROSTRUCTURE; SURFACE; BALL; ANISOTROPY</t>
  </si>
  <si>
    <t>This work presents an improved probabilistic continuum damage mechanics (CDM) finite element (FE) model to simulate the degradation of material as a function of cycle in order to estimate rolling contact fatigue (RCF) life of critical tribological components. Traditionally, CDM-FE models consider the shear reversal to be the damage causing stress in RCF; however, in this investigation, the CDM-FE model also considers the octahedral shear stress, the maximum shear stress, the Fatemi-Socie criteria, and the Dang Van multi-axial fatigue parameter as failure criteria. The critical damage material parameters (&amp; sigma;r and m) were obtained from open literature torsion fatigue results. Further, to enable a probabilistic CDM-FE model, the critical damage material parameters (&amp; sigma;r and m) were described via a distribution as opposed to fixed values. This allows for the variation of a material's resistance to fatigue that is present in both torsion and rolling contact fatigue to be captured. Forty unique material microstructure models were created using Voronoi tessellations to capture the random pathways for crack growth. RCF simulations were conducted at five contact pressures between 1.0 GPa and 3.4 GPa. Regression analysis between contact pressure and cycles to failure for each of the failure criteria yielded five unique predictive fatigue life equations, one for each failure criteria investigated. These fatigue life equations were then compared to Lundberg-Palmgren theory considering appropriate material and lubrication factors. The results demonstrated that the Fatemi-Socie and shear stress reversal failure criteria compared favorably to Lundberg-Palmgren theory. Notably, the Fatemi-Socie criteria exhibited closer agreement with Lundberg and Palmgren theory at higher contact pressures, in contrast to the shear reversal criteria.</t>
  </si>
  <si>
    <t>[Lorenz, Steven J.; Sadeghi, Farshid; Sharma, Akshat] Purdue Univ, Sch Mech Engn, W Lafayette, IN 47907 USA; [Wang, Chinpei; Wang, Ben] R&amp;T Cummins Inc, Cummins Tech Ctr, Columbus, IN 47201 USA</t>
  </si>
  <si>
    <t>Purdue University System; Purdue University; Purdue University West Lafayette Campus; Cummins</t>
  </si>
  <si>
    <t>Sadeghi, F (corresponding author), Purdue Univ, Sch Mech Engn, W Lafayette, IN 47907 USA.</t>
  </si>
  <si>
    <t>sadeghi@purdue.edu</t>
  </si>
  <si>
    <t>METL</t>
  </si>
  <si>
    <t>The authors would like to express their deepest appreciation to the METL sponsors for their support of this project.</t>
  </si>
  <si>
    <t>0301-679X</t>
  </si>
  <si>
    <t>1879-2464</t>
  </si>
  <si>
    <t>TRIBOL INT</t>
  </si>
  <si>
    <t>Tribol. Int.</t>
  </si>
  <si>
    <t>10.1016/j.triboint.2023.108875</t>
  </si>
  <si>
    <t>Q7RD6</t>
  </si>
  <si>
    <t>WOS:001059450200001</t>
  </si>
  <si>
    <t>Louppis, AP; Constantinou, MS; Kosma, IS; Badeka, AV; Kontominas, MG; Blando, F; Stamatakos, G</t>
  </si>
  <si>
    <t>Louppis, Artemis P.; Constantinou, Michalis S.; Kosma, Ioanna S.; Badeka, Anastasia V.; Kontominas, Michael G.; Blando, Federica; Stamatakos, Georgios</t>
  </si>
  <si>
    <t>Identification of quality markers for the geographical and botanical differentiation of Mediterranean prickly pears based on conventional physicochemical parameters, volatile compounds, sugars and colour</t>
  </si>
  <si>
    <t>Mediterranean prickly pear; Physicochemical parameters; Geographical; Botanical; Discrimination</t>
  </si>
  <si>
    <t>ELECTRONIC NOSE; ORGANIC-ACIDS; CULTIVARS; ORIGIN; DISCRIMINATION; JUICES; HONEYS; MS</t>
  </si>
  <si>
    <t>Seventy-four prickly pear samples grown in Mediterranean countries (Cyprus, Greece, Italy and Spain) and 43 prickly pear samples, from 3 different Cypriot varieties (Yellow, Red and Spineless), were characterized and differentiated according to geographical and botanical origin. Prickly pear conventional quality parameters (pH, electrical conductivity, titratable acidity, moisture content, crude fat and protein, total carbohydrates and ash) were determined using official methods of analysis. Colour parameters were determined using HunterLab tristimulus colorimetry and individual sugars using UPLC-MS/MS. Volatile compounds were identified and semiquantified using solid-phase microextraction in combination with gas chromatography-mass spectrometry. Multivariate analysis of variance (MANOVA) and linear discriminant analysis (LDA) were used to analyze the experimental data. Results showed that the combination of physicochemical parameters and volatiles gave a correct differentiation rate of 80.8% according to geographical origin while the combination of physicochemical parameters gave a correct differentiation rate 95.3% according to botanical origin using the cross-validation method.</t>
  </si>
  <si>
    <t>[Louppis, Artemis P.; Constantinou, Michalis S.] MC Anal Ctr Ltd, Analyt Dept, CY-2563 Nicosia, Cyprus; [Kosma, Ioanna S.; Badeka, Anastasia V.; Stamatakos, Georgios] Univ Ioannina, Dept Chem, Lab Food Chem, GR-45110 Ioannina, Greece; [Blando, Federica] CNR, Inst Sci Food Prod ISPA, I-73100 Lecce, Italy</t>
  </si>
  <si>
    <t>University of Ioannina; Consiglio Nazionale delle Ricerche (CNR); Istituto Scienze delle Produzioni Alimentari (ISPA-CNR)</t>
  </si>
  <si>
    <t>Louppis, AP (corresponding author), MC Anal Ctr Ltd, Analyt Dept, CY-2563 Nicosia, Cyprus.</t>
  </si>
  <si>
    <t>artemislouppis@gmail.com</t>
  </si>
  <si>
    <t>European Regional Development Fund; Republic of Cyprus through the Cyprus Research and Innovation Foundation; [CYPRIPE POST-DOC/0718/0025]</t>
  </si>
  <si>
    <t>European Regional Development Fund(European Union (EU)); Republic of Cyprus through the Cyprus Research and Innovation Foundation;</t>
  </si>
  <si>
    <t>Acknowledgments The authors are grateful to the prickly pear producers for providing the samples. This research was co-funded by the European Regional Development Fund and the Republic of Cyprus through the Cyprus Research and Innovation Foundation (Project CYPRIPE POST-DOC/0718/0025) .</t>
  </si>
  <si>
    <t>10.1016/j.jfca.2023.105579</t>
  </si>
  <si>
    <t>Q0LB6</t>
  </si>
  <si>
    <t>WOS:001054503000001</t>
  </si>
  <si>
    <t>Lozano, I; Rondan, J; Vegas, JM</t>
  </si>
  <si>
    <t>Lozano, Inigo; Rondan, Juan; Vegas, Jose M.</t>
  </si>
  <si>
    <t>Intensified Antithrombotic Regimens After the Initial Period of Double Antiplatelet Therapy: Are We Following the Evidence?</t>
  </si>
  <si>
    <t>[Lozano, Inigo; Rondan, Juan; Vegas, Jose M.] Hosp Cabuenes, Dept Cardiol, Gijon, Spain</t>
  </si>
  <si>
    <t>Hospital de Cabuenes</t>
  </si>
  <si>
    <t>Lozano, I (corresponding author), Hosp Cabuenes, Dept Cardiol, Gijon, Spain.</t>
  </si>
  <si>
    <t>S2JZ5</t>
  </si>
  <si>
    <t>WOS:001069496200001</t>
  </si>
  <si>
    <t>Lu, XJ; Ma, F; Wang, TY; Wen, FH</t>
  </si>
  <si>
    <t>Lu, Xinjie; Ma, Feng; Wang, Tianyang; Wen, Fenghua</t>
  </si>
  <si>
    <t>International stock market volatility: A data-rich environment based on oil shocks</t>
  </si>
  <si>
    <t>JOURNAL OF ECONOMIC BEHAVIOR &amp; ORGANIZATION</t>
  </si>
  <si>
    <t>Oil shock; International stock market volatility; Big data environment; Markov-regime switching; COVID-19 pandemic</t>
  </si>
  <si>
    <t>PRICE SHOCKS; POLICY UNCERTAINTY; RETURNS; US; RISK; MACROECONOMY; SENTIMENT; COMPONENT; DYNAMICS; IMPACTS</t>
  </si>
  <si>
    <t>This paper investigates the predictive ability of oil shocks for international stock market volatility based on a data-rich environment. Our empirical analysis shows that multiple oil shock measures contain valuable information for predicting stock market volatility, in addition to traditional economic variables and uncertainty indices. Moreover, based on the group 7 countries, the least absolute shrinkage and selection operator method and regime-switching model jointly deliver incremental improvement in forecasting accuracy from both statistical and economic perspec-tives. These results are confirmed by robustness checks under different business cycles and market conditions, including the COVID-19 pandemic.</t>
  </si>
  <si>
    <t>[Lu, Xinjie; Ma, Feng] Southwest Jiaotong Univ, Sch Econ &amp; Management, Chengdu, Peoples R China; [Lu, Xinjie; Ma, Feng] Serv Sci &amp; Innovat Key Lab Sichuan Prov, Chengdu, Peoples R China; [Wang, Tianyang] Colorado State Univ, Dept Finance &amp; Real Estate, Ft Collins, CO USA; [Wen, Fenghua] Cent South Univ, Sch Business, Changsha, Peoples R China</t>
  </si>
  <si>
    <t>Southwest Jiaotong University; Colorado State University; Central South University</t>
  </si>
  <si>
    <t>Ma, F (corresponding author), Southwest Jiaotong Univ, Sch Econ &amp; Management, Chengdu, Peoples R China.</t>
  </si>
  <si>
    <t>luxinjie@my.swjtu.edu.cn; mafeng2016@swjtu.edu.cn; tianyang.wang@colostate.edu; wfh@amss.ac.cn</t>
  </si>
  <si>
    <t>Natural Science Foundation of China [72071162]; Natural Science Foundation of Sichuan Province [2022NSFSC0917]</t>
  </si>
  <si>
    <t>Natural Science Foundation of China(National Natural Science Foundation of China (NSFC)); Natural Science Foundation of Sichuan Province</t>
  </si>
  <si>
    <t>The authors are grateful to the editor and anonymous referees for insightful comments that significantly improved the paper. This work is supported by the Natural Science Foundation of China [72071162] , the Natural Science Foundation of Sichuan Province [2022NSFSC0917] .</t>
  </si>
  <si>
    <t>0167-2681</t>
  </si>
  <si>
    <t>1879-1751</t>
  </si>
  <si>
    <t>J ECON BEHAV ORGAN</t>
  </si>
  <si>
    <t>J. Econ. Behav. Organ.</t>
  </si>
  <si>
    <t>10.1016/j.jebo.2023.08.005</t>
  </si>
  <si>
    <t>R2KM5</t>
  </si>
  <si>
    <t>WOS:001062686600001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</si>
</sst>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01"/>
  <sheetViews>
    <sheetView tabSelected="1" workbookViewId="0"/>
  </sheetViews>
  <sheetFormatPr baseColWidth="10" defaultColWidth="8.83203125" defaultRowHeight="13" x14ac:dyDescent="0.15"/>
  <sheetData>
    <row r="1" spans="1:72"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1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74</v>
      </c>
      <c r="AB2" t="s">
        <v>74</v>
      </c>
      <c r="AC2" t="s">
        <v>87</v>
      </c>
      <c r="AD2" t="s">
        <v>88</v>
      </c>
      <c r="AE2" t="s">
        <v>89</v>
      </c>
      <c r="AF2" t="s">
        <v>74</v>
      </c>
      <c r="AG2">
        <v>40</v>
      </c>
      <c r="AH2">
        <v>0</v>
      </c>
      <c r="AI2">
        <v>0</v>
      </c>
      <c r="AJ2">
        <v>0</v>
      </c>
      <c r="AK2">
        <v>0</v>
      </c>
      <c r="AL2" t="s">
        <v>90</v>
      </c>
      <c r="AM2" t="s">
        <v>91</v>
      </c>
      <c r="AN2" t="s">
        <v>92</v>
      </c>
      <c r="AO2" t="s">
        <v>93</v>
      </c>
      <c r="AP2" t="s">
        <v>94</v>
      </c>
      <c r="AQ2" t="s">
        <v>74</v>
      </c>
      <c r="AR2" t="s">
        <v>95</v>
      </c>
      <c r="AS2" t="s">
        <v>96</v>
      </c>
      <c r="AT2" t="s">
        <v>97</v>
      </c>
      <c r="AU2">
        <v>2024</v>
      </c>
      <c r="AV2">
        <v>228</v>
      </c>
      <c r="AW2">
        <v>3</v>
      </c>
      <c r="AX2" t="s">
        <v>74</v>
      </c>
      <c r="AY2" t="s">
        <v>74</v>
      </c>
      <c r="AZ2" t="s">
        <v>74</v>
      </c>
      <c r="BA2" t="s">
        <v>74</v>
      </c>
      <c r="BB2" t="s">
        <v>74</v>
      </c>
      <c r="BC2" t="s">
        <v>74</v>
      </c>
      <c r="BD2">
        <v>107502</v>
      </c>
      <c r="BE2" t="s">
        <v>98</v>
      </c>
      <c r="BF2" t="str">
        <f>HYPERLINK("http://dx.doi.org/10.1016/j.jpaa.2023.107502","http://dx.doi.org/10.1016/j.jpaa.2023.107502")</f>
        <v>http://dx.doi.org/10.1016/j.jpaa.2023.107502</v>
      </c>
      <c r="BG2" t="s">
        <v>74</v>
      </c>
      <c r="BH2" t="s">
        <v>74</v>
      </c>
      <c r="BI2">
        <v>31</v>
      </c>
      <c r="BJ2" t="s">
        <v>99</v>
      </c>
      <c r="BK2" t="s">
        <v>100</v>
      </c>
      <c r="BL2" t="s">
        <v>101</v>
      </c>
      <c r="BM2" t="s">
        <v>102</v>
      </c>
      <c r="BN2" t="s">
        <v>74</v>
      </c>
      <c r="BO2" t="s">
        <v>103</v>
      </c>
      <c r="BP2" t="s">
        <v>74</v>
      </c>
      <c r="BQ2" t="s">
        <v>74</v>
      </c>
      <c r="BR2" t="s">
        <v>104</v>
      </c>
      <c r="BS2" t="s">
        <v>105</v>
      </c>
      <c r="BT2" t="str">
        <f>HYPERLINK("https%3A%2F%2Fwww.webofscience.com%2Fwos%2Fwoscc%2Ffull-record%2FWOS:001066233100001","View Full Record in Web of Science")</f>
        <v>View Full Record in Web of Science</v>
      </c>
    </row>
    <row r="3" spans="1:72" x14ac:dyDescent="0.15">
      <c r="A3" t="s">
        <v>72</v>
      </c>
      <c r="B3" t="s">
        <v>106</v>
      </c>
      <c r="C3" t="s">
        <v>74</v>
      </c>
      <c r="D3" t="s">
        <v>74</v>
      </c>
      <c r="E3" t="s">
        <v>74</v>
      </c>
      <c r="F3" t="s">
        <v>107</v>
      </c>
      <c r="G3" t="s">
        <v>74</v>
      </c>
      <c r="H3" t="s">
        <v>74</v>
      </c>
      <c r="I3" t="s">
        <v>108</v>
      </c>
      <c r="J3" t="s">
        <v>109</v>
      </c>
      <c r="K3" t="s">
        <v>74</v>
      </c>
      <c r="L3" t="s">
        <v>74</v>
      </c>
      <c r="M3" t="s">
        <v>78</v>
      </c>
      <c r="N3" t="s">
        <v>79</v>
      </c>
      <c r="O3" t="s">
        <v>74</v>
      </c>
      <c r="P3" t="s">
        <v>74</v>
      </c>
      <c r="Q3" t="s">
        <v>74</v>
      </c>
      <c r="R3" t="s">
        <v>74</v>
      </c>
      <c r="S3" t="s">
        <v>74</v>
      </c>
      <c r="T3" t="s">
        <v>110</v>
      </c>
      <c r="U3" t="s">
        <v>111</v>
      </c>
      <c r="V3" t="s">
        <v>112</v>
      </c>
      <c r="W3" t="s">
        <v>113</v>
      </c>
      <c r="X3" t="s">
        <v>114</v>
      </c>
      <c r="Y3" t="s">
        <v>115</v>
      </c>
      <c r="Z3" t="s">
        <v>116</v>
      </c>
      <c r="AA3" t="s">
        <v>74</v>
      </c>
      <c r="AB3" t="s">
        <v>74</v>
      </c>
      <c r="AC3" t="s">
        <v>117</v>
      </c>
      <c r="AD3" t="s">
        <v>118</v>
      </c>
      <c r="AE3" t="s">
        <v>119</v>
      </c>
      <c r="AF3" t="s">
        <v>74</v>
      </c>
      <c r="AG3">
        <v>37</v>
      </c>
      <c r="AH3">
        <v>0</v>
      </c>
      <c r="AI3">
        <v>0</v>
      </c>
      <c r="AJ3">
        <v>9</v>
      </c>
      <c r="AK3">
        <v>9</v>
      </c>
      <c r="AL3" t="s">
        <v>120</v>
      </c>
      <c r="AM3" t="s">
        <v>121</v>
      </c>
      <c r="AN3" t="s">
        <v>122</v>
      </c>
      <c r="AO3" t="s">
        <v>123</v>
      </c>
      <c r="AP3" t="s">
        <v>124</v>
      </c>
      <c r="AQ3" t="s">
        <v>74</v>
      </c>
      <c r="AR3" t="s">
        <v>125</v>
      </c>
      <c r="AS3" t="s">
        <v>126</v>
      </c>
      <c r="AT3" t="s">
        <v>127</v>
      </c>
      <c r="AU3">
        <v>2024</v>
      </c>
      <c r="AV3">
        <v>433</v>
      </c>
      <c r="AW3" t="s">
        <v>74</v>
      </c>
      <c r="AX3" t="s">
        <v>74</v>
      </c>
      <c r="AY3" t="s">
        <v>74</v>
      </c>
      <c r="AZ3" t="s">
        <v>74</v>
      </c>
      <c r="BA3" t="s">
        <v>74</v>
      </c>
      <c r="BB3" t="s">
        <v>74</v>
      </c>
      <c r="BC3" t="s">
        <v>74</v>
      </c>
      <c r="BD3">
        <v>137374</v>
      </c>
      <c r="BE3" t="s">
        <v>128</v>
      </c>
      <c r="BF3" t="str">
        <f>HYPERLINK("http://dx.doi.org/10.1016/j.foodchem.2023.137374","http://dx.doi.org/10.1016/j.foodchem.2023.137374")</f>
        <v>http://dx.doi.org/10.1016/j.foodchem.2023.137374</v>
      </c>
      <c r="BG3" t="s">
        <v>74</v>
      </c>
      <c r="BH3" t="s">
        <v>74</v>
      </c>
      <c r="BI3">
        <v>11</v>
      </c>
      <c r="BJ3" t="s">
        <v>129</v>
      </c>
      <c r="BK3" t="s">
        <v>100</v>
      </c>
      <c r="BL3" t="s">
        <v>130</v>
      </c>
      <c r="BM3" t="s">
        <v>131</v>
      </c>
      <c r="BN3">
        <v>37683471</v>
      </c>
      <c r="BO3" t="s">
        <v>74</v>
      </c>
      <c r="BP3" t="s">
        <v>74</v>
      </c>
      <c r="BQ3" t="s">
        <v>74</v>
      </c>
      <c r="BR3" t="s">
        <v>104</v>
      </c>
      <c r="BS3" t="s">
        <v>132</v>
      </c>
      <c r="BT3" t="str">
        <f>HYPERLINK("https%3A%2F%2Fwww.webofscience.com%2Fwos%2Fwoscc%2Ffull-record%2FWOS:001073539300001","View Full Record in Web of Science")</f>
        <v>View Full Record in Web of Science</v>
      </c>
    </row>
    <row r="4" spans="1:72" x14ac:dyDescent="0.15">
      <c r="A4" t="s">
        <v>72</v>
      </c>
      <c r="B4" t="s">
        <v>133</v>
      </c>
      <c r="C4" t="s">
        <v>74</v>
      </c>
      <c r="D4" t="s">
        <v>74</v>
      </c>
      <c r="E4" t="s">
        <v>74</v>
      </c>
      <c r="F4" t="s">
        <v>134</v>
      </c>
      <c r="G4" t="s">
        <v>74</v>
      </c>
      <c r="H4" t="s">
        <v>74</v>
      </c>
      <c r="I4" t="s">
        <v>135</v>
      </c>
      <c r="J4" t="s">
        <v>136</v>
      </c>
      <c r="K4" t="s">
        <v>74</v>
      </c>
      <c r="L4" t="s">
        <v>74</v>
      </c>
      <c r="M4" t="s">
        <v>78</v>
      </c>
      <c r="N4" t="s">
        <v>79</v>
      </c>
      <c r="O4" t="s">
        <v>74</v>
      </c>
      <c r="P4" t="s">
        <v>74</v>
      </c>
      <c r="Q4" t="s">
        <v>74</v>
      </c>
      <c r="R4" t="s">
        <v>74</v>
      </c>
      <c r="S4" t="s">
        <v>74</v>
      </c>
      <c r="T4" t="s">
        <v>137</v>
      </c>
      <c r="U4" t="s">
        <v>138</v>
      </c>
      <c r="V4" t="s">
        <v>139</v>
      </c>
      <c r="W4" t="s">
        <v>140</v>
      </c>
      <c r="X4" t="s">
        <v>141</v>
      </c>
      <c r="Y4" t="s">
        <v>142</v>
      </c>
      <c r="Z4" t="s">
        <v>143</v>
      </c>
      <c r="AA4" t="s">
        <v>74</v>
      </c>
      <c r="AB4" t="s">
        <v>74</v>
      </c>
      <c r="AC4" t="s">
        <v>144</v>
      </c>
      <c r="AD4" t="s">
        <v>145</v>
      </c>
      <c r="AE4" t="s">
        <v>146</v>
      </c>
      <c r="AF4" t="s">
        <v>74</v>
      </c>
      <c r="AG4">
        <v>39</v>
      </c>
      <c r="AH4">
        <v>0</v>
      </c>
      <c r="AI4">
        <v>0</v>
      </c>
      <c r="AJ4">
        <v>9</v>
      </c>
      <c r="AK4">
        <v>9</v>
      </c>
      <c r="AL4" t="s">
        <v>147</v>
      </c>
      <c r="AM4" t="s">
        <v>148</v>
      </c>
      <c r="AN4" t="s">
        <v>149</v>
      </c>
      <c r="AO4" t="s">
        <v>150</v>
      </c>
      <c r="AP4" t="s">
        <v>151</v>
      </c>
      <c r="AQ4" t="s">
        <v>74</v>
      </c>
      <c r="AR4" t="s">
        <v>136</v>
      </c>
      <c r="AS4" t="s">
        <v>152</v>
      </c>
      <c r="AT4" t="s">
        <v>153</v>
      </c>
      <c r="AU4">
        <v>2024</v>
      </c>
      <c r="AV4">
        <v>85</v>
      </c>
      <c r="AW4" t="s">
        <v>74</v>
      </c>
      <c r="AX4" t="s">
        <v>74</v>
      </c>
      <c r="AY4" t="s">
        <v>74</v>
      </c>
      <c r="AZ4" t="s">
        <v>74</v>
      </c>
      <c r="BA4" t="s">
        <v>74</v>
      </c>
      <c r="BB4">
        <v>268</v>
      </c>
      <c r="BC4">
        <v>279</v>
      </c>
      <c r="BD4" t="s">
        <v>74</v>
      </c>
      <c r="BE4" t="s">
        <v>154</v>
      </c>
      <c r="BF4" t="str">
        <f>HYPERLINK("http://dx.doi.org/10.1016/j.partic.2023.06.018","http://dx.doi.org/10.1016/j.partic.2023.06.018")</f>
        <v>http://dx.doi.org/10.1016/j.partic.2023.06.018</v>
      </c>
      <c r="BG4" t="s">
        <v>74</v>
      </c>
      <c r="BH4" t="s">
        <v>74</v>
      </c>
      <c r="BI4">
        <v>12</v>
      </c>
      <c r="BJ4" t="s">
        <v>155</v>
      </c>
      <c r="BK4" t="s">
        <v>100</v>
      </c>
      <c r="BL4" t="s">
        <v>156</v>
      </c>
      <c r="BM4" t="s">
        <v>157</v>
      </c>
      <c r="BN4" t="s">
        <v>74</v>
      </c>
      <c r="BO4" t="s">
        <v>74</v>
      </c>
      <c r="BP4" t="s">
        <v>74</v>
      </c>
      <c r="BQ4" t="s">
        <v>74</v>
      </c>
      <c r="BR4" t="s">
        <v>104</v>
      </c>
      <c r="BS4" t="s">
        <v>158</v>
      </c>
      <c r="BT4" t="str">
        <f>HYPERLINK("https%3A%2F%2Fwww.webofscience.com%2Fwos%2Fwoscc%2Ffull-record%2FWOS:001050512300001","View Full Record in Web of Science")</f>
        <v>View Full Record in Web of Science</v>
      </c>
    </row>
    <row r="5" spans="1:72" x14ac:dyDescent="0.15">
      <c r="A5" t="s">
        <v>72</v>
      </c>
      <c r="B5" t="s">
        <v>159</v>
      </c>
      <c r="C5" t="s">
        <v>74</v>
      </c>
      <c r="D5" t="s">
        <v>74</v>
      </c>
      <c r="E5" t="s">
        <v>74</v>
      </c>
      <c r="F5" t="s">
        <v>160</v>
      </c>
      <c r="G5" t="s">
        <v>74</v>
      </c>
      <c r="H5" t="s">
        <v>74</v>
      </c>
      <c r="I5" t="s">
        <v>161</v>
      </c>
      <c r="J5" t="s">
        <v>162</v>
      </c>
      <c r="K5" t="s">
        <v>74</v>
      </c>
      <c r="L5" t="s">
        <v>74</v>
      </c>
      <c r="M5" t="s">
        <v>78</v>
      </c>
      <c r="N5" t="s">
        <v>79</v>
      </c>
      <c r="O5" t="s">
        <v>74</v>
      </c>
      <c r="P5" t="s">
        <v>74</v>
      </c>
      <c r="Q5" t="s">
        <v>74</v>
      </c>
      <c r="R5" t="s">
        <v>74</v>
      </c>
      <c r="S5" t="s">
        <v>74</v>
      </c>
      <c r="T5" t="s">
        <v>163</v>
      </c>
      <c r="U5" t="s">
        <v>164</v>
      </c>
      <c r="V5" t="s">
        <v>165</v>
      </c>
      <c r="W5" t="s">
        <v>166</v>
      </c>
      <c r="X5" t="s">
        <v>167</v>
      </c>
      <c r="Y5" t="s">
        <v>168</v>
      </c>
      <c r="Z5" t="s">
        <v>169</v>
      </c>
      <c r="AA5" t="s">
        <v>74</v>
      </c>
      <c r="AB5" t="s">
        <v>74</v>
      </c>
      <c r="AC5" t="s">
        <v>170</v>
      </c>
      <c r="AD5" t="s">
        <v>171</v>
      </c>
      <c r="AE5" t="s">
        <v>172</v>
      </c>
      <c r="AF5" t="s">
        <v>74</v>
      </c>
      <c r="AG5">
        <v>90</v>
      </c>
      <c r="AH5">
        <v>0</v>
      </c>
      <c r="AI5">
        <v>0</v>
      </c>
      <c r="AJ5">
        <v>0</v>
      </c>
      <c r="AK5">
        <v>0</v>
      </c>
      <c r="AL5" t="s">
        <v>173</v>
      </c>
      <c r="AM5" t="s">
        <v>121</v>
      </c>
      <c r="AN5" t="s">
        <v>174</v>
      </c>
      <c r="AO5" t="s">
        <v>175</v>
      </c>
      <c r="AP5" t="s">
        <v>176</v>
      </c>
      <c r="AQ5" t="s">
        <v>74</v>
      </c>
      <c r="AR5" t="s">
        <v>177</v>
      </c>
      <c r="AS5" t="s">
        <v>178</v>
      </c>
      <c r="AT5" t="s">
        <v>153</v>
      </c>
      <c r="AU5">
        <v>2024</v>
      </c>
      <c r="AV5">
        <v>236</v>
      </c>
      <c r="AW5" t="s">
        <v>74</v>
      </c>
      <c r="AX5" t="s">
        <v>74</v>
      </c>
      <c r="AY5" t="s">
        <v>74</v>
      </c>
      <c r="AZ5" t="s">
        <v>74</v>
      </c>
      <c r="BA5" t="s">
        <v>74</v>
      </c>
      <c r="BB5" t="s">
        <v>74</v>
      </c>
      <c r="BC5" t="s">
        <v>74</v>
      </c>
      <c r="BD5">
        <v>121363</v>
      </c>
      <c r="BE5" t="s">
        <v>179</v>
      </c>
      <c r="BF5" t="str">
        <f>HYPERLINK("http://dx.doi.org/10.1016/j.eswa.2023.121363","http://dx.doi.org/10.1016/j.eswa.2023.121363")</f>
        <v>http://dx.doi.org/10.1016/j.eswa.2023.121363</v>
      </c>
      <c r="BG5" t="s">
        <v>74</v>
      </c>
      <c r="BH5" t="s">
        <v>74</v>
      </c>
      <c r="BI5">
        <v>16</v>
      </c>
      <c r="BJ5" t="s">
        <v>180</v>
      </c>
      <c r="BK5" t="s">
        <v>100</v>
      </c>
      <c r="BL5" t="s">
        <v>181</v>
      </c>
      <c r="BM5" t="s">
        <v>182</v>
      </c>
      <c r="BN5" t="s">
        <v>74</v>
      </c>
      <c r="BO5" t="s">
        <v>74</v>
      </c>
      <c r="BP5" t="s">
        <v>74</v>
      </c>
      <c r="BQ5" t="s">
        <v>74</v>
      </c>
      <c r="BR5" t="s">
        <v>104</v>
      </c>
      <c r="BS5" t="s">
        <v>183</v>
      </c>
      <c r="BT5" t="str">
        <f>HYPERLINK("https%3A%2F%2Fwww.webofscience.com%2Fwos%2Fwoscc%2Ffull-record%2FWOS:001071022300001","View Full Record in Web of Science")</f>
        <v>View Full Record in Web of Science</v>
      </c>
    </row>
    <row r="6" spans="1:72" x14ac:dyDescent="0.15">
      <c r="A6" t="s">
        <v>72</v>
      </c>
      <c r="B6" t="s">
        <v>184</v>
      </c>
      <c r="C6" t="s">
        <v>74</v>
      </c>
      <c r="D6" t="s">
        <v>74</v>
      </c>
      <c r="E6" t="s">
        <v>74</v>
      </c>
      <c r="F6" t="s">
        <v>185</v>
      </c>
      <c r="G6" t="s">
        <v>74</v>
      </c>
      <c r="H6" t="s">
        <v>74</v>
      </c>
      <c r="I6" t="s">
        <v>186</v>
      </c>
      <c r="J6" t="s">
        <v>187</v>
      </c>
      <c r="K6" t="s">
        <v>74</v>
      </c>
      <c r="L6" t="s">
        <v>74</v>
      </c>
      <c r="M6" t="s">
        <v>78</v>
      </c>
      <c r="N6" t="s">
        <v>79</v>
      </c>
      <c r="O6" t="s">
        <v>74</v>
      </c>
      <c r="P6" t="s">
        <v>74</v>
      </c>
      <c r="Q6" t="s">
        <v>74</v>
      </c>
      <c r="R6" t="s">
        <v>74</v>
      </c>
      <c r="S6" t="s">
        <v>74</v>
      </c>
      <c r="T6" t="s">
        <v>188</v>
      </c>
      <c r="U6" t="s">
        <v>74</v>
      </c>
      <c r="V6" t="s">
        <v>189</v>
      </c>
      <c r="W6" t="s">
        <v>190</v>
      </c>
      <c r="X6" t="s">
        <v>191</v>
      </c>
      <c r="Y6" t="s">
        <v>192</v>
      </c>
      <c r="Z6" t="s">
        <v>193</v>
      </c>
      <c r="AA6" t="s">
        <v>74</v>
      </c>
      <c r="AB6" t="s">
        <v>74</v>
      </c>
      <c r="AC6" t="s">
        <v>194</v>
      </c>
      <c r="AD6" t="s">
        <v>195</v>
      </c>
      <c r="AE6" t="s">
        <v>196</v>
      </c>
      <c r="AF6" t="s">
        <v>74</v>
      </c>
      <c r="AG6">
        <v>41</v>
      </c>
      <c r="AH6">
        <v>0</v>
      </c>
      <c r="AI6">
        <v>0</v>
      </c>
      <c r="AJ6">
        <v>7</v>
      </c>
      <c r="AK6">
        <v>7</v>
      </c>
      <c r="AL6" t="s">
        <v>90</v>
      </c>
      <c r="AM6" t="s">
        <v>91</v>
      </c>
      <c r="AN6" t="s">
        <v>92</v>
      </c>
      <c r="AO6" t="s">
        <v>197</v>
      </c>
      <c r="AP6" t="s">
        <v>198</v>
      </c>
      <c r="AQ6" t="s">
        <v>74</v>
      </c>
      <c r="AR6" t="s">
        <v>199</v>
      </c>
      <c r="AS6" t="s">
        <v>200</v>
      </c>
      <c r="AT6" t="s">
        <v>153</v>
      </c>
      <c r="AU6">
        <v>2024</v>
      </c>
      <c r="AV6">
        <v>437</v>
      </c>
      <c r="AW6" t="s">
        <v>74</v>
      </c>
      <c r="AX6" t="s">
        <v>74</v>
      </c>
      <c r="AY6" t="s">
        <v>74</v>
      </c>
      <c r="AZ6" t="s">
        <v>74</v>
      </c>
      <c r="BA6" t="s">
        <v>74</v>
      </c>
      <c r="BB6" t="s">
        <v>74</v>
      </c>
      <c r="BC6" t="s">
        <v>74</v>
      </c>
      <c r="BD6">
        <v>115462</v>
      </c>
      <c r="BE6" t="s">
        <v>201</v>
      </c>
      <c r="BF6" t="str">
        <f>HYPERLINK("http://dx.doi.org/10.1016/j.cam.2023.115462","http://dx.doi.org/10.1016/j.cam.2023.115462")</f>
        <v>http://dx.doi.org/10.1016/j.cam.2023.115462</v>
      </c>
      <c r="BG6" t="s">
        <v>74</v>
      </c>
      <c r="BH6" t="s">
        <v>74</v>
      </c>
      <c r="BI6">
        <v>13</v>
      </c>
      <c r="BJ6" t="s">
        <v>202</v>
      </c>
      <c r="BK6" t="s">
        <v>100</v>
      </c>
      <c r="BL6" t="s">
        <v>101</v>
      </c>
      <c r="BM6" t="s">
        <v>203</v>
      </c>
      <c r="BN6" t="s">
        <v>74</v>
      </c>
      <c r="BO6" t="s">
        <v>74</v>
      </c>
      <c r="BP6" t="s">
        <v>74</v>
      </c>
      <c r="BQ6" t="s">
        <v>74</v>
      </c>
      <c r="BR6" t="s">
        <v>104</v>
      </c>
      <c r="BS6" t="s">
        <v>204</v>
      </c>
      <c r="BT6" t="str">
        <f>HYPERLINK("https%3A%2F%2Fwww.webofscience.com%2Fwos%2Fwoscc%2Ffull-record%2FWOS:001051603100001","View Full Record in Web of Science")</f>
        <v>View Full Record in Web of Science</v>
      </c>
    </row>
    <row r="7" spans="1:72" x14ac:dyDescent="0.15">
      <c r="A7" t="s">
        <v>72</v>
      </c>
      <c r="B7" t="s">
        <v>205</v>
      </c>
      <c r="C7" t="s">
        <v>74</v>
      </c>
      <c r="D7" t="s">
        <v>74</v>
      </c>
      <c r="E7" t="s">
        <v>74</v>
      </c>
      <c r="F7" t="s">
        <v>206</v>
      </c>
      <c r="G7" t="s">
        <v>74</v>
      </c>
      <c r="H7" t="s">
        <v>74</v>
      </c>
      <c r="I7" t="s">
        <v>207</v>
      </c>
      <c r="J7" t="s">
        <v>109</v>
      </c>
      <c r="K7" t="s">
        <v>74</v>
      </c>
      <c r="L7" t="s">
        <v>74</v>
      </c>
      <c r="M7" t="s">
        <v>78</v>
      </c>
      <c r="N7" t="s">
        <v>79</v>
      </c>
      <c r="O7" t="s">
        <v>74</v>
      </c>
      <c r="P7" t="s">
        <v>74</v>
      </c>
      <c r="Q7" t="s">
        <v>74</v>
      </c>
      <c r="R7" t="s">
        <v>74</v>
      </c>
      <c r="S7" t="s">
        <v>74</v>
      </c>
      <c r="T7" t="s">
        <v>208</v>
      </c>
      <c r="U7" t="s">
        <v>209</v>
      </c>
      <c r="V7" t="s">
        <v>210</v>
      </c>
      <c r="W7" t="s">
        <v>211</v>
      </c>
      <c r="X7" t="s">
        <v>212</v>
      </c>
      <c r="Y7" t="s">
        <v>213</v>
      </c>
      <c r="Z7" t="s">
        <v>214</v>
      </c>
      <c r="AA7" t="s">
        <v>74</v>
      </c>
      <c r="AB7" t="s">
        <v>74</v>
      </c>
      <c r="AC7" t="s">
        <v>215</v>
      </c>
      <c r="AD7" t="s">
        <v>216</v>
      </c>
      <c r="AE7" t="s">
        <v>217</v>
      </c>
      <c r="AF7" t="s">
        <v>74</v>
      </c>
      <c r="AG7">
        <v>46</v>
      </c>
      <c r="AH7">
        <v>0</v>
      </c>
      <c r="AI7">
        <v>0</v>
      </c>
      <c r="AJ7">
        <v>2</v>
      </c>
      <c r="AK7">
        <v>2</v>
      </c>
      <c r="AL7" t="s">
        <v>120</v>
      </c>
      <c r="AM7" t="s">
        <v>121</v>
      </c>
      <c r="AN7" t="s">
        <v>122</v>
      </c>
      <c r="AO7" t="s">
        <v>123</v>
      </c>
      <c r="AP7" t="s">
        <v>124</v>
      </c>
      <c r="AQ7" t="s">
        <v>74</v>
      </c>
      <c r="AR7" t="s">
        <v>125</v>
      </c>
      <c r="AS7" t="s">
        <v>126</v>
      </c>
      <c r="AT7" t="s">
        <v>218</v>
      </c>
      <c r="AU7">
        <v>2024</v>
      </c>
      <c r="AV7">
        <v>432</v>
      </c>
      <c r="AW7" t="s">
        <v>74</v>
      </c>
      <c r="AX7" t="s">
        <v>74</v>
      </c>
      <c r="AY7" t="s">
        <v>74</v>
      </c>
      <c r="AZ7" t="s">
        <v>74</v>
      </c>
      <c r="BA7" t="s">
        <v>74</v>
      </c>
      <c r="BB7" t="s">
        <v>74</v>
      </c>
      <c r="BC7" t="s">
        <v>74</v>
      </c>
      <c r="BD7">
        <v>137237</v>
      </c>
      <c r="BE7" t="s">
        <v>219</v>
      </c>
      <c r="BF7" t="str">
        <f>HYPERLINK("http://dx.doi.org/10.1016/j.foodchem.2023.137237","http://dx.doi.org/10.1016/j.foodchem.2023.137237")</f>
        <v>http://dx.doi.org/10.1016/j.foodchem.2023.137237</v>
      </c>
      <c r="BG7" t="s">
        <v>74</v>
      </c>
      <c r="BH7" t="s">
        <v>74</v>
      </c>
      <c r="BI7">
        <v>11</v>
      </c>
      <c r="BJ7" t="s">
        <v>129</v>
      </c>
      <c r="BK7" t="s">
        <v>100</v>
      </c>
      <c r="BL7" t="s">
        <v>130</v>
      </c>
      <c r="BM7" t="s">
        <v>220</v>
      </c>
      <c r="BN7">
        <v>37657338</v>
      </c>
      <c r="BO7" t="s">
        <v>74</v>
      </c>
      <c r="BP7" t="s">
        <v>74</v>
      </c>
      <c r="BQ7" t="s">
        <v>74</v>
      </c>
      <c r="BR7" t="s">
        <v>104</v>
      </c>
      <c r="BS7" t="s">
        <v>221</v>
      </c>
      <c r="BT7" t="str">
        <f>HYPERLINK("https%3A%2F%2Fwww.webofscience.com%2Fwos%2Fwoscc%2Ffull-record%2FWOS:001071209900001","View Full Record in Web of Science")</f>
        <v>View Full Record in Web of Science</v>
      </c>
    </row>
    <row r="8" spans="1:72" x14ac:dyDescent="0.15">
      <c r="A8" t="s">
        <v>72</v>
      </c>
      <c r="B8" t="s">
        <v>222</v>
      </c>
      <c r="C8" t="s">
        <v>74</v>
      </c>
      <c r="D8" t="s">
        <v>74</v>
      </c>
      <c r="E8" t="s">
        <v>74</v>
      </c>
      <c r="F8" t="s">
        <v>223</v>
      </c>
      <c r="G8" t="s">
        <v>74</v>
      </c>
      <c r="H8" t="s">
        <v>74</v>
      </c>
      <c r="I8" t="s">
        <v>224</v>
      </c>
      <c r="J8" t="s">
        <v>109</v>
      </c>
      <c r="K8" t="s">
        <v>74</v>
      </c>
      <c r="L8" t="s">
        <v>74</v>
      </c>
      <c r="M8" t="s">
        <v>78</v>
      </c>
      <c r="N8" t="s">
        <v>79</v>
      </c>
      <c r="O8" t="s">
        <v>74</v>
      </c>
      <c r="P8" t="s">
        <v>74</v>
      </c>
      <c r="Q8" t="s">
        <v>74</v>
      </c>
      <c r="R8" t="s">
        <v>74</v>
      </c>
      <c r="S8" t="s">
        <v>74</v>
      </c>
      <c r="T8" t="s">
        <v>225</v>
      </c>
      <c r="U8" t="s">
        <v>226</v>
      </c>
      <c r="V8" t="s">
        <v>227</v>
      </c>
      <c r="W8" t="s">
        <v>228</v>
      </c>
      <c r="X8" t="s">
        <v>229</v>
      </c>
      <c r="Y8" t="s">
        <v>230</v>
      </c>
      <c r="Z8" t="s">
        <v>231</v>
      </c>
      <c r="AA8" t="s">
        <v>74</v>
      </c>
      <c r="AB8" t="s">
        <v>74</v>
      </c>
      <c r="AC8" t="s">
        <v>232</v>
      </c>
      <c r="AD8" t="s">
        <v>233</v>
      </c>
      <c r="AE8" t="s">
        <v>234</v>
      </c>
      <c r="AF8" t="s">
        <v>74</v>
      </c>
      <c r="AG8">
        <v>40</v>
      </c>
      <c r="AH8">
        <v>0</v>
      </c>
      <c r="AI8">
        <v>0</v>
      </c>
      <c r="AJ8">
        <v>16</v>
      </c>
      <c r="AK8">
        <v>16</v>
      </c>
      <c r="AL8" t="s">
        <v>120</v>
      </c>
      <c r="AM8" t="s">
        <v>121</v>
      </c>
      <c r="AN8" t="s">
        <v>122</v>
      </c>
      <c r="AO8" t="s">
        <v>123</v>
      </c>
      <c r="AP8" t="s">
        <v>124</v>
      </c>
      <c r="AQ8" t="s">
        <v>74</v>
      </c>
      <c r="AR8" t="s">
        <v>125</v>
      </c>
      <c r="AS8" t="s">
        <v>126</v>
      </c>
      <c r="AT8" t="s">
        <v>218</v>
      </c>
      <c r="AU8">
        <v>2024</v>
      </c>
      <c r="AV8">
        <v>432</v>
      </c>
      <c r="AW8" t="s">
        <v>74</v>
      </c>
      <c r="AX8" t="s">
        <v>74</v>
      </c>
      <c r="AY8" t="s">
        <v>74</v>
      </c>
      <c r="AZ8" t="s">
        <v>74</v>
      </c>
      <c r="BA8" t="s">
        <v>74</v>
      </c>
      <c r="BB8" t="s">
        <v>74</v>
      </c>
      <c r="BC8" t="s">
        <v>74</v>
      </c>
      <c r="BD8">
        <v>137192</v>
      </c>
      <c r="BE8" t="s">
        <v>235</v>
      </c>
      <c r="BF8" t="str">
        <f>HYPERLINK("http://dx.doi.org/10.1016/j.foodchem.2023.137192","http://dx.doi.org/10.1016/j.foodchem.2023.137192")</f>
        <v>http://dx.doi.org/10.1016/j.foodchem.2023.137192</v>
      </c>
      <c r="BG8" t="s">
        <v>74</v>
      </c>
      <c r="BH8" t="s">
        <v>74</v>
      </c>
      <c r="BI8">
        <v>9</v>
      </c>
      <c r="BJ8" t="s">
        <v>129</v>
      </c>
      <c r="BK8" t="s">
        <v>100</v>
      </c>
      <c r="BL8" t="s">
        <v>130</v>
      </c>
      <c r="BM8" t="s">
        <v>236</v>
      </c>
      <c r="BN8">
        <v>37633144</v>
      </c>
      <c r="BO8" t="s">
        <v>74</v>
      </c>
      <c r="BP8" t="s">
        <v>74</v>
      </c>
      <c r="BQ8" t="s">
        <v>74</v>
      </c>
      <c r="BR8" t="s">
        <v>104</v>
      </c>
      <c r="BS8" t="s">
        <v>237</v>
      </c>
      <c r="BT8" t="str">
        <f>HYPERLINK("https%3A%2F%2Fwww.webofscience.com%2Fwos%2Fwoscc%2Ffull-record%2FWOS:001066072500001","View Full Record in Web of Science")</f>
        <v>View Full Record in Web of Science</v>
      </c>
    </row>
    <row r="9" spans="1:72" x14ac:dyDescent="0.15">
      <c r="A9" t="s">
        <v>72</v>
      </c>
      <c r="B9" t="s">
        <v>238</v>
      </c>
      <c r="C9" t="s">
        <v>74</v>
      </c>
      <c r="D9" t="s">
        <v>74</v>
      </c>
      <c r="E9" t="s">
        <v>74</v>
      </c>
      <c r="F9" t="s">
        <v>239</v>
      </c>
      <c r="G9" t="s">
        <v>74</v>
      </c>
      <c r="H9" t="s">
        <v>74</v>
      </c>
      <c r="I9" t="s">
        <v>240</v>
      </c>
      <c r="J9" t="s">
        <v>109</v>
      </c>
      <c r="K9" t="s">
        <v>74</v>
      </c>
      <c r="L9" t="s">
        <v>74</v>
      </c>
      <c r="M9" t="s">
        <v>78</v>
      </c>
      <c r="N9" t="s">
        <v>241</v>
      </c>
      <c r="O9" t="s">
        <v>74</v>
      </c>
      <c r="P9" t="s">
        <v>74</v>
      </c>
      <c r="Q9" t="s">
        <v>74</v>
      </c>
      <c r="R9" t="s">
        <v>74</v>
      </c>
      <c r="S9" t="s">
        <v>74</v>
      </c>
      <c r="T9" t="s">
        <v>242</v>
      </c>
      <c r="U9" t="s">
        <v>243</v>
      </c>
      <c r="V9" t="s">
        <v>244</v>
      </c>
      <c r="W9" t="s">
        <v>245</v>
      </c>
      <c r="X9" t="s">
        <v>246</v>
      </c>
      <c r="Y9" t="s">
        <v>247</v>
      </c>
      <c r="Z9" t="s">
        <v>248</v>
      </c>
      <c r="AA9" t="s">
        <v>249</v>
      </c>
      <c r="AB9" t="s">
        <v>250</v>
      </c>
      <c r="AC9" t="s">
        <v>251</v>
      </c>
      <c r="AD9" t="s">
        <v>252</v>
      </c>
      <c r="AE9" t="s">
        <v>253</v>
      </c>
      <c r="AF9" t="s">
        <v>74</v>
      </c>
      <c r="AG9">
        <v>111</v>
      </c>
      <c r="AH9">
        <v>0</v>
      </c>
      <c r="AI9">
        <v>0</v>
      </c>
      <c r="AJ9">
        <v>10</v>
      </c>
      <c r="AK9">
        <v>10</v>
      </c>
      <c r="AL9" t="s">
        <v>120</v>
      </c>
      <c r="AM9" t="s">
        <v>121</v>
      </c>
      <c r="AN9" t="s">
        <v>122</v>
      </c>
      <c r="AO9" t="s">
        <v>123</v>
      </c>
      <c r="AP9" t="s">
        <v>124</v>
      </c>
      <c r="AQ9" t="s">
        <v>74</v>
      </c>
      <c r="AR9" t="s">
        <v>125</v>
      </c>
      <c r="AS9" t="s">
        <v>126</v>
      </c>
      <c r="AT9" t="s">
        <v>254</v>
      </c>
      <c r="AU9">
        <v>2024</v>
      </c>
      <c r="AV9">
        <v>431</v>
      </c>
      <c r="AW9" t="s">
        <v>74</v>
      </c>
      <c r="AX9" t="s">
        <v>74</v>
      </c>
      <c r="AY9" t="s">
        <v>74</v>
      </c>
      <c r="AZ9" t="s">
        <v>74</v>
      </c>
      <c r="BA9" t="s">
        <v>74</v>
      </c>
      <c r="BB9" t="s">
        <v>74</v>
      </c>
      <c r="BC9" t="s">
        <v>74</v>
      </c>
      <c r="BD9">
        <v>137188</v>
      </c>
      <c r="BE9" t="s">
        <v>255</v>
      </c>
      <c r="BF9" t="str">
        <f>HYPERLINK("http://dx.doi.org/10.1016/j.foodchem.2023.137188","http://dx.doi.org/10.1016/j.foodchem.2023.137188")</f>
        <v>http://dx.doi.org/10.1016/j.foodchem.2023.137188</v>
      </c>
      <c r="BG9" t="s">
        <v>74</v>
      </c>
      <c r="BH9" t="s">
        <v>74</v>
      </c>
      <c r="BI9">
        <v>12</v>
      </c>
      <c r="BJ9" t="s">
        <v>129</v>
      </c>
      <c r="BK9" t="s">
        <v>100</v>
      </c>
      <c r="BL9" t="s">
        <v>130</v>
      </c>
      <c r="BM9" t="s">
        <v>256</v>
      </c>
      <c r="BN9">
        <v>37604009</v>
      </c>
      <c r="BO9" t="s">
        <v>74</v>
      </c>
      <c r="BP9" t="s">
        <v>74</v>
      </c>
      <c r="BQ9" t="s">
        <v>74</v>
      </c>
      <c r="BR9" t="s">
        <v>104</v>
      </c>
      <c r="BS9" t="s">
        <v>257</v>
      </c>
      <c r="BT9" t="str">
        <f>HYPERLINK("https%3A%2F%2Fwww.webofscience.com%2Fwos%2Fwoscc%2Ffull-record%2FWOS:001066363900001","View Full Record in Web of Science")</f>
        <v>View Full Record in Web of Science</v>
      </c>
    </row>
    <row r="10" spans="1:72" x14ac:dyDescent="0.15">
      <c r="A10" t="s">
        <v>72</v>
      </c>
      <c r="B10" t="s">
        <v>258</v>
      </c>
      <c r="C10" t="s">
        <v>74</v>
      </c>
      <c r="D10" t="s">
        <v>74</v>
      </c>
      <c r="E10" t="s">
        <v>74</v>
      </c>
      <c r="F10" t="s">
        <v>259</v>
      </c>
      <c r="G10" t="s">
        <v>74</v>
      </c>
      <c r="H10" t="s">
        <v>74</v>
      </c>
      <c r="I10" t="s">
        <v>260</v>
      </c>
      <c r="J10" t="s">
        <v>261</v>
      </c>
      <c r="K10" t="s">
        <v>74</v>
      </c>
      <c r="L10" t="s">
        <v>74</v>
      </c>
      <c r="M10" t="s">
        <v>78</v>
      </c>
      <c r="N10" t="s">
        <v>79</v>
      </c>
      <c r="O10" t="s">
        <v>74</v>
      </c>
      <c r="P10" t="s">
        <v>74</v>
      </c>
      <c r="Q10" t="s">
        <v>74</v>
      </c>
      <c r="R10" t="s">
        <v>74</v>
      </c>
      <c r="S10" t="s">
        <v>74</v>
      </c>
      <c r="T10" t="s">
        <v>262</v>
      </c>
      <c r="U10" t="s">
        <v>263</v>
      </c>
      <c r="V10" t="s">
        <v>264</v>
      </c>
      <c r="W10" t="s">
        <v>265</v>
      </c>
      <c r="X10" t="s">
        <v>266</v>
      </c>
      <c r="Y10" t="s">
        <v>267</v>
      </c>
      <c r="Z10" t="s">
        <v>268</v>
      </c>
      <c r="AA10" t="s">
        <v>74</v>
      </c>
      <c r="AB10" t="s">
        <v>74</v>
      </c>
      <c r="AC10" t="s">
        <v>269</v>
      </c>
      <c r="AD10" t="s">
        <v>270</v>
      </c>
      <c r="AE10" t="s">
        <v>271</v>
      </c>
      <c r="AF10" t="s">
        <v>74</v>
      </c>
      <c r="AG10">
        <v>46</v>
      </c>
      <c r="AH10">
        <v>0</v>
      </c>
      <c r="AI10">
        <v>0</v>
      </c>
      <c r="AJ10">
        <v>4</v>
      </c>
      <c r="AK10">
        <v>4</v>
      </c>
      <c r="AL10" t="s">
        <v>120</v>
      </c>
      <c r="AM10" t="s">
        <v>121</v>
      </c>
      <c r="AN10" t="s">
        <v>122</v>
      </c>
      <c r="AO10" t="s">
        <v>272</v>
      </c>
      <c r="AP10" t="s">
        <v>273</v>
      </c>
      <c r="AQ10" t="s">
        <v>74</v>
      </c>
      <c r="AR10" t="s">
        <v>261</v>
      </c>
      <c r="AS10" t="s">
        <v>274</v>
      </c>
      <c r="AT10" t="s">
        <v>254</v>
      </c>
      <c r="AU10">
        <v>2024</v>
      </c>
      <c r="AV10">
        <v>356</v>
      </c>
      <c r="AW10" t="s">
        <v>74</v>
      </c>
      <c r="AX10" t="s">
        <v>74</v>
      </c>
      <c r="AY10" t="s">
        <v>74</v>
      </c>
      <c r="AZ10" t="s">
        <v>74</v>
      </c>
      <c r="BA10" t="s">
        <v>74</v>
      </c>
      <c r="BB10" t="s">
        <v>74</v>
      </c>
      <c r="BC10" t="s">
        <v>74</v>
      </c>
      <c r="BD10">
        <v>129543</v>
      </c>
      <c r="BE10" t="s">
        <v>275</v>
      </c>
      <c r="BF10" t="str">
        <f>HYPERLINK("http://dx.doi.org/10.1016/j.fuel.2023.129543","http://dx.doi.org/10.1016/j.fuel.2023.129543")</f>
        <v>http://dx.doi.org/10.1016/j.fuel.2023.129543</v>
      </c>
      <c r="BG10" t="s">
        <v>74</v>
      </c>
      <c r="BH10" t="s">
        <v>74</v>
      </c>
      <c r="BI10">
        <v>10</v>
      </c>
      <c r="BJ10" t="s">
        <v>276</v>
      </c>
      <c r="BK10" t="s">
        <v>100</v>
      </c>
      <c r="BL10" t="s">
        <v>277</v>
      </c>
      <c r="BM10" t="s">
        <v>278</v>
      </c>
      <c r="BN10" t="s">
        <v>74</v>
      </c>
      <c r="BO10" t="s">
        <v>74</v>
      </c>
      <c r="BP10" t="s">
        <v>74</v>
      </c>
      <c r="BQ10" t="s">
        <v>74</v>
      </c>
      <c r="BR10" t="s">
        <v>104</v>
      </c>
      <c r="BS10" t="s">
        <v>279</v>
      </c>
      <c r="BT10" t="str">
        <f>HYPERLINK("https%3A%2F%2Fwww.webofscience.com%2Fwos%2Fwoscc%2Ffull-record%2FWOS:001063349100001","View Full Record in Web of Science")</f>
        <v>View Full Record in Web of Science</v>
      </c>
    </row>
    <row r="11" spans="1:72" x14ac:dyDescent="0.15">
      <c r="A11" t="s">
        <v>72</v>
      </c>
      <c r="B11" t="s">
        <v>280</v>
      </c>
      <c r="C11" t="s">
        <v>74</v>
      </c>
      <c r="D11" t="s">
        <v>74</v>
      </c>
      <c r="E11" t="s">
        <v>74</v>
      </c>
      <c r="F11" t="s">
        <v>281</v>
      </c>
      <c r="G11" t="s">
        <v>74</v>
      </c>
      <c r="H11" t="s">
        <v>74</v>
      </c>
      <c r="I11" t="s">
        <v>282</v>
      </c>
      <c r="J11" t="s">
        <v>261</v>
      </c>
      <c r="K11" t="s">
        <v>74</v>
      </c>
      <c r="L11" t="s">
        <v>74</v>
      </c>
      <c r="M11" t="s">
        <v>78</v>
      </c>
      <c r="N11" t="s">
        <v>79</v>
      </c>
      <c r="O11" t="s">
        <v>74</v>
      </c>
      <c r="P11" t="s">
        <v>74</v>
      </c>
      <c r="Q11" t="s">
        <v>74</v>
      </c>
      <c r="R11" t="s">
        <v>74</v>
      </c>
      <c r="S11" t="s">
        <v>74</v>
      </c>
      <c r="T11" t="s">
        <v>283</v>
      </c>
      <c r="U11" t="s">
        <v>284</v>
      </c>
      <c r="V11" t="s">
        <v>285</v>
      </c>
      <c r="W11" t="s">
        <v>286</v>
      </c>
      <c r="X11" t="s">
        <v>287</v>
      </c>
      <c r="Y11" t="s">
        <v>288</v>
      </c>
      <c r="Z11" t="s">
        <v>289</v>
      </c>
      <c r="AA11" t="s">
        <v>74</v>
      </c>
      <c r="AB11" t="s">
        <v>74</v>
      </c>
      <c r="AC11" t="s">
        <v>290</v>
      </c>
      <c r="AD11" t="s">
        <v>291</v>
      </c>
      <c r="AE11" t="s">
        <v>292</v>
      </c>
      <c r="AF11" t="s">
        <v>74</v>
      </c>
      <c r="AG11">
        <v>32</v>
      </c>
      <c r="AH11">
        <v>0</v>
      </c>
      <c r="AI11">
        <v>0</v>
      </c>
      <c r="AJ11">
        <v>7</v>
      </c>
      <c r="AK11">
        <v>7</v>
      </c>
      <c r="AL11" t="s">
        <v>120</v>
      </c>
      <c r="AM11" t="s">
        <v>121</v>
      </c>
      <c r="AN11" t="s">
        <v>122</v>
      </c>
      <c r="AO11" t="s">
        <v>272</v>
      </c>
      <c r="AP11" t="s">
        <v>273</v>
      </c>
      <c r="AQ11" t="s">
        <v>74</v>
      </c>
      <c r="AR11" t="s">
        <v>261</v>
      </c>
      <c r="AS11" t="s">
        <v>274</v>
      </c>
      <c r="AT11" t="s">
        <v>254</v>
      </c>
      <c r="AU11">
        <v>2024</v>
      </c>
      <c r="AV11">
        <v>356</v>
      </c>
      <c r="AW11" t="s">
        <v>74</v>
      </c>
      <c r="AX11" t="s">
        <v>74</v>
      </c>
      <c r="AY11" t="s">
        <v>74</v>
      </c>
      <c r="AZ11" t="s">
        <v>74</v>
      </c>
      <c r="BA11" t="s">
        <v>74</v>
      </c>
      <c r="BB11" t="s">
        <v>74</v>
      </c>
      <c r="BC11" t="s">
        <v>74</v>
      </c>
      <c r="BD11">
        <v>129511</v>
      </c>
      <c r="BE11" t="s">
        <v>293</v>
      </c>
      <c r="BF11" t="str">
        <f>HYPERLINK("http://dx.doi.org/10.1016/j.fuel.2023.129511","http://dx.doi.org/10.1016/j.fuel.2023.129511")</f>
        <v>http://dx.doi.org/10.1016/j.fuel.2023.129511</v>
      </c>
      <c r="BG11" t="s">
        <v>74</v>
      </c>
      <c r="BH11" t="s">
        <v>74</v>
      </c>
      <c r="BI11">
        <v>8</v>
      </c>
      <c r="BJ11" t="s">
        <v>276</v>
      </c>
      <c r="BK11" t="s">
        <v>100</v>
      </c>
      <c r="BL11" t="s">
        <v>277</v>
      </c>
      <c r="BM11" t="s">
        <v>294</v>
      </c>
      <c r="BN11" t="s">
        <v>74</v>
      </c>
      <c r="BO11" t="s">
        <v>295</v>
      </c>
      <c r="BP11" t="s">
        <v>74</v>
      </c>
      <c r="BQ11" t="s">
        <v>74</v>
      </c>
      <c r="BR11" t="s">
        <v>104</v>
      </c>
      <c r="BS11" t="s">
        <v>296</v>
      </c>
      <c r="BT11" t="str">
        <f>HYPERLINK("https%3A%2F%2Fwww.webofscience.com%2Fwos%2Fwoscc%2Ffull-record%2FWOS:001063116300001","View Full Record in Web of Science")</f>
        <v>View Full Record in Web of Science</v>
      </c>
    </row>
    <row r="12" spans="1:72" x14ac:dyDescent="0.15">
      <c r="A12" t="s">
        <v>72</v>
      </c>
      <c r="B12" t="s">
        <v>297</v>
      </c>
      <c r="C12" t="s">
        <v>74</v>
      </c>
      <c r="D12" t="s">
        <v>74</v>
      </c>
      <c r="E12" t="s">
        <v>74</v>
      </c>
      <c r="F12" t="s">
        <v>298</v>
      </c>
      <c r="G12" t="s">
        <v>74</v>
      </c>
      <c r="H12" t="s">
        <v>74</v>
      </c>
      <c r="I12" t="s">
        <v>299</v>
      </c>
      <c r="J12" t="s">
        <v>109</v>
      </c>
      <c r="K12" t="s">
        <v>74</v>
      </c>
      <c r="L12" t="s">
        <v>74</v>
      </c>
      <c r="M12" t="s">
        <v>78</v>
      </c>
      <c r="N12" t="s">
        <v>79</v>
      </c>
      <c r="O12" t="s">
        <v>74</v>
      </c>
      <c r="P12" t="s">
        <v>74</v>
      </c>
      <c r="Q12" t="s">
        <v>74</v>
      </c>
      <c r="R12" t="s">
        <v>74</v>
      </c>
      <c r="S12" t="s">
        <v>74</v>
      </c>
      <c r="T12" t="s">
        <v>300</v>
      </c>
      <c r="U12" t="s">
        <v>301</v>
      </c>
      <c r="V12" t="s">
        <v>302</v>
      </c>
      <c r="W12" t="s">
        <v>303</v>
      </c>
      <c r="X12" t="s">
        <v>304</v>
      </c>
      <c r="Y12" t="s">
        <v>305</v>
      </c>
      <c r="Z12" t="s">
        <v>306</v>
      </c>
      <c r="AA12" t="s">
        <v>307</v>
      </c>
      <c r="AB12" t="s">
        <v>308</v>
      </c>
      <c r="AC12" t="s">
        <v>309</v>
      </c>
      <c r="AD12" t="s">
        <v>310</v>
      </c>
      <c r="AE12" t="s">
        <v>311</v>
      </c>
      <c r="AF12" t="s">
        <v>74</v>
      </c>
      <c r="AG12">
        <v>31</v>
      </c>
      <c r="AH12">
        <v>0</v>
      </c>
      <c r="AI12">
        <v>0</v>
      </c>
      <c r="AJ12">
        <v>15</v>
      </c>
      <c r="AK12">
        <v>15</v>
      </c>
      <c r="AL12" t="s">
        <v>120</v>
      </c>
      <c r="AM12" t="s">
        <v>121</v>
      </c>
      <c r="AN12" t="s">
        <v>122</v>
      </c>
      <c r="AO12" t="s">
        <v>123</v>
      </c>
      <c r="AP12" t="s">
        <v>124</v>
      </c>
      <c r="AQ12" t="s">
        <v>74</v>
      </c>
      <c r="AR12" t="s">
        <v>125</v>
      </c>
      <c r="AS12" t="s">
        <v>126</v>
      </c>
      <c r="AT12" t="s">
        <v>254</v>
      </c>
      <c r="AU12">
        <v>2024</v>
      </c>
      <c r="AV12">
        <v>431</v>
      </c>
      <c r="AW12" t="s">
        <v>74</v>
      </c>
      <c r="AX12" t="s">
        <v>74</v>
      </c>
      <c r="AY12" t="s">
        <v>74</v>
      </c>
      <c r="AZ12" t="s">
        <v>74</v>
      </c>
      <c r="BA12" t="s">
        <v>74</v>
      </c>
      <c r="BB12" t="s">
        <v>74</v>
      </c>
      <c r="BC12" t="s">
        <v>74</v>
      </c>
      <c r="BD12">
        <v>137058</v>
      </c>
      <c r="BE12" t="s">
        <v>312</v>
      </c>
      <c r="BF12" t="str">
        <f>HYPERLINK("http://dx.doi.org/10.1016/j.foodchem.2023.137058","http://dx.doi.org/10.1016/j.foodchem.2023.137058")</f>
        <v>http://dx.doi.org/10.1016/j.foodchem.2023.137058</v>
      </c>
      <c r="BG12" t="s">
        <v>74</v>
      </c>
      <c r="BH12" t="s">
        <v>74</v>
      </c>
      <c r="BI12">
        <v>8</v>
      </c>
      <c r="BJ12" t="s">
        <v>129</v>
      </c>
      <c r="BK12" t="s">
        <v>100</v>
      </c>
      <c r="BL12" t="s">
        <v>130</v>
      </c>
      <c r="BM12" t="s">
        <v>313</v>
      </c>
      <c r="BN12">
        <v>37591143</v>
      </c>
      <c r="BO12" t="s">
        <v>74</v>
      </c>
      <c r="BP12" t="s">
        <v>74</v>
      </c>
      <c r="BQ12" t="s">
        <v>74</v>
      </c>
      <c r="BR12" t="s">
        <v>104</v>
      </c>
      <c r="BS12" t="s">
        <v>314</v>
      </c>
      <c r="BT12" t="str">
        <f>HYPERLINK("https%3A%2F%2Fwww.webofscience.com%2Fwos%2Fwoscc%2Ffull-record%2FWOS:001059284300001","View Full Record in Web of Science")</f>
        <v>View Full Record in Web of Science</v>
      </c>
    </row>
    <row r="13" spans="1:72" x14ac:dyDescent="0.15">
      <c r="A13" t="s">
        <v>72</v>
      </c>
      <c r="B13" t="s">
        <v>315</v>
      </c>
      <c r="C13" t="s">
        <v>74</v>
      </c>
      <c r="D13" t="s">
        <v>74</v>
      </c>
      <c r="E13" t="s">
        <v>74</v>
      </c>
      <c r="F13" t="s">
        <v>316</v>
      </c>
      <c r="G13" t="s">
        <v>74</v>
      </c>
      <c r="H13" t="s">
        <v>74</v>
      </c>
      <c r="I13" t="s">
        <v>317</v>
      </c>
      <c r="J13" t="s">
        <v>318</v>
      </c>
      <c r="K13" t="s">
        <v>74</v>
      </c>
      <c r="L13" t="s">
        <v>74</v>
      </c>
      <c r="M13" t="s">
        <v>78</v>
      </c>
      <c r="N13" t="s">
        <v>79</v>
      </c>
      <c r="O13" t="s">
        <v>74</v>
      </c>
      <c r="P13" t="s">
        <v>74</v>
      </c>
      <c r="Q13" t="s">
        <v>74</v>
      </c>
      <c r="R13" t="s">
        <v>74</v>
      </c>
      <c r="S13" t="s">
        <v>74</v>
      </c>
      <c r="T13" t="s">
        <v>319</v>
      </c>
      <c r="U13" t="s">
        <v>320</v>
      </c>
      <c r="V13" t="s">
        <v>321</v>
      </c>
      <c r="W13" t="s">
        <v>322</v>
      </c>
      <c r="X13" t="s">
        <v>323</v>
      </c>
      <c r="Y13" t="s">
        <v>324</v>
      </c>
      <c r="Z13" t="s">
        <v>325</v>
      </c>
      <c r="AA13" t="s">
        <v>74</v>
      </c>
      <c r="AB13" t="s">
        <v>74</v>
      </c>
      <c r="AC13" t="s">
        <v>326</v>
      </c>
      <c r="AD13" t="s">
        <v>327</v>
      </c>
      <c r="AE13" t="s">
        <v>328</v>
      </c>
      <c r="AF13" t="s">
        <v>74</v>
      </c>
      <c r="AG13">
        <v>51</v>
      </c>
      <c r="AH13">
        <v>0</v>
      </c>
      <c r="AI13">
        <v>0</v>
      </c>
      <c r="AJ13">
        <v>7</v>
      </c>
      <c r="AK13">
        <v>7</v>
      </c>
      <c r="AL13" t="s">
        <v>329</v>
      </c>
      <c r="AM13" t="s">
        <v>330</v>
      </c>
      <c r="AN13" t="s">
        <v>331</v>
      </c>
      <c r="AO13" t="s">
        <v>332</v>
      </c>
      <c r="AP13" t="s">
        <v>333</v>
      </c>
      <c r="AQ13" t="s">
        <v>74</v>
      </c>
      <c r="AR13" t="s">
        <v>334</v>
      </c>
      <c r="AS13" t="s">
        <v>335</v>
      </c>
      <c r="AT13" t="s">
        <v>336</v>
      </c>
      <c r="AU13">
        <v>2024</v>
      </c>
      <c r="AV13">
        <v>318</v>
      </c>
      <c r="AW13" t="s">
        <v>74</v>
      </c>
      <c r="AX13" t="s">
        <v>337</v>
      </c>
      <c r="AY13" t="s">
        <v>74</v>
      </c>
      <c r="AZ13" t="s">
        <v>74</v>
      </c>
      <c r="BA13" t="s">
        <v>74</v>
      </c>
      <c r="BB13" t="s">
        <v>74</v>
      </c>
      <c r="BC13" t="s">
        <v>74</v>
      </c>
      <c r="BD13">
        <v>116883</v>
      </c>
      <c r="BE13" t="s">
        <v>338</v>
      </c>
      <c r="BF13" t="str">
        <f>HYPERLINK("http://dx.doi.org/10.1016/j.jep.2023.116883","http://dx.doi.org/10.1016/j.jep.2023.116883")</f>
        <v>http://dx.doi.org/10.1016/j.jep.2023.116883</v>
      </c>
      <c r="BG13" t="s">
        <v>74</v>
      </c>
      <c r="BH13" t="s">
        <v>74</v>
      </c>
      <c r="BI13">
        <v>11</v>
      </c>
      <c r="BJ13" t="s">
        <v>339</v>
      </c>
      <c r="BK13" t="s">
        <v>100</v>
      </c>
      <c r="BL13" t="s">
        <v>340</v>
      </c>
      <c r="BM13" t="s">
        <v>341</v>
      </c>
      <c r="BN13">
        <v>37422103</v>
      </c>
      <c r="BO13" t="s">
        <v>74</v>
      </c>
      <c r="BP13" t="s">
        <v>74</v>
      </c>
      <c r="BQ13" t="s">
        <v>74</v>
      </c>
      <c r="BR13" t="s">
        <v>104</v>
      </c>
      <c r="BS13" t="s">
        <v>342</v>
      </c>
      <c r="BT13" t="str">
        <f>HYPERLINK("https%3A%2F%2Fwww.webofscience.com%2Fwos%2Fwoscc%2Ffull-record%2FWOS:001049884500001","View Full Record in Web of Science")</f>
        <v>View Full Record in Web of Science</v>
      </c>
    </row>
    <row r="14" spans="1:72" x14ac:dyDescent="0.15">
      <c r="A14" t="s">
        <v>72</v>
      </c>
      <c r="B14" t="s">
        <v>343</v>
      </c>
      <c r="C14" t="s">
        <v>74</v>
      </c>
      <c r="D14" t="s">
        <v>74</v>
      </c>
      <c r="E14" t="s">
        <v>74</v>
      </c>
      <c r="F14" t="s">
        <v>344</v>
      </c>
      <c r="G14" t="s">
        <v>74</v>
      </c>
      <c r="H14" t="s">
        <v>74</v>
      </c>
      <c r="I14" t="s">
        <v>345</v>
      </c>
      <c r="J14" t="s">
        <v>318</v>
      </c>
      <c r="K14" t="s">
        <v>74</v>
      </c>
      <c r="L14" t="s">
        <v>74</v>
      </c>
      <c r="M14" t="s">
        <v>78</v>
      </c>
      <c r="N14" t="s">
        <v>79</v>
      </c>
      <c r="O14" t="s">
        <v>74</v>
      </c>
      <c r="P14" t="s">
        <v>74</v>
      </c>
      <c r="Q14" t="s">
        <v>74</v>
      </c>
      <c r="R14" t="s">
        <v>74</v>
      </c>
      <c r="S14" t="s">
        <v>74</v>
      </c>
      <c r="T14" t="s">
        <v>346</v>
      </c>
      <c r="U14" t="s">
        <v>347</v>
      </c>
      <c r="V14" t="s">
        <v>348</v>
      </c>
      <c r="W14" t="s">
        <v>349</v>
      </c>
      <c r="X14" t="s">
        <v>350</v>
      </c>
      <c r="Y14" t="s">
        <v>351</v>
      </c>
      <c r="Z14" t="s">
        <v>352</v>
      </c>
      <c r="AA14" t="s">
        <v>74</v>
      </c>
      <c r="AB14" t="s">
        <v>74</v>
      </c>
      <c r="AC14" t="s">
        <v>353</v>
      </c>
      <c r="AD14" t="s">
        <v>354</v>
      </c>
      <c r="AE14" t="s">
        <v>355</v>
      </c>
      <c r="AF14" t="s">
        <v>74</v>
      </c>
      <c r="AG14">
        <v>43</v>
      </c>
      <c r="AH14">
        <v>0</v>
      </c>
      <c r="AI14">
        <v>0</v>
      </c>
      <c r="AJ14">
        <v>0</v>
      </c>
      <c r="AK14">
        <v>0</v>
      </c>
      <c r="AL14" t="s">
        <v>329</v>
      </c>
      <c r="AM14" t="s">
        <v>330</v>
      </c>
      <c r="AN14" t="s">
        <v>331</v>
      </c>
      <c r="AO14" t="s">
        <v>332</v>
      </c>
      <c r="AP14" t="s">
        <v>333</v>
      </c>
      <c r="AQ14" t="s">
        <v>74</v>
      </c>
      <c r="AR14" t="s">
        <v>334</v>
      </c>
      <c r="AS14" t="s">
        <v>335</v>
      </c>
      <c r="AT14" t="s">
        <v>336</v>
      </c>
      <c r="AU14">
        <v>2024</v>
      </c>
      <c r="AV14">
        <v>318</v>
      </c>
      <c r="AW14" t="s">
        <v>74</v>
      </c>
      <c r="AX14" t="s">
        <v>337</v>
      </c>
      <c r="AY14" t="s">
        <v>74</v>
      </c>
      <c r="AZ14" t="s">
        <v>74</v>
      </c>
      <c r="BA14" t="s">
        <v>74</v>
      </c>
      <c r="BB14" t="s">
        <v>74</v>
      </c>
      <c r="BC14" t="s">
        <v>74</v>
      </c>
      <c r="BD14">
        <v>116923</v>
      </c>
      <c r="BE14" t="s">
        <v>356</v>
      </c>
      <c r="BF14" t="str">
        <f>HYPERLINK("http://dx.doi.org/10.1016/j.jep.2023.116923","http://dx.doi.org/10.1016/j.jep.2023.116923")</f>
        <v>http://dx.doi.org/10.1016/j.jep.2023.116923</v>
      </c>
      <c r="BG14" t="s">
        <v>74</v>
      </c>
      <c r="BH14" t="s">
        <v>74</v>
      </c>
      <c r="BI14">
        <v>13</v>
      </c>
      <c r="BJ14" t="s">
        <v>339</v>
      </c>
      <c r="BK14" t="s">
        <v>100</v>
      </c>
      <c r="BL14" t="s">
        <v>340</v>
      </c>
      <c r="BM14" t="s">
        <v>357</v>
      </c>
      <c r="BN14">
        <v>37487967</v>
      </c>
      <c r="BO14" t="s">
        <v>74</v>
      </c>
      <c r="BP14" t="s">
        <v>74</v>
      </c>
      <c r="BQ14" t="s">
        <v>74</v>
      </c>
      <c r="BR14" t="s">
        <v>104</v>
      </c>
      <c r="BS14" t="s">
        <v>358</v>
      </c>
      <c r="BT14" t="str">
        <f>HYPERLINK("https%3A%2F%2Fwww.webofscience.com%2Fwos%2Fwoscc%2Ffull-record%2FWOS:001061982000001","View Full Record in Web of Science")</f>
        <v>View Full Record in Web of Science</v>
      </c>
    </row>
    <row r="15" spans="1:72" x14ac:dyDescent="0.15">
      <c r="A15" t="s">
        <v>72</v>
      </c>
      <c r="B15" t="s">
        <v>359</v>
      </c>
      <c r="C15" t="s">
        <v>74</v>
      </c>
      <c r="D15" t="s">
        <v>74</v>
      </c>
      <c r="E15" t="s">
        <v>74</v>
      </c>
      <c r="F15" t="s">
        <v>360</v>
      </c>
      <c r="G15" t="s">
        <v>74</v>
      </c>
      <c r="H15" t="s">
        <v>74</v>
      </c>
      <c r="I15" t="s">
        <v>361</v>
      </c>
      <c r="J15" t="s">
        <v>318</v>
      </c>
      <c r="K15" t="s">
        <v>74</v>
      </c>
      <c r="L15" t="s">
        <v>74</v>
      </c>
      <c r="M15" t="s">
        <v>78</v>
      </c>
      <c r="N15" t="s">
        <v>79</v>
      </c>
      <c r="O15" t="s">
        <v>74</v>
      </c>
      <c r="P15" t="s">
        <v>74</v>
      </c>
      <c r="Q15" t="s">
        <v>74</v>
      </c>
      <c r="R15" t="s">
        <v>74</v>
      </c>
      <c r="S15" t="s">
        <v>74</v>
      </c>
      <c r="T15" t="s">
        <v>362</v>
      </c>
      <c r="U15" t="s">
        <v>363</v>
      </c>
      <c r="V15" t="s">
        <v>364</v>
      </c>
      <c r="W15" t="s">
        <v>365</v>
      </c>
      <c r="X15" t="s">
        <v>366</v>
      </c>
      <c r="Y15" t="s">
        <v>367</v>
      </c>
      <c r="Z15" t="s">
        <v>368</v>
      </c>
      <c r="AA15" t="s">
        <v>74</v>
      </c>
      <c r="AB15" t="s">
        <v>369</v>
      </c>
      <c r="AC15" t="s">
        <v>370</v>
      </c>
      <c r="AD15" t="s">
        <v>371</v>
      </c>
      <c r="AE15" t="s">
        <v>372</v>
      </c>
      <c r="AF15" t="s">
        <v>74</v>
      </c>
      <c r="AG15">
        <v>41</v>
      </c>
      <c r="AH15">
        <v>0</v>
      </c>
      <c r="AI15">
        <v>0</v>
      </c>
      <c r="AJ15">
        <v>0</v>
      </c>
      <c r="AK15">
        <v>0</v>
      </c>
      <c r="AL15" t="s">
        <v>329</v>
      </c>
      <c r="AM15" t="s">
        <v>330</v>
      </c>
      <c r="AN15" t="s">
        <v>331</v>
      </c>
      <c r="AO15" t="s">
        <v>332</v>
      </c>
      <c r="AP15" t="s">
        <v>333</v>
      </c>
      <c r="AQ15" t="s">
        <v>74</v>
      </c>
      <c r="AR15" t="s">
        <v>334</v>
      </c>
      <c r="AS15" t="s">
        <v>335</v>
      </c>
      <c r="AT15" t="s">
        <v>336</v>
      </c>
      <c r="AU15">
        <v>2024</v>
      </c>
      <c r="AV15">
        <v>318</v>
      </c>
      <c r="AW15" t="s">
        <v>74</v>
      </c>
      <c r="AX15" t="s">
        <v>373</v>
      </c>
      <c r="AY15" t="s">
        <v>74</v>
      </c>
      <c r="AZ15" t="s">
        <v>74</v>
      </c>
      <c r="BA15" t="s">
        <v>74</v>
      </c>
      <c r="BB15" t="s">
        <v>74</v>
      </c>
      <c r="BC15" t="s">
        <v>74</v>
      </c>
      <c r="BD15">
        <v>117044</v>
      </c>
      <c r="BE15" t="s">
        <v>374</v>
      </c>
      <c r="BF15" t="str">
        <f>HYPERLINK("http://dx.doi.org/10.1016/j.jep.2023.117044","http://dx.doi.org/10.1016/j.jep.2023.117044")</f>
        <v>http://dx.doi.org/10.1016/j.jep.2023.117044</v>
      </c>
      <c r="BG15" t="s">
        <v>74</v>
      </c>
      <c r="BH15" t="s">
        <v>74</v>
      </c>
      <c r="BI15">
        <v>11</v>
      </c>
      <c r="BJ15" t="s">
        <v>339</v>
      </c>
      <c r="BK15" t="s">
        <v>100</v>
      </c>
      <c r="BL15" t="s">
        <v>340</v>
      </c>
      <c r="BM15" t="s">
        <v>375</v>
      </c>
      <c r="BN15">
        <v>37586439</v>
      </c>
      <c r="BO15" t="s">
        <v>74</v>
      </c>
      <c r="BP15" t="s">
        <v>74</v>
      </c>
      <c r="BQ15" t="s">
        <v>74</v>
      </c>
      <c r="BR15" t="s">
        <v>104</v>
      </c>
      <c r="BS15" t="s">
        <v>376</v>
      </c>
      <c r="BT15" t="str">
        <f>HYPERLINK("https%3A%2F%2Fwww.webofscience.com%2Fwos%2Fwoscc%2Ffull-record%2FWOS:001063121800001","View Full Record in Web of Science")</f>
        <v>View Full Record in Web of Science</v>
      </c>
    </row>
    <row r="16" spans="1:72" x14ac:dyDescent="0.15">
      <c r="A16" t="s">
        <v>72</v>
      </c>
      <c r="B16" t="s">
        <v>377</v>
      </c>
      <c r="C16" t="s">
        <v>74</v>
      </c>
      <c r="D16" t="s">
        <v>74</v>
      </c>
      <c r="E16" t="s">
        <v>74</v>
      </c>
      <c r="F16" t="s">
        <v>378</v>
      </c>
      <c r="G16" t="s">
        <v>74</v>
      </c>
      <c r="H16" t="s">
        <v>74</v>
      </c>
      <c r="I16" t="s">
        <v>379</v>
      </c>
      <c r="J16" t="s">
        <v>380</v>
      </c>
      <c r="K16" t="s">
        <v>74</v>
      </c>
      <c r="L16" t="s">
        <v>74</v>
      </c>
      <c r="M16" t="s">
        <v>78</v>
      </c>
      <c r="N16" t="s">
        <v>79</v>
      </c>
      <c r="O16" t="s">
        <v>74</v>
      </c>
      <c r="P16" t="s">
        <v>74</v>
      </c>
      <c r="Q16" t="s">
        <v>74</v>
      </c>
      <c r="R16" t="s">
        <v>74</v>
      </c>
      <c r="S16" t="s">
        <v>74</v>
      </c>
      <c r="T16" t="s">
        <v>381</v>
      </c>
      <c r="U16" t="s">
        <v>382</v>
      </c>
      <c r="V16" t="s">
        <v>383</v>
      </c>
      <c r="W16" t="s">
        <v>384</v>
      </c>
      <c r="X16" t="s">
        <v>385</v>
      </c>
      <c r="Y16" t="s">
        <v>386</v>
      </c>
      <c r="Z16" t="s">
        <v>387</v>
      </c>
      <c r="AA16" t="s">
        <v>74</v>
      </c>
      <c r="AB16" t="s">
        <v>74</v>
      </c>
      <c r="AC16" t="s">
        <v>74</v>
      </c>
      <c r="AD16" t="s">
        <v>74</v>
      </c>
      <c r="AE16" t="s">
        <v>74</v>
      </c>
      <c r="AF16" t="s">
        <v>74</v>
      </c>
      <c r="AG16">
        <v>33</v>
      </c>
      <c r="AH16">
        <v>0</v>
      </c>
      <c r="AI16">
        <v>0</v>
      </c>
      <c r="AJ16">
        <v>0</v>
      </c>
      <c r="AK16">
        <v>0</v>
      </c>
      <c r="AL16" t="s">
        <v>90</v>
      </c>
      <c r="AM16" t="s">
        <v>91</v>
      </c>
      <c r="AN16" t="s">
        <v>92</v>
      </c>
      <c r="AO16" t="s">
        <v>388</v>
      </c>
      <c r="AP16" t="s">
        <v>389</v>
      </c>
      <c r="AQ16" t="s">
        <v>74</v>
      </c>
      <c r="AR16" t="s">
        <v>390</v>
      </c>
      <c r="AS16" t="s">
        <v>391</v>
      </c>
      <c r="AT16" t="s">
        <v>392</v>
      </c>
      <c r="AU16">
        <v>2024</v>
      </c>
      <c r="AV16">
        <v>1295</v>
      </c>
      <c r="AW16" t="s">
        <v>74</v>
      </c>
      <c r="AX16">
        <v>2</v>
      </c>
      <c r="AY16" t="s">
        <v>74</v>
      </c>
      <c r="AZ16" t="s">
        <v>74</v>
      </c>
      <c r="BA16" t="s">
        <v>74</v>
      </c>
      <c r="BB16" t="s">
        <v>74</v>
      </c>
      <c r="BC16" t="s">
        <v>74</v>
      </c>
      <c r="BD16">
        <v>136598</v>
      </c>
      <c r="BE16" t="s">
        <v>393</v>
      </c>
      <c r="BF16" t="str">
        <f>HYPERLINK("http://dx.doi.org/10.1016/j.molstruc.2023.136598","http://dx.doi.org/10.1016/j.molstruc.2023.136598")</f>
        <v>http://dx.doi.org/10.1016/j.molstruc.2023.136598</v>
      </c>
      <c r="BG16" t="s">
        <v>74</v>
      </c>
      <c r="BH16" t="s">
        <v>74</v>
      </c>
      <c r="BI16">
        <v>12</v>
      </c>
      <c r="BJ16" t="s">
        <v>394</v>
      </c>
      <c r="BK16" t="s">
        <v>100</v>
      </c>
      <c r="BL16" t="s">
        <v>395</v>
      </c>
      <c r="BM16" t="s">
        <v>396</v>
      </c>
      <c r="BN16" t="s">
        <v>74</v>
      </c>
      <c r="BO16" t="s">
        <v>74</v>
      </c>
      <c r="BP16" t="s">
        <v>74</v>
      </c>
      <c r="BQ16" t="s">
        <v>74</v>
      </c>
      <c r="BR16" t="s">
        <v>104</v>
      </c>
      <c r="BS16" t="s">
        <v>397</v>
      </c>
      <c r="BT16" t="str">
        <f>HYPERLINK("https%3A%2F%2Fwww.webofscience.com%2Fwos%2Fwoscc%2Ffull-record%2FWOS:001073664900001","View Full Record in Web of Science")</f>
        <v>View Full Record in Web of Science</v>
      </c>
    </row>
    <row r="17" spans="1:72" x14ac:dyDescent="0.15">
      <c r="A17" t="s">
        <v>72</v>
      </c>
      <c r="B17" t="s">
        <v>398</v>
      </c>
      <c r="C17" t="s">
        <v>74</v>
      </c>
      <c r="D17" t="s">
        <v>74</v>
      </c>
      <c r="E17" t="s">
        <v>74</v>
      </c>
      <c r="F17" t="s">
        <v>399</v>
      </c>
      <c r="G17" t="s">
        <v>74</v>
      </c>
      <c r="H17" t="s">
        <v>74</v>
      </c>
      <c r="I17" t="s">
        <v>400</v>
      </c>
      <c r="J17" t="s">
        <v>401</v>
      </c>
      <c r="K17" t="s">
        <v>74</v>
      </c>
      <c r="L17" t="s">
        <v>74</v>
      </c>
      <c r="M17" t="s">
        <v>78</v>
      </c>
      <c r="N17" t="s">
        <v>79</v>
      </c>
      <c r="O17" t="s">
        <v>74</v>
      </c>
      <c r="P17" t="s">
        <v>74</v>
      </c>
      <c r="Q17" t="s">
        <v>74</v>
      </c>
      <c r="R17" t="s">
        <v>74</v>
      </c>
      <c r="S17" t="s">
        <v>74</v>
      </c>
      <c r="T17" t="s">
        <v>402</v>
      </c>
      <c r="U17" t="s">
        <v>403</v>
      </c>
      <c r="V17" t="s">
        <v>404</v>
      </c>
      <c r="W17" t="s">
        <v>405</v>
      </c>
      <c r="X17" t="s">
        <v>406</v>
      </c>
      <c r="Y17" t="s">
        <v>407</v>
      </c>
      <c r="Z17" t="s">
        <v>408</v>
      </c>
      <c r="AA17" t="s">
        <v>74</v>
      </c>
      <c r="AB17" t="s">
        <v>74</v>
      </c>
      <c r="AC17" t="s">
        <v>409</v>
      </c>
      <c r="AD17" t="s">
        <v>410</v>
      </c>
      <c r="AE17" t="s">
        <v>411</v>
      </c>
      <c r="AF17" t="s">
        <v>74</v>
      </c>
      <c r="AG17">
        <v>66</v>
      </c>
      <c r="AH17">
        <v>0</v>
      </c>
      <c r="AI17">
        <v>0</v>
      </c>
      <c r="AJ17">
        <v>8</v>
      </c>
      <c r="AK17">
        <v>8</v>
      </c>
      <c r="AL17" t="s">
        <v>90</v>
      </c>
      <c r="AM17" t="s">
        <v>91</v>
      </c>
      <c r="AN17" t="s">
        <v>92</v>
      </c>
      <c r="AO17" t="s">
        <v>412</v>
      </c>
      <c r="AP17" t="s">
        <v>413</v>
      </c>
      <c r="AQ17" t="s">
        <v>74</v>
      </c>
      <c r="AR17" t="s">
        <v>414</v>
      </c>
      <c r="AS17" t="s">
        <v>415</v>
      </c>
      <c r="AT17" t="s">
        <v>416</v>
      </c>
      <c r="AU17">
        <v>2024</v>
      </c>
      <c r="AV17">
        <v>241</v>
      </c>
      <c r="AW17" t="s">
        <v>74</v>
      </c>
      <c r="AX17" t="s">
        <v>74</v>
      </c>
      <c r="AY17" t="s">
        <v>74</v>
      </c>
      <c r="AZ17" t="s">
        <v>74</v>
      </c>
      <c r="BA17" t="s">
        <v>74</v>
      </c>
      <c r="BB17" t="s">
        <v>74</v>
      </c>
      <c r="BC17" t="s">
        <v>74</v>
      </c>
      <c r="BD17">
        <v>103916</v>
      </c>
      <c r="BE17" t="s">
        <v>417</v>
      </c>
      <c r="BF17" t="str">
        <f>HYPERLINK("http://dx.doi.org/10.1016/j.jmarsys.2023.103916","http://dx.doi.org/10.1016/j.jmarsys.2023.103916")</f>
        <v>http://dx.doi.org/10.1016/j.jmarsys.2023.103916</v>
      </c>
      <c r="BG17" t="s">
        <v>74</v>
      </c>
      <c r="BH17" t="s">
        <v>74</v>
      </c>
      <c r="BI17">
        <v>9</v>
      </c>
      <c r="BJ17" t="s">
        <v>418</v>
      </c>
      <c r="BK17" t="s">
        <v>100</v>
      </c>
      <c r="BL17" t="s">
        <v>419</v>
      </c>
      <c r="BM17" t="s">
        <v>420</v>
      </c>
      <c r="BN17" t="s">
        <v>74</v>
      </c>
      <c r="BO17" t="s">
        <v>295</v>
      </c>
      <c r="BP17" t="s">
        <v>74</v>
      </c>
      <c r="BQ17" t="s">
        <v>74</v>
      </c>
      <c r="BR17" t="s">
        <v>104</v>
      </c>
      <c r="BS17" t="s">
        <v>421</v>
      </c>
      <c r="BT17" t="str">
        <f>HYPERLINK("https%3A%2F%2Fwww.webofscience.com%2Fwos%2Fwoscc%2Ffull-record%2FWOS:001045880100001","View Full Record in Web of Science")</f>
        <v>View Full Record in Web of Science</v>
      </c>
    </row>
    <row r="18" spans="1:72" x14ac:dyDescent="0.15">
      <c r="A18" t="s">
        <v>72</v>
      </c>
      <c r="B18" t="s">
        <v>422</v>
      </c>
      <c r="C18" t="s">
        <v>74</v>
      </c>
      <c r="D18" t="s">
        <v>74</v>
      </c>
      <c r="E18" t="s">
        <v>74</v>
      </c>
      <c r="F18" t="s">
        <v>423</v>
      </c>
      <c r="G18" t="s">
        <v>74</v>
      </c>
      <c r="H18" t="s">
        <v>74</v>
      </c>
      <c r="I18" t="s">
        <v>424</v>
      </c>
      <c r="J18" t="s">
        <v>109</v>
      </c>
      <c r="K18" t="s">
        <v>74</v>
      </c>
      <c r="L18" t="s">
        <v>74</v>
      </c>
      <c r="M18" t="s">
        <v>78</v>
      </c>
      <c r="N18" t="s">
        <v>79</v>
      </c>
      <c r="O18" t="s">
        <v>74</v>
      </c>
      <c r="P18" t="s">
        <v>74</v>
      </c>
      <c r="Q18" t="s">
        <v>74</v>
      </c>
      <c r="R18" t="s">
        <v>74</v>
      </c>
      <c r="S18" t="s">
        <v>74</v>
      </c>
      <c r="T18" t="s">
        <v>425</v>
      </c>
      <c r="U18" t="s">
        <v>426</v>
      </c>
      <c r="V18" t="s">
        <v>427</v>
      </c>
      <c r="W18" t="s">
        <v>428</v>
      </c>
      <c r="X18" t="s">
        <v>429</v>
      </c>
      <c r="Y18" t="s">
        <v>430</v>
      </c>
      <c r="Z18" t="s">
        <v>431</v>
      </c>
      <c r="AA18" t="s">
        <v>74</v>
      </c>
      <c r="AB18" t="s">
        <v>74</v>
      </c>
      <c r="AC18" t="s">
        <v>432</v>
      </c>
      <c r="AD18" t="s">
        <v>432</v>
      </c>
      <c r="AE18" t="s">
        <v>433</v>
      </c>
      <c r="AF18" t="s">
        <v>74</v>
      </c>
      <c r="AG18">
        <v>40</v>
      </c>
      <c r="AH18">
        <v>0</v>
      </c>
      <c r="AI18">
        <v>0</v>
      </c>
      <c r="AJ18">
        <v>9</v>
      </c>
      <c r="AK18">
        <v>9</v>
      </c>
      <c r="AL18" t="s">
        <v>120</v>
      </c>
      <c r="AM18" t="s">
        <v>121</v>
      </c>
      <c r="AN18" t="s">
        <v>122</v>
      </c>
      <c r="AO18" t="s">
        <v>123</v>
      </c>
      <c r="AP18" t="s">
        <v>124</v>
      </c>
      <c r="AQ18" t="s">
        <v>74</v>
      </c>
      <c r="AR18" t="s">
        <v>125</v>
      </c>
      <c r="AS18" t="s">
        <v>126</v>
      </c>
      <c r="AT18" t="s">
        <v>434</v>
      </c>
      <c r="AU18">
        <v>2024</v>
      </c>
      <c r="AV18">
        <v>430</v>
      </c>
      <c r="AW18" t="s">
        <v>74</v>
      </c>
      <c r="AX18" t="s">
        <v>74</v>
      </c>
      <c r="AY18" t="s">
        <v>74</v>
      </c>
      <c r="AZ18" t="s">
        <v>74</v>
      </c>
      <c r="BA18" t="s">
        <v>74</v>
      </c>
      <c r="BB18" t="s">
        <v>74</v>
      </c>
      <c r="BC18" t="s">
        <v>74</v>
      </c>
      <c r="BD18">
        <v>136970</v>
      </c>
      <c r="BE18" t="s">
        <v>435</v>
      </c>
      <c r="BF18" t="str">
        <f>HYPERLINK("http://dx.doi.org/10.1016/j.foodchem.2023.136970","http://dx.doi.org/10.1016/j.foodchem.2023.136970")</f>
        <v>http://dx.doi.org/10.1016/j.foodchem.2023.136970</v>
      </c>
      <c r="BG18" t="s">
        <v>74</v>
      </c>
      <c r="BH18" t="s">
        <v>74</v>
      </c>
      <c r="BI18">
        <v>8</v>
      </c>
      <c r="BJ18" t="s">
        <v>129</v>
      </c>
      <c r="BK18" t="s">
        <v>100</v>
      </c>
      <c r="BL18" t="s">
        <v>130</v>
      </c>
      <c r="BM18" t="s">
        <v>436</v>
      </c>
      <c r="BN18">
        <v>37549628</v>
      </c>
      <c r="BO18" t="s">
        <v>74</v>
      </c>
      <c r="BP18" t="s">
        <v>74</v>
      </c>
      <c r="BQ18" t="s">
        <v>74</v>
      </c>
      <c r="BR18" t="s">
        <v>104</v>
      </c>
      <c r="BS18" t="s">
        <v>437</v>
      </c>
      <c r="BT18" t="str">
        <f>HYPERLINK("https%3A%2F%2Fwww.webofscience.com%2Fwos%2Fwoscc%2Ffull-record%2FWOS:001054597300001","View Full Record in Web of Science")</f>
        <v>View Full Record in Web of Science</v>
      </c>
    </row>
    <row r="19" spans="1:72" x14ac:dyDescent="0.15">
      <c r="A19" t="s">
        <v>72</v>
      </c>
      <c r="B19" t="s">
        <v>438</v>
      </c>
      <c r="C19" t="s">
        <v>74</v>
      </c>
      <c r="D19" t="s">
        <v>74</v>
      </c>
      <c r="E19" t="s">
        <v>74</v>
      </c>
      <c r="F19" t="s">
        <v>439</v>
      </c>
      <c r="G19" t="s">
        <v>74</v>
      </c>
      <c r="H19" t="s">
        <v>74</v>
      </c>
      <c r="I19" t="s">
        <v>440</v>
      </c>
      <c r="J19" t="s">
        <v>441</v>
      </c>
      <c r="K19" t="s">
        <v>74</v>
      </c>
      <c r="L19" t="s">
        <v>74</v>
      </c>
      <c r="M19" t="s">
        <v>78</v>
      </c>
      <c r="N19" t="s">
        <v>79</v>
      </c>
      <c r="O19" t="s">
        <v>74</v>
      </c>
      <c r="P19" t="s">
        <v>74</v>
      </c>
      <c r="Q19" t="s">
        <v>74</v>
      </c>
      <c r="R19" t="s">
        <v>74</v>
      </c>
      <c r="S19" t="s">
        <v>74</v>
      </c>
      <c r="T19" t="s">
        <v>442</v>
      </c>
      <c r="U19" t="s">
        <v>443</v>
      </c>
      <c r="V19" t="s">
        <v>444</v>
      </c>
      <c r="W19" t="s">
        <v>445</v>
      </c>
      <c r="X19" t="s">
        <v>446</v>
      </c>
      <c r="Y19" t="s">
        <v>447</v>
      </c>
      <c r="Z19" t="s">
        <v>448</v>
      </c>
      <c r="AA19" t="s">
        <v>74</v>
      </c>
      <c r="AB19" t="s">
        <v>74</v>
      </c>
      <c r="AC19" t="s">
        <v>449</v>
      </c>
      <c r="AD19" t="s">
        <v>450</v>
      </c>
      <c r="AE19" t="s">
        <v>451</v>
      </c>
      <c r="AF19" t="s">
        <v>74</v>
      </c>
      <c r="AG19">
        <v>70</v>
      </c>
      <c r="AH19">
        <v>0</v>
      </c>
      <c r="AI19">
        <v>0</v>
      </c>
      <c r="AJ19">
        <v>0</v>
      </c>
      <c r="AK19">
        <v>0</v>
      </c>
      <c r="AL19" t="s">
        <v>90</v>
      </c>
      <c r="AM19" t="s">
        <v>91</v>
      </c>
      <c r="AN19" t="s">
        <v>92</v>
      </c>
      <c r="AO19" t="s">
        <v>452</v>
      </c>
      <c r="AP19" t="s">
        <v>453</v>
      </c>
      <c r="AQ19" t="s">
        <v>74</v>
      </c>
      <c r="AR19" t="s">
        <v>454</v>
      </c>
      <c r="AS19" t="s">
        <v>455</v>
      </c>
      <c r="AT19" t="s">
        <v>416</v>
      </c>
      <c r="AU19">
        <v>2024</v>
      </c>
      <c r="AV19">
        <v>340</v>
      </c>
      <c r="AW19" t="s">
        <v>74</v>
      </c>
      <c r="AX19" t="s">
        <v>74</v>
      </c>
      <c r="AY19" t="s">
        <v>74</v>
      </c>
      <c r="AZ19" t="s">
        <v>74</v>
      </c>
      <c r="BA19" t="s">
        <v>74</v>
      </c>
      <c r="BB19" t="s">
        <v>74</v>
      </c>
      <c r="BC19" t="s">
        <v>74</v>
      </c>
      <c r="BD19">
        <v>123192</v>
      </c>
      <c r="BE19" t="s">
        <v>456</v>
      </c>
      <c r="BF19" t="str">
        <f>HYPERLINK("http://dx.doi.org/10.1016/j.apcatb.2023.123192","http://dx.doi.org/10.1016/j.apcatb.2023.123192")</f>
        <v>http://dx.doi.org/10.1016/j.apcatb.2023.123192</v>
      </c>
      <c r="BG19" t="s">
        <v>74</v>
      </c>
      <c r="BH19" t="s">
        <v>74</v>
      </c>
      <c r="BI19">
        <v>11</v>
      </c>
      <c r="BJ19" t="s">
        <v>457</v>
      </c>
      <c r="BK19" t="s">
        <v>100</v>
      </c>
      <c r="BL19" t="s">
        <v>458</v>
      </c>
      <c r="BM19" t="s">
        <v>459</v>
      </c>
      <c r="BN19" t="s">
        <v>74</v>
      </c>
      <c r="BO19" t="s">
        <v>74</v>
      </c>
      <c r="BP19" t="s">
        <v>74</v>
      </c>
      <c r="BQ19" t="s">
        <v>74</v>
      </c>
      <c r="BR19" t="s">
        <v>104</v>
      </c>
      <c r="BS19" t="s">
        <v>460</v>
      </c>
      <c r="BT19" t="str">
        <f>HYPERLINK("https%3A%2F%2Fwww.webofscience.com%2Fwos%2Fwoscc%2Ffull-record%2FWOS:001073097600001","View Full Record in Web of Science")</f>
        <v>View Full Record in Web of Science</v>
      </c>
    </row>
    <row r="20" spans="1:72" x14ac:dyDescent="0.15">
      <c r="A20" t="s">
        <v>72</v>
      </c>
      <c r="B20" t="s">
        <v>461</v>
      </c>
      <c r="C20" t="s">
        <v>74</v>
      </c>
      <c r="D20" t="s">
        <v>74</v>
      </c>
      <c r="E20" t="s">
        <v>74</v>
      </c>
      <c r="F20" t="s">
        <v>462</v>
      </c>
      <c r="G20" t="s">
        <v>74</v>
      </c>
      <c r="H20" t="s">
        <v>74</v>
      </c>
      <c r="I20" t="s">
        <v>463</v>
      </c>
      <c r="J20" t="s">
        <v>464</v>
      </c>
      <c r="K20" t="s">
        <v>74</v>
      </c>
      <c r="L20" t="s">
        <v>74</v>
      </c>
      <c r="M20" t="s">
        <v>78</v>
      </c>
      <c r="N20" t="s">
        <v>79</v>
      </c>
      <c r="O20" t="s">
        <v>74</v>
      </c>
      <c r="P20" t="s">
        <v>74</v>
      </c>
      <c r="Q20" t="s">
        <v>74</v>
      </c>
      <c r="R20" t="s">
        <v>74</v>
      </c>
      <c r="S20" t="s">
        <v>74</v>
      </c>
      <c r="T20" t="s">
        <v>465</v>
      </c>
      <c r="U20" t="s">
        <v>466</v>
      </c>
      <c r="V20" t="s">
        <v>467</v>
      </c>
      <c r="W20" t="s">
        <v>468</v>
      </c>
      <c r="X20" t="s">
        <v>469</v>
      </c>
      <c r="Y20" t="s">
        <v>470</v>
      </c>
      <c r="Z20" t="s">
        <v>471</v>
      </c>
      <c r="AA20" t="s">
        <v>74</v>
      </c>
      <c r="AB20" t="s">
        <v>74</v>
      </c>
      <c r="AC20" t="s">
        <v>472</v>
      </c>
      <c r="AD20" t="s">
        <v>473</v>
      </c>
      <c r="AE20" t="s">
        <v>474</v>
      </c>
      <c r="AF20" t="s">
        <v>74</v>
      </c>
      <c r="AG20">
        <v>20</v>
      </c>
      <c r="AH20">
        <v>0</v>
      </c>
      <c r="AI20">
        <v>0</v>
      </c>
      <c r="AJ20">
        <v>1</v>
      </c>
      <c r="AK20">
        <v>1</v>
      </c>
      <c r="AL20" t="s">
        <v>475</v>
      </c>
      <c r="AM20" t="s">
        <v>476</v>
      </c>
      <c r="AN20" t="s">
        <v>477</v>
      </c>
      <c r="AO20" t="s">
        <v>478</v>
      </c>
      <c r="AP20" t="s">
        <v>479</v>
      </c>
      <c r="AQ20" t="s">
        <v>74</v>
      </c>
      <c r="AR20" t="s">
        <v>480</v>
      </c>
      <c r="AS20" t="s">
        <v>481</v>
      </c>
      <c r="AT20" t="s">
        <v>434</v>
      </c>
      <c r="AU20">
        <v>2024</v>
      </c>
      <c r="AV20">
        <v>529</v>
      </c>
      <c r="AW20">
        <v>1</v>
      </c>
      <c r="AX20" t="s">
        <v>74</v>
      </c>
      <c r="AY20" t="s">
        <v>74</v>
      </c>
      <c r="AZ20" t="s">
        <v>74</v>
      </c>
      <c r="BA20" t="s">
        <v>74</v>
      </c>
      <c r="BB20" t="s">
        <v>74</v>
      </c>
      <c r="BC20" t="s">
        <v>74</v>
      </c>
      <c r="BD20">
        <v>127591</v>
      </c>
      <c r="BE20" t="s">
        <v>482</v>
      </c>
      <c r="BF20" t="str">
        <f>HYPERLINK("http://dx.doi.org/10.1016/j.jmaa.2023.127591","http://dx.doi.org/10.1016/j.jmaa.2023.127591")</f>
        <v>http://dx.doi.org/10.1016/j.jmaa.2023.127591</v>
      </c>
      <c r="BG20" t="s">
        <v>74</v>
      </c>
      <c r="BH20" t="s">
        <v>74</v>
      </c>
      <c r="BI20">
        <v>19</v>
      </c>
      <c r="BJ20" t="s">
        <v>99</v>
      </c>
      <c r="BK20" t="s">
        <v>100</v>
      </c>
      <c r="BL20" t="s">
        <v>101</v>
      </c>
      <c r="BM20" t="s">
        <v>483</v>
      </c>
      <c r="BN20" t="s">
        <v>74</v>
      </c>
      <c r="BO20" t="s">
        <v>74</v>
      </c>
      <c r="BP20" t="s">
        <v>74</v>
      </c>
      <c r="BQ20" t="s">
        <v>74</v>
      </c>
      <c r="BR20" t="s">
        <v>104</v>
      </c>
      <c r="BS20" t="s">
        <v>484</v>
      </c>
      <c r="BT20" t="str">
        <f>HYPERLINK("https%3A%2F%2Fwww.webofscience.com%2Fwos%2Fwoscc%2Ffull-record%2FWOS:001046912200001","View Full Record in Web of Science")</f>
        <v>View Full Record in Web of Science</v>
      </c>
    </row>
    <row r="21" spans="1:72" x14ac:dyDescent="0.15">
      <c r="A21" t="s">
        <v>72</v>
      </c>
      <c r="B21" t="s">
        <v>485</v>
      </c>
      <c r="C21" t="s">
        <v>74</v>
      </c>
      <c r="D21" t="s">
        <v>74</v>
      </c>
      <c r="E21" t="s">
        <v>74</v>
      </c>
      <c r="F21" t="s">
        <v>486</v>
      </c>
      <c r="G21" t="s">
        <v>74</v>
      </c>
      <c r="H21" t="s">
        <v>74</v>
      </c>
      <c r="I21" t="s">
        <v>487</v>
      </c>
      <c r="J21" t="s">
        <v>488</v>
      </c>
      <c r="K21" t="s">
        <v>74</v>
      </c>
      <c r="L21" t="s">
        <v>74</v>
      </c>
      <c r="M21" t="s">
        <v>78</v>
      </c>
      <c r="N21" t="s">
        <v>79</v>
      </c>
      <c r="O21" t="s">
        <v>74</v>
      </c>
      <c r="P21" t="s">
        <v>74</v>
      </c>
      <c r="Q21" t="s">
        <v>74</v>
      </c>
      <c r="R21" t="s">
        <v>74</v>
      </c>
      <c r="S21" t="s">
        <v>74</v>
      </c>
      <c r="T21" t="s">
        <v>489</v>
      </c>
      <c r="U21" t="s">
        <v>490</v>
      </c>
      <c r="V21" t="s">
        <v>491</v>
      </c>
      <c r="W21" t="s">
        <v>492</v>
      </c>
      <c r="X21" t="s">
        <v>493</v>
      </c>
      <c r="Y21" t="s">
        <v>494</v>
      </c>
      <c r="Z21" t="s">
        <v>495</v>
      </c>
      <c r="AA21" t="s">
        <v>74</v>
      </c>
      <c r="AB21" t="s">
        <v>74</v>
      </c>
      <c r="AC21" t="s">
        <v>74</v>
      </c>
      <c r="AD21" t="s">
        <v>74</v>
      </c>
      <c r="AE21" t="s">
        <v>74</v>
      </c>
      <c r="AF21" t="s">
        <v>74</v>
      </c>
      <c r="AG21">
        <v>58</v>
      </c>
      <c r="AH21">
        <v>0</v>
      </c>
      <c r="AI21">
        <v>0</v>
      </c>
      <c r="AJ21">
        <v>0</v>
      </c>
      <c r="AK21">
        <v>0</v>
      </c>
      <c r="AL21" t="s">
        <v>120</v>
      </c>
      <c r="AM21" t="s">
        <v>121</v>
      </c>
      <c r="AN21" t="s">
        <v>122</v>
      </c>
      <c r="AO21" t="s">
        <v>496</v>
      </c>
      <c r="AP21" t="s">
        <v>497</v>
      </c>
      <c r="AQ21" t="s">
        <v>74</v>
      </c>
      <c r="AR21" t="s">
        <v>498</v>
      </c>
      <c r="AS21" t="s">
        <v>499</v>
      </c>
      <c r="AT21" t="s">
        <v>416</v>
      </c>
      <c r="AU21">
        <v>2024</v>
      </c>
      <c r="AV21">
        <v>168</v>
      </c>
      <c r="AW21" t="s">
        <v>74</v>
      </c>
      <c r="AX21" t="s">
        <v>74</v>
      </c>
      <c r="AY21" t="s">
        <v>74</v>
      </c>
      <c r="AZ21" t="s">
        <v>74</v>
      </c>
      <c r="BA21" t="s">
        <v>74</v>
      </c>
      <c r="BB21" t="s">
        <v>74</v>
      </c>
      <c r="BC21" t="s">
        <v>74</v>
      </c>
      <c r="BD21">
        <v>109934</v>
      </c>
      <c r="BE21" t="s">
        <v>500</v>
      </c>
      <c r="BF21" t="str">
        <f>HYPERLINK("http://dx.doi.org/10.1016/j.optlastec.2023.109934","http://dx.doi.org/10.1016/j.optlastec.2023.109934")</f>
        <v>http://dx.doi.org/10.1016/j.optlastec.2023.109934</v>
      </c>
      <c r="BG21" t="s">
        <v>74</v>
      </c>
      <c r="BH21" t="s">
        <v>74</v>
      </c>
      <c r="BI21">
        <v>8</v>
      </c>
      <c r="BJ21" t="s">
        <v>501</v>
      </c>
      <c r="BK21" t="s">
        <v>100</v>
      </c>
      <c r="BL21" t="s">
        <v>502</v>
      </c>
      <c r="BM21" t="s">
        <v>503</v>
      </c>
      <c r="BN21" t="s">
        <v>74</v>
      </c>
      <c r="BO21" t="s">
        <v>504</v>
      </c>
      <c r="BP21" t="s">
        <v>74</v>
      </c>
      <c r="BQ21" t="s">
        <v>74</v>
      </c>
      <c r="BR21" t="s">
        <v>104</v>
      </c>
      <c r="BS21" t="s">
        <v>505</v>
      </c>
      <c r="BT21" t="str">
        <f>HYPERLINK("https%3A%2F%2Fwww.webofscience.com%2Fwos%2Fwoscc%2Ffull-record%2FWOS:001065048600001","View Full Record in Web of Science")</f>
        <v>View Full Record in Web of Science</v>
      </c>
    </row>
    <row r="22" spans="1:72" x14ac:dyDescent="0.15">
      <c r="A22" t="s">
        <v>72</v>
      </c>
      <c r="B22" t="s">
        <v>506</v>
      </c>
      <c r="C22" t="s">
        <v>74</v>
      </c>
      <c r="D22" t="s">
        <v>74</v>
      </c>
      <c r="E22" t="s">
        <v>74</v>
      </c>
      <c r="F22" t="s">
        <v>507</v>
      </c>
      <c r="G22" t="s">
        <v>74</v>
      </c>
      <c r="H22" t="s">
        <v>74</v>
      </c>
      <c r="I22" t="s">
        <v>508</v>
      </c>
      <c r="J22" t="s">
        <v>509</v>
      </c>
      <c r="K22" t="s">
        <v>74</v>
      </c>
      <c r="L22" t="s">
        <v>74</v>
      </c>
      <c r="M22" t="s">
        <v>78</v>
      </c>
      <c r="N22" t="s">
        <v>510</v>
      </c>
      <c r="O22" t="s">
        <v>74</v>
      </c>
      <c r="P22" t="s">
        <v>74</v>
      </c>
      <c r="Q22" t="s">
        <v>74</v>
      </c>
      <c r="R22" t="s">
        <v>74</v>
      </c>
      <c r="S22" t="s">
        <v>74</v>
      </c>
      <c r="T22" t="s">
        <v>74</v>
      </c>
      <c r="U22" t="s">
        <v>74</v>
      </c>
      <c r="V22" t="s">
        <v>74</v>
      </c>
      <c r="W22" t="s">
        <v>511</v>
      </c>
      <c r="X22" t="s">
        <v>74</v>
      </c>
      <c r="Y22" t="s">
        <v>512</v>
      </c>
      <c r="Z22" t="s">
        <v>513</v>
      </c>
      <c r="AA22" t="s">
        <v>74</v>
      </c>
      <c r="AB22" t="s">
        <v>74</v>
      </c>
      <c r="AC22" t="s">
        <v>74</v>
      </c>
      <c r="AD22" t="s">
        <v>74</v>
      </c>
      <c r="AE22" t="s">
        <v>74</v>
      </c>
      <c r="AF22" t="s">
        <v>74</v>
      </c>
      <c r="AG22">
        <v>0</v>
      </c>
      <c r="AH22">
        <v>0</v>
      </c>
      <c r="AI22">
        <v>0</v>
      </c>
      <c r="AJ22">
        <v>0</v>
      </c>
      <c r="AK22">
        <v>0</v>
      </c>
      <c r="AL22" t="s">
        <v>514</v>
      </c>
      <c r="AM22" t="s">
        <v>515</v>
      </c>
      <c r="AN22" t="s">
        <v>516</v>
      </c>
      <c r="AO22" t="s">
        <v>517</v>
      </c>
      <c r="AP22" t="s">
        <v>518</v>
      </c>
      <c r="AQ22" t="s">
        <v>74</v>
      </c>
      <c r="AR22" t="s">
        <v>509</v>
      </c>
      <c r="AS22" t="s">
        <v>519</v>
      </c>
      <c r="AT22" t="s">
        <v>416</v>
      </c>
      <c r="AU22">
        <v>2024</v>
      </c>
      <c r="AV22">
        <v>91</v>
      </c>
      <c r="AW22">
        <v>1</v>
      </c>
      <c r="AX22" t="s">
        <v>74</v>
      </c>
      <c r="AY22" t="s">
        <v>74</v>
      </c>
      <c r="AZ22" t="s">
        <v>74</v>
      </c>
      <c r="BA22" t="s">
        <v>74</v>
      </c>
      <c r="BB22" t="s">
        <v>74</v>
      </c>
      <c r="BC22" t="s">
        <v>74</v>
      </c>
      <c r="BD22">
        <v>105614</v>
      </c>
      <c r="BE22" t="s">
        <v>520</v>
      </c>
      <c r="BF22" t="str">
        <f>HYPERLINK("http://dx.doi.org/10.1016/j.jbspin.2023.105614","http://dx.doi.org/10.1016/j.jbspin.2023.105614")</f>
        <v>http://dx.doi.org/10.1016/j.jbspin.2023.105614</v>
      </c>
      <c r="BG22" t="s">
        <v>74</v>
      </c>
      <c r="BH22" t="s">
        <v>74</v>
      </c>
      <c r="BI22">
        <v>1</v>
      </c>
      <c r="BJ22" t="s">
        <v>521</v>
      </c>
      <c r="BK22" t="s">
        <v>100</v>
      </c>
      <c r="BL22" t="s">
        <v>521</v>
      </c>
      <c r="BM22" t="s">
        <v>522</v>
      </c>
      <c r="BN22">
        <v>37478964</v>
      </c>
      <c r="BO22" t="s">
        <v>74</v>
      </c>
      <c r="BP22" t="s">
        <v>74</v>
      </c>
      <c r="BQ22" t="s">
        <v>74</v>
      </c>
      <c r="BR22" t="s">
        <v>104</v>
      </c>
      <c r="BS22" t="s">
        <v>523</v>
      </c>
      <c r="BT22" t="str">
        <f>HYPERLINK("https%3A%2F%2Fwww.webofscience.com%2Fwos%2Fwoscc%2Ffull-record%2FWOS:001070698600001","View Full Record in Web of Science")</f>
        <v>View Full Record in Web of Science</v>
      </c>
    </row>
    <row r="23" spans="1:72" x14ac:dyDescent="0.15">
      <c r="A23" t="s">
        <v>72</v>
      </c>
      <c r="B23" t="s">
        <v>524</v>
      </c>
      <c r="C23" t="s">
        <v>74</v>
      </c>
      <c r="D23" t="s">
        <v>74</v>
      </c>
      <c r="E23" t="s">
        <v>74</v>
      </c>
      <c r="F23" t="s">
        <v>525</v>
      </c>
      <c r="G23" t="s">
        <v>74</v>
      </c>
      <c r="H23" t="s">
        <v>74</v>
      </c>
      <c r="I23" t="s">
        <v>526</v>
      </c>
      <c r="J23" t="s">
        <v>527</v>
      </c>
      <c r="K23" t="s">
        <v>74</v>
      </c>
      <c r="L23" t="s">
        <v>74</v>
      </c>
      <c r="M23" t="s">
        <v>78</v>
      </c>
      <c r="N23" t="s">
        <v>79</v>
      </c>
      <c r="O23" t="s">
        <v>74</v>
      </c>
      <c r="P23" t="s">
        <v>74</v>
      </c>
      <c r="Q23" t="s">
        <v>74</v>
      </c>
      <c r="R23" t="s">
        <v>74</v>
      </c>
      <c r="S23" t="s">
        <v>74</v>
      </c>
      <c r="T23" t="s">
        <v>528</v>
      </c>
      <c r="U23" t="s">
        <v>529</v>
      </c>
      <c r="V23" t="s">
        <v>530</v>
      </c>
      <c r="W23" t="s">
        <v>531</v>
      </c>
      <c r="X23" t="s">
        <v>532</v>
      </c>
      <c r="Y23" t="s">
        <v>533</v>
      </c>
      <c r="Z23" t="s">
        <v>534</v>
      </c>
      <c r="AA23" t="s">
        <v>74</v>
      </c>
      <c r="AB23" t="s">
        <v>74</v>
      </c>
      <c r="AC23" t="s">
        <v>535</v>
      </c>
      <c r="AD23" t="s">
        <v>252</v>
      </c>
      <c r="AE23" t="s">
        <v>536</v>
      </c>
      <c r="AF23" t="s">
        <v>74</v>
      </c>
      <c r="AG23">
        <v>234</v>
      </c>
      <c r="AH23">
        <v>0</v>
      </c>
      <c r="AI23">
        <v>0</v>
      </c>
      <c r="AJ23">
        <v>11</v>
      </c>
      <c r="AK23">
        <v>11</v>
      </c>
      <c r="AL23" t="s">
        <v>90</v>
      </c>
      <c r="AM23" t="s">
        <v>91</v>
      </c>
      <c r="AN23" t="s">
        <v>92</v>
      </c>
      <c r="AO23" t="s">
        <v>537</v>
      </c>
      <c r="AP23" t="s">
        <v>538</v>
      </c>
      <c r="AQ23" t="s">
        <v>74</v>
      </c>
      <c r="AR23" t="s">
        <v>527</v>
      </c>
      <c r="AS23" t="s">
        <v>539</v>
      </c>
      <c r="AT23" t="s">
        <v>434</v>
      </c>
      <c r="AU23">
        <v>2024</v>
      </c>
      <c r="AV23">
        <v>266</v>
      </c>
      <c r="AW23" t="s">
        <v>74</v>
      </c>
      <c r="AX23">
        <v>1</v>
      </c>
      <c r="AY23" t="s">
        <v>74</v>
      </c>
      <c r="AZ23" t="s">
        <v>74</v>
      </c>
      <c r="BA23" t="s">
        <v>74</v>
      </c>
      <c r="BB23" t="s">
        <v>74</v>
      </c>
      <c r="BC23" t="s">
        <v>74</v>
      </c>
      <c r="BD23">
        <v>124996</v>
      </c>
      <c r="BE23" t="s">
        <v>540</v>
      </c>
      <c r="BF23" t="str">
        <f>HYPERLINK("http://dx.doi.org/10.1016/j.talanta.2023.124996","http://dx.doi.org/10.1016/j.talanta.2023.124996")</f>
        <v>http://dx.doi.org/10.1016/j.talanta.2023.124996</v>
      </c>
      <c r="BG23" t="s">
        <v>74</v>
      </c>
      <c r="BH23" t="s">
        <v>74</v>
      </c>
      <c r="BI23">
        <v>37</v>
      </c>
      <c r="BJ23" t="s">
        <v>541</v>
      </c>
      <c r="BK23" t="s">
        <v>100</v>
      </c>
      <c r="BL23" t="s">
        <v>395</v>
      </c>
      <c r="BM23" t="s">
        <v>542</v>
      </c>
      <c r="BN23">
        <v>37562225</v>
      </c>
      <c r="BO23" t="s">
        <v>74</v>
      </c>
      <c r="BP23" t="s">
        <v>74</v>
      </c>
      <c r="BQ23" t="s">
        <v>74</v>
      </c>
      <c r="BR23" t="s">
        <v>104</v>
      </c>
      <c r="BS23" t="s">
        <v>543</v>
      </c>
      <c r="BT23" t="str">
        <f>HYPERLINK("https%3A%2F%2Fwww.webofscience.com%2Fwos%2Fwoscc%2Ffull-record%2FWOS:001059629000001","View Full Record in Web of Science")</f>
        <v>View Full Record in Web of Science</v>
      </c>
    </row>
    <row r="24" spans="1:72" x14ac:dyDescent="0.15">
      <c r="A24" t="s">
        <v>72</v>
      </c>
      <c r="B24" t="s">
        <v>544</v>
      </c>
      <c r="C24" t="s">
        <v>74</v>
      </c>
      <c r="D24" t="s">
        <v>74</v>
      </c>
      <c r="E24" t="s">
        <v>74</v>
      </c>
      <c r="F24" t="s">
        <v>545</v>
      </c>
      <c r="G24" t="s">
        <v>74</v>
      </c>
      <c r="H24" t="s">
        <v>74</v>
      </c>
      <c r="I24" t="s">
        <v>546</v>
      </c>
      <c r="J24" t="s">
        <v>547</v>
      </c>
      <c r="K24" t="s">
        <v>74</v>
      </c>
      <c r="L24" t="s">
        <v>74</v>
      </c>
      <c r="M24" t="s">
        <v>78</v>
      </c>
      <c r="N24" t="s">
        <v>79</v>
      </c>
      <c r="O24" t="s">
        <v>74</v>
      </c>
      <c r="P24" t="s">
        <v>74</v>
      </c>
      <c r="Q24" t="s">
        <v>74</v>
      </c>
      <c r="R24" t="s">
        <v>74</v>
      </c>
      <c r="S24" t="s">
        <v>74</v>
      </c>
      <c r="T24" t="s">
        <v>548</v>
      </c>
      <c r="U24" t="s">
        <v>74</v>
      </c>
      <c r="V24" t="s">
        <v>549</v>
      </c>
      <c r="W24" t="s">
        <v>550</v>
      </c>
      <c r="X24" t="s">
        <v>551</v>
      </c>
      <c r="Y24" t="s">
        <v>552</v>
      </c>
      <c r="Z24" t="s">
        <v>553</v>
      </c>
      <c r="AA24" t="s">
        <v>74</v>
      </c>
      <c r="AB24" t="s">
        <v>74</v>
      </c>
      <c r="AC24" t="s">
        <v>74</v>
      </c>
      <c r="AD24" t="s">
        <v>74</v>
      </c>
      <c r="AE24" t="s">
        <v>74</v>
      </c>
      <c r="AF24" t="s">
        <v>74</v>
      </c>
      <c r="AG24">
        <v>35</v>
      </c>
      <c r="AH24">
        <v>0</v>
      </c>
      <c r="AI24">
        <v>0</v>
      </c>
      <c r="AJ24">
        <v>0</v>
      </c>
      <c r="AK24">
        <v>0</v>
      </c>
      <c r="AL24" t="s">
        <v>554</v>
      </c>
      <c r="AM24" t="s">
        <v>555</v>
      </c>
      <c r="AN24" t="s">
        <v>556</v>
      </c>
      <c r="AO24" t="s">
        <v>557</v>
      </c>
      <c r="AP24" t="s">
        <v>558</v>
      </c>
      <c r="AQ24" t="s">
        <v>74</v>
      </c>
      <c r="AR24" t="s">
        <v>559</v>
      </c>
      <c r="AS24" t="s">
        <v>560</v>
      </c>
      <c r="AT24" t="s">
        <v>416</v>
      </c>
      <c r="AU24">
        <v>2024</v>
      </c>
      <c r="AV24">
        <v>83</v>
      </c>
      <c r="AW24" t="s">
        <v>74</v>
      </c>
      <c r="AX24" t="s">
        <v>74</v>
      </c>
      <c r="AY24" t="s">
        <v>74</v>
      </c>
      <c r="AZ24" t="s">
        <v>74</v>
      </c>
      <c r="BA24" t="s">
        <v>74</v>
      </c>
      <c r="BB24" t="s">
        <v>74</v>
      </c>
      <c r="BC24" t="s">
        <v>74</v>
      </c>
      <c r="BD24">
        <v>101553</v>
      </c>
      <c r="BE24" t="s">
        <v>561</v>
      </c>
      <c r="BF24" t="str">
        <f>HYPERLINK("http://dx.doi.org/10.1016/j.csl.2023.101553","http://dx.doi.org/10.1016/j.csl.2023.101553")</f>
        <v>http://dx.doi.org/10.1016/j.csl.2023.101553</v>
      </c>
      <c r="BG24" t="s">
        <v>74</v>
      </c>
      <c r="BH24" t="s">
        <v>74</v>
      </c>
      <c r="BI24">
        <v>12</v>
      </c>
      <c r="BJ24" t="s">
        <v>562</v>
      </c>
      <c r="BK24" t="s">
        <v>100</v>
      </c>
      <c r="BL24" t="s">
        <v>563</v>
      </c>
      <c r="BM24" t="s">
        <v>564</v>
      </c>
      <c r="BN24" t="s">
        <v>74</v>
      </c>
      <c r="BO24" t="s">
        <v>103</v>
      </c>
      <c r="BP24" t="s">
        <v>74</v>
      </c>
      <c r="BQ24" t="s">
        <v>74</v>
      </c>
      <c r="BR24" t="s">
        <v>104</v>
      </c>
      <c r="BS24" t="s">
        <v>565</v>
      </c>
      <c r="BT24" t="str">
        <f>HYPERLINK("https%3A%2F%2Fwww.webofscience.com%2Fwos%2Fwoscc%2Ffull-record%2FWOS:001069215700001","View Full Record in Web of Science")</f>
        <v>View Full Record in Web of Science</v>
      </c>
    </row>
    <row r="25" spans="1:72" x14ac:dyDescent="0.15">
      <c r="A25" t="s">
        <v>72</v>
      </c>
      <c r="B25" t="s">
        <v>566</v>
      </c>
      <c r="C25" t="s">
        <v>74</v>
      </c>
      <c r="D25" t="s">
        <v>74</v>
      </c>
      <c r="E25" t="s">
        <v>74</v>
      </c>
      <c r="F25" t="s">
        <v>567</v>
      </c>
      <c r="G25" t="s">
        <v>74</v>
      </c>
      <c r="H25" t="s">
        <v>74</v>
      </c>
      <c r="I25" t="s">
        <v>568</v>
      </c>
      <c r="J25" t="s">
        <v>569</v>
      </c>
      <c r="K25" t="s">
        <v>74</v>
      </c>
      <c r="L25" t="s">
        <v>74</v>
      </c>
      <c r="M25" t="s">
        <v>78</v>
      </c>
      <c r="N25" t="s">
        <v>79</v>
      </c>
      <c r="O25" t="s">
        <v>74</v>
      </c>
      <c r="P25" t="s">
        <v>74</v>
      </c>
      <c r="Q25" t="s">
        <v>74</v>
      </c>
      <c r="R25" t="s">
        <v>74</v>
      </c>
      <c r="S25" t="s">
        <v>74</v>
      </c>
      <c r="T25" t="s">
        <v>570</v>
      </c>
      <c r="U25" t="s">
        <v>571</v>
      </c>
      <c r="V25" t="s">
        <v>572</v>
      </c>
      <c r="W25" t="s">
        <v>573</v>
      </c>
      <c r="X25" t="s">
        <v>574</v>
      </c>
      <c r="Y25" t="s">
        <v>575</v>
      </c>
      <c r="Z25" t="s">
        <v>576</v>
      </c>
      <c r="AA25" t="s">
        <v>74</v>
      </c>
      <c r="AB25" t="s">
        <v>74</v>
      </c>
      <c r="AC25" t="s">
        <v>577</v>
      </c>
      <c r="AD25" t="s">
        <v>578</v>
      </c>
      <c r="AE25" t="s">
        <v>579</v>
      </c>
      <c r="AF25" t="s">
        <v>74</v>
      </c>
      <c r="AG25">
        <v>56</v>
      </c>
      <c r="AH25">
        <v>0</v>
      </c>
      <c r="AI25">
        <v>0</v>
      </c>
      <c r="AJ25">
        <v>1</v>
      </c>
      <c r="AK25">
        <v>1</v>
      </c>
      <c r="AL25" t="s">
        <v>90</v>
      </c>
      <c r="AM25" t="s">
        <v>91</v>
      </c>
      <c r="AN25" t="s">
        <v>92</v>
      </c>
      <c r="AO25" t="s">
        <v>580</v>
      </c>
      <c r="AP25" t="s">
        <v>581</v>
      </c>
      <c r="AQ25" t="s">
        <v>74</v>
      </c>
      <c r="AR25" t="s">
        <v>582</v>
      </c>
      <c r="AS25" t="s">
        <v>583</v>
      </c>
      <c r="AT25" t="s">
        <v>416</v>
      </c>
      <c r="AU25">
        <v>2024</v>
      </c>
      <c r="AV25">
        <v>105</v>
      </c>
      <c r="AW25" t="s">
        <v>74</v>
      </c>
      <c r="AX25" t="s">
        <v>74</v>
      </c>
      <c r="AY25" t="s">
        <v>74</v>
      </c>
      <c r="AZ25" t="s">
        <v>74</v>
      </c>
      <c r="BA25" t="s">
        <v>74</v>
      </c>
      <c r="BB25" t="s">
        <v>74</v>
      </c>
      <c r="BC25" t="s">
        <v>74</v>
      </c>
      <c r="BD25">
        <v>102088</v>
      </c>
      <c r="BE25" t="s">
        <v>584</v>
      </c>
      <c r="BF25" t="str">
        <f>HYPERLINK("http://dx.doi.org/10.1016/j.newast.2023.102088","http://dx.doi.org/10.1016/j.newast.2023.102088")</f>
        <v>http://dx.doi.org/10.1016/j.newast.2023.102088</v>
      </c>
      <c r="BG25" t="s">
        <v>74</v>
      </c>
      <c r="BH25" t="s">
        <v>74</v>
      </c>
      <c r="BI25">
        <v>10</v>
      </c>
      <c r="BJ25" t="s">
        <v>585</v>
      </c>
      <c r="BK25" t="s">
        <v>100</v>
      </c>
      <c r="BL25" t="s">
        <v>585</v>
      </c>
      <c r="BM25" t="s">
        <v>586</v>
      </c>
      <c r="BN25" t="s">
        <v>74</v>
      </c>
      <c r="BO25" t="s">
        <v>74</v>
      </c>
      <c r="BP25" t="s">
        <v>74</v>
      </c>
      <c r="BQ25" t="s">
        <v>74</v>
      </c>
      <c r="BR25" t="s">
        <v>104</v>
      </c>
      <c r="BS25" t="s">
        <v>587</v>
      </c>
      <c r="BT25" t="str">
        <f>HYPERLINK("https%3A%2F%2Fwww.webofscience.com%2Fwos%2Fwoscc%2Ffull-record%2FWOS:001048197800001","View Full Record in Web of Science")</f>
        <v>View Full Record in Web of Science</v>
      </c>
    </row>
    <row r="26" spans="1:72" x14ac:dyDescent="0.15">
      <c r="A26" t="s">
        <v>72</v>
      </c>
      <c r="B26" t="s">
        <v>588</v>
      </c>
      <c r="C26" t="s">
        <v>74</v>
      </c>
      <c r="D26" t="s">
        <v>74</v>
      </c>
      <c r="E26" t="s">
        <v>74</v>
      </c>
      <c r="F26" t="s">
        <v>589</v>
      </c>
      <c r="G26" t="s">
        <v>74</v>
      </c>
      <c r="H26" t="s">
        <v>74</v>
      </c>
      <c r="I26" t="s">
        <v>590</v>
      </c>
      <c r="J26" t="s">
        <v>591</v>
      </c>
      <c r="K26" t="s">
        <v>74</v>
      </c>
      <c r="L26" t="s">
        <v>74</v>
      </c>
      <c r="M26" t="s">
        <v>78</v>
      </c>
      <c r="N26" t="s">
        <v>79</v>
      </c>
      <c r="O26" t="s">
        <v>74</v>
      </c>
      <c r="P26" t="s">
        <v>74</v>
      </c>
      <c r="Q26" t="s">
        <v>74</v>
      </c>
      <c r="R26" t="s">
        <v>74</v>
      </c>
      <c r="S26" t="s">
        <v>74</v>
      </c>
      <c r="T26" t="s">
        <v>592</v>
      </c>
      <c r="U26" t="s">
        <v>593</v>
      </c>
      <c r="V26" t="s">
        <v>594</v>
      </c>
      <c r="W26" t="s">
        <v>595</v>
      </c>
      <c r="X26" t="s">
        <v>596</v>
      </c>
      <c r="Y26" t="s">
        <v>597</v>
      </c>
      <c r="Z26" t="s">
        <v>598</v>
      </c>
      <c r="AA26" t="s">
        <v>74</v>
      </c>
      <c r="AB26" t="s">
        <v>74</v>
      </c>
      <c r="AC26" t="s">
        <v>599</v>
      </c>
      <c r="AD26" t="s">
        <v>600</v>
      </c>
      <c r="AE26" t="s">
        <v>601</v>
      </c>
      <c r="AF26" t="s">
        <v>74</v>
      </c>
      <c r="AG26">
        <v>90</v>
      </c>
      <c r="AH26">
        <v>0</v>
      </c>
      <c r="AI26">
        <v>0</v>
      </c>
      <c r="AJ26">
        <v>0</v>
      </c>
      <c r="AK26">
        <v>0</v>
      </c>
      <c r="AL26" t="s">
        <v>120</v>
      </c>
      <c r="AM26" t="s">
        <v>121</v>
      </c>
      <c r="AN26" t="s">
        <v>122</v>
      </c>
      <c r="AO26" t="s">
        <v>602</v>
      </c>
      <c r="AP26" t="s">
        <v>603</v>
      </c>
      <c r="AQ26" t="s">
        <v>74</v>
      </c>
      <c r="AR26" t="s">
        <v>604</v>
      </c>
      <c r="AS26" t="s">
        <v>605</v>
      </c>
      <c r="AT26" t="s">
        <v>416</v>
      </c>
      <c r="AU26">
        <v>2024</v>
      </c>
      <c r="AV26">
        <v>48</v>
      </c>
      <c r="AW26" t="s">
        <v>74</v>
      </c>
      <c r="AX26" t="s">
        <v>74</v>
      </c>
      <c r="AY26" t="s">
        <v>74</v>
      </c>
      <c r="AZ26" t="s">
        <v>74</v>
      </c>
      <c r="BA26" t="s">
        <v>74</v>
      </c>
      <c r="BB26" t="s">
        <v>74</v>
      </c>
      <c r="BC26" t="s">
        <v>74</v>
      </c>
      <c r="BD26">
        <v>100602</v>
      </c>
      <c r="BE26" t="s">
        <v>606</v>
      </c>
      <c r="BF26" t="str">
        <f>HYPERLINK("http://dx.doi.org/10.1016/j.entcom.2023.100602","http://dx.doi.org/10.1016/j.entcom.2023.100602")</f>
        <v>http://dx.doi.org/10.1016/j.entcom.2023.100602</v>
      </c>
      <c r="BG26" t="s">
        <v>74</v>
      </c>
      <c r="BH26" t="s">
        <v>74</v>
      </c>
      <c r="BI26">
        <v>10</v>
      </c>
      <c r="BJ26" t="s">
        <v>607</v>
      </c>
      <c r="BK26" t="s">
        <v>100</v>
      </c>
      <c r="BL26" t="s">
        <v>563</v>
      </c>
      <c r="BM26" t="s">
        <v>608</v>
      </c>
      <c r="BN26" t="s">
        <v>74</v>
      </c>
      <c r="BO26" t="s">
        <v>74</v>
      </c>
      <c r="BP26" t="s">
        <v>74</v>
      </c>
      <c r="BQ26" t="s">
        <v>74</v>
      </c>
      <c r="BR26" t="s">
        <v>104</v>
      </c>
      <c r="BS26" t="s">
        <v>609</v>
      </c>
      <c r="BT26" t="str">
        <f>HYPERLINK("https%3A%2F%2Fwww.webofscience.com%2Fwos%2Fwoscc%2Ffull-record%2FWOS:001069017400001","View Full Record in Web of Science")</f>
        <v>View Full Record in Web of Science</v>
      </c>
    </row>
    <row r="27" spans="1:72" x14ac:dyDescent="0.15">
      <c r="A27" t="s">
        <v>72</v>
      </c>
      <c r="B27" t="s">
        <v>610</v>
      </c>
      <c r="C27" t="s">
        <v>74</v>
      </c>
      <c r="D27" t="s">
        <v>74</v>
      </c>
      <c r="E27" t="s">
        <v>74</v>
      </c>
      <c r="F27" t="s">
        <v>611</v>
      </c>
      <c r="G27" t="s">
        <v>74</v>
      </c>
      <c r="H27" t="s">
        <v>74</v>
      </c>
      <c r="I27" t="s">
        <v>612</v>
      </c>
      <c r="J27" t="s">
        <v>613</v>
      </c>
      <c r="K27" t="s">
        <v>74</v>
      </c>
      <c r="L27" t="s">
        <v>74</v>
      </c>
      <c r="M27" t="s">
        <v>78</v>
      </c>
      <c r="N27" t="s">
        <v>79</v>
      </c>
      <c r="O27" t="s">
        <v>74</v>
      </c>
      <c r="P27" t="s">
        <v>74</v>
      </c>
      <c r="Q27" t="s">
        <v>74</v>
      </c>
      <c r="R27" t="s">
        <v>74</v>
      </c>
      <c r="S27" t="s">
        <v>74</v>
      </c>
      <c r="T27" t="s">
        <v>614</v>
      </c>
      <c r="U27" t="s">
        <v>615</v>
      </c>
      <c r="V27" t="s">
        <v>616</v>
      </c>
      <c r="W27" t="s">
        <v>617</v>
      </c>
      <c r="X27" t="s">
        <v>618</v>
      </c>
      <c r="Y27" t="s">
        <v>619</v>
      </c>
      <c r="Z27" t="s">
        <v>620</v>
      </c>
      <c r="AA27" t="s">
        <v>74</v>
      </c>
      <c r="AB27" t="s">
        <v>74</v>
      </c>
      <c r="AC27" t="s">
        <v>74</v>
      </c>
      <c r="AD27" t="s">
        <v>74</v>
      </c>
      <c r="AE27" t="s">
        <v>74</v>
      </c>
      <c r="AF27" t="s">
        <v>74</v>
      </c>
      <c r="AG27">
        <v>51</v>
      </c>
      <c r="AH27">
        <v>0</v>
      </c>
      <c r="AI27">
        <v>0</v>
      </c>
      <c r="AJ27">
        <v>2</v>
      </c>
      <c r="AK27">
        <v>2</v>
      </c>
      <c r="AL27" t="s">
        <v>90</v>
      </c>
      <c r="AM27" t="s">
        <v>91</v>
      </c>
      <c r="AN27" t="s">
        <v>92</v>
      </c>
      <c r="AO27" t="s">
        <v>621</v>
      </c>
      <c r="AP27" t="s">
        <v>622</v>
      </c>
      <c r="AQ27" t="s">
        <v>74</v>
      </c>
      <c r="AR27" t="s">
        <v>623</v>
      </c>
      <c r="AS27" t="s">
        <v>624</v>
      </c>
      <c r="AT27" t="s">
        <v>416</v>
      </c>
      <c r="AU27">
        <v>2024</v>
      </c>
      <c r="AV27">
        <v>89</v>
      </c>
      <c r="AW27" t="s">
        <v>74</v>
      </c>
      <c r="AX27" t="s">
        <v>337</v>
      </c>
      <c r="AY27" t="s">
        <v>74</v>
      </c>
      <c r="AZ27" t="s">
        <v>74</v>
      </c>
      <c r="BA27" t="s">
        <v>74</v>
      </c>
      <c r="BB27">
        <v>173</v>
      </c>
      <c r="BC27">
        <v>195</v>
      </c>
      <c r="BD27" t="s">
        <v>74</v>
      </c>
      <c r="BE27" t="s">
        <v>625</v>
      </c>
      <c r="BF27" t="str">
        <f>HYPERLINK("http://dx.doi.org/10.1016/j.iref.2023.07.074","http://dx.doi.org/10.1016/j.iref.2023.07.074")</f>
        <v>http://dx.doi.org/10.1016/j.iref.2023.07.074</v>
      </c>
      <c r="BG27" t="s">
        <v>74</v>
      </c>
      <c r="BH27" t="s">
        <v>74</v>
      </c>
      <c r="BI27">
        <v>23</v>
      </c>
      <c r="BJ27" t="s">
        <v>626</v>
      </c>
      <c r="BK27" t="s">
        <v>627</v>
      </c>
      <c r="BL27" t="s">
        <v>628</v>
      </c>
      <c r="BM27" t="s">
        <v>629</v>
      </c>
      <c r="BN27" t="s">
        <v>74</v>
      </c>
      <c r="BO27" t="s">
        <v>74</v>
      </c>
      <c r="BP27" t="s">
        <v>74</v>
      </c>
      <c r="BQ27" t="s">
        <v>74</v>
      </c>
      <c r="BR27" t="s">
        <v>104</v>
      </c>
      <c r="BS27" t="s">
        <v>630</v>
      </c>
      <c r="BT27" t="str">
        <f>HYPERLINK("https%3A%2F%2Fwww.webofscience.com%2Fwos%2Fwoscc%2Ffull-record%2FWOS:001053635400001","View Full Record in Web of Science")</f>
        <v>View Full Record in Web of Science</v>
      </c>
    </row>
    <row r="28" spans="1:72" x14ac:dyDescent="0.15">
      <c r="A28" t="s">
        <v>72</v>
      </c>
      <c r="B28" t="s">
        <v>631</v>
      </c>
      <c r="C28" t="s">
        <v>74</v>
      </c>
      <c r="D28" t="s">
        <v>74</v>
      </c>
      <c r="E28" t="s">
        <v>74</v>
      </c>
      <c r="F28" t="s">
        <v>632</v>
      </c>
      <c r="G28" t="s">
        <v>74</v>
      </c>
      <c r="H28" t="s">
        <v>74</v>
      </c>
      <c r="I28" t="s">
        <v>633</v>
      </c>
      <c r="J28" t="s">
        <v>569</v>
      </c>
      <c r="K28" t="s">
        <v>74</v>
      </c>
      <c r="L28" t="s">
        <v>74</v>
      </c>
      <c r="M28" t="s">
        <v>78</v>
      </c>
      <c r="N28" t="s">
        <v>79</v>
      </c>
      <c r="O28" t="s">
        <v>74</v>
      </c>
      <c r="P28" t="s">
        <v>74</v>
      </c>
      <c r="Q28" t="s">
        <v>74</v>
      </c>
      <c r="R28" t="s">
        <v>74</v>
      </c>
      <c r="S28" t="s">
        <v>74</v>
      </c>
      <c r="T28" t="s">
        <v>634</v>
      </c>
      <c r="U28" t="s">
        <v>635</v>
      </c>
      <c r="V28" t="s">
        <v>636</v>
      </c>
      <c r="W28" t="s">
        <v>637</v>
      </c>
      <c r="X28" t="s">
        <v>638</v>
      </c>
      <c r="Y28" t="s">
        <v>639</v>
      </c>
      <c r="Z28" t="s">
        <v>640</v>
      </c>
      <c r="AA28" t="s">
        <v>641</v>
      </c>
      <c r="AB28" t="s">
        <v>642</v>
      </c>
      <c r="AC28" t="s">
        <v>74</v>
      </c>
      <c r="AD28" t="s">
        <v>74</v>
      </c>
      <c r="AE28" t="s">
        <v>74</v>
      </c>
      <c r="AF28" t="s">
        <v>74</v>
      </c>
      <c r="AG28">
        <v>68</v>
      </c>
      <c r="AH28">
        <v>1</v>
      </c>
      <c r="AI28">
        <v>1</v>
      </c>
      <c r="AJ28">
        <v>1</v>
      </c>
      <c r="AK28">
        <v>1</v>
      </c>
      <c r="AL28" t="s">
        <v>90</v>
      </c>
      <c r="AM28" t="s">
        <v>91</v>
      </c>
      <c r="AN28" t="s">
        <v>92</v>
      </c>
      <c r="AO28" t="s">
        <v>580</v>
      </c>
      <c r="AP28" t="s">
        <v>581</v>
      </c>
      <c r="AQ28" t="s">
        <v>74</v>
      </c>
      <c r="AR28" t="s">
        <v>582</v>
      </c>
      <c r="AS28" t="s">
        <v>583</v>
      </c>
      <c r="AT28" t="s">
        <v>416</v>
      </c>
      <c r="AU28">
        <v>2024</v>
      </c>
      <c r="AV28">
        <v>105</v>
      </c>
      <c r="AW28" t="s">
        <v>74</v>
      </c>
      <c r="AX28" t="s">
        <v>74</v>
      </c>
      <c r="AY28" t="s">
        <v>74</v>
      </c>
      <c r="AZ28" t="s">
        <v>74</v>
      </c>
      <c r="BA28" t="s">
        <v>74</v>
      </c>
      <c r="BB28" t="s">
        <v>74</v>
      </c>
      <c r="BC28" t="s">
        <v>74</v>
      </c>
      <c r="BD28">
        <v>102085</v>
      </c>
      <c r="BE28" t="s">
        <v>643</v>
      </c>
      <c r="BF28" t="str">
        <f>HYPERLINK("http://dx.doi.org/10.1016/j.newast.2023.102085","http://dx.doi.org/10.1016/j.newast.2023.102085")</f>
        <v>http://dx.doi.org/10.1016/j.newast.2023.102085</v>
      </c>
      <c r="BG28" t="s">
        <v>74</v>
      </c>
      <c r="BH28" t="s">
        <v>74</v>
      </c>
      <c r="BI28">
        <v>13</v>
      </c>
      <c r="BJ28" t="s">
        <v>585</v>
      </c>
      <c r="BK28" t="s">
        <v>100</v>
      </c>
      <c r="BL28" t="s">
        <v>585</v>
      </c>
      <c r="BM28" t="s">
        <v>644</v>
      </c>
      <c r="BN28" t="s">
        <v>74</v>
      </c>
      <c r="BO28" t="s">
        <v>103</v>
      </c>
      <c r="BP28" t="s">
        <v>74</v>
      </c>
      <c r="BQ28" t="s">
        <v>74</v>
      </c>
      <c r="BR28" t="s">
        <v>104</v>
      </c>
      <c r="BS28" t="s">
        <v>645</v>
      </c>
      <c r="BT28" t="str">
        <f>HYPERLINK("https%3A%2F%2Fwww.webofscience.com%2Fwos%2Fwoscc%2Ffull-record%2FWOS:001037446200001","View Full Record in Web of Science")</f>
        <v>View Full Record in Web of Science</v>
      </c>
    </row>
    <row r="29" spans="1:72" x14ac:dyDescent="0.15">
      <c r="A29" t="s">
        <v>72</v>
      </c>
      <c r="B29" t="s">
        <v>646</v>
      </c>
      <c r="C29" t="s">
        <v>74</v>
      </c>
      <c r="D29" t="s">
        <v>74</v>
      </c>
      <c r="E29" t="s">
        <v>74</v>
      </c>
      <c r="F29" t="s">
        <v>647</v>
      </c>
      <c r="G29" t="s">
        <v>74</v>
      </c>
      <c r="H29" t="s">
        <v>74</v>
      </c>
      <c r="I29" t="s">
        <v>648</v>
      </c>
      <c r="J29" t="s">
        <v>649</v>
      </c>
      <c r="K29" t="s">
        <v>74</v>
      </c>
      <c r="L29" t="s">
        <v>74</v>
      </c>
      <c r="M29" t="s">
        <v>78</v>
      </c>
      <c r="N29" t="s">
        <v>79</v>
      </c>
      <c r="O29" t="s">
        <v>74</v>
      </c>
      <c r="P29" t="s">
        <v>74</v>
      </c>
      <c r="Q29" t="s">
        <v>74</v>
      </c>
      <c r="R29" t="s">
        <v>74</v>
      </c>
      <c r="S29" t="s">
        <v>74</v>
      </c>
      <c r="T29" t="s">
        <v>650</v>
      </c>
      <c r="U29" t="s">
        <v>651</v>
      </c>
      <c r="V29" t="s">
        <v>652</v>
      </c>
      <c r="W29" t="s">
        <v>653</v>
      </c>
      <c r="X29" t="s">
        <v>654</v>
      </c>
      <c r="Y29" t="s">
        <v>655</v>
      </c>
      <c r="Z29" t="s">
        <v>656</v>
      </c>
      <c r="AA29" t="s">
        <v>74</v>
      </c>
      <c r="AB29" t="s">
        <v>74</v>
      </c>
      <c r="AC29" t="s">
        <v>657</v>
      </c>
      <c r="AD29" t="s">
        <v>658</v>
      </c>
      <c r="AE29" t="s">
        <v>659</v>
      </c>
      <c r="AF29" t="s">
        <v>74</v>
      </c>
      <c r="AG29">
        <v>34</v>
      </c>
      <c r="AH29">
        <v>0</v>
      </c>
      <c r="AI29">
        <v>0</v>
      </c>
      <c r="AJ29">
        <v>2</v>
      </c>
      <c r="AK29">
        <v>2</v>
      </c>
      <c r="AL29" t="s">
        <v>173</v>
      </c>
      <c r="AM29" t="s">
        <v>121</v>
      </c>
      <c r="AN29" t="s">
        <v>174</v>
      </c>
      <c r="AO29" t="s">
        <v>660</v>
      </c>
      <c r="AP29" t="s">
        <v>661</v>
      </c>
      <c r="AQ29" t="s">
        <v>74</v>
      </c>
      <c r="AR29" t="s">
        <v>662</v>
      </c>
      <c r="AS29" t="s">
        <v>663</v>
      </c>
      <c r="AT29" t="s">
        <v>416</v>
      </c>
      <c r="AU29">
        <v>2024</v>
      </c>
      <c r="AV29">
        <v>122</v>
      </c>
      <c r="AW29" t="s">
        <v>74</v>
      </c>
      <c r="AX29" t="s">
        <v>74</v>
      </c>
      <c r="AY29" t="s">
        <v>74</v>
      </c>
      <c r="AZ29" t="s">
        <v>74</v>
      </c>
      <c r="BA29" t="s">
        <v>74</v>
      </c>
      <c r="BB29" t="s">
        <v>74</v>
      </c>
      <c r="BC29" t="s">
        <v>74</v>
      </c>
      <c r="BD29">
        <v>102944</v>
      </c>
      <c r="BE29" t="s">
        <v>664</v>
      </c>
      <c r="BF29" t="str">
        <f>HYPERLINK("http://dx.doi.org/10.1016/j.omega.2023.102944","http://dx.doi.org/10.1016/j.omega.2023.102944")</f>
        <v>http://dx.doi.org/10.1016/j.omega.2023.102944</v>
      </c>
      <c r="BG29" t="s">
        <v>74</v>
      </c>
      <c r="BH29" t="s">
        <v>74</v>
      </c>
      <c r="BI29">
        <v>14</v>
      </c>
      <c r="BJ29" t="s">
        <v>665</v>
      </c>
      <c r="BK29" t="s">
        <v>666</v>
      </c>
      <c r="BL29" t="s">
        <v>667</v>
      </c>
      <c r="BM29" t="s">
        <v>668</v>
      </c>
      <c r="BN29" t="s">
        <v>74</v>
      </c>
      <c r="BO29" t="s">
        <v>74</v>
      </c>
      <c r="BP29" t="s">
        <v>74</v>
      </c>
      <c r="BQ29" t="s">
        <v>74</v>
      </c>
      <c r="BR29" t="s">
        <v>104</v>
      </c>
      <c r="BS29" t="s">
        <v>669</v>
      </c>
      <c r="BT29" t="str">
        <f>HYPERLINK("https%3A%2F%2Fwww.webofscience.com%2Fwos%2Fwoscc%2Ffull-record%2FWOS:001069354200001","View Full Record in Web of Science")</f>
        <v>View Full Record in Web of Science</v>
      </c>
    </row>
    <row r="30" spans="1:72" x14ac:dyDescent="0.15">
      <c r="A30" t="s">
        <v>72</v>
      </c>
      <c r="B30" t="s">
        <v>670</v>
      </c>
      <c r="C30" t="s">
        <v>74</v>
      </c>
      <c r="D30" t="s">
        <v>74</v>
      </c>
      <c r="E30" t="s">
        <v>74</v>
      </c>
      <c r="F30" t="s">
        <v>671</v>
      </c>
      <c r="G30" t="s">
        <v>74</v>
      </c>
      <c r="H30" t="s">
        <v>74</v>
      </c>
      <c r="I30" t="s">
        <v>672</v>
      </c>
      <c r="J30" t="s">
        <v>136</v>
      </c>
      <c r="K30" t="s">
        <v>74</v>
      </c>
      <c r="L30" t="s">
        <v>74</v>
      </c>
      <c r="M30" t="s">
        <v>78</v>
      </c>
      <c r="N30" t="s">
        <v>79</v>
      </c>
      <c r="O30" t="s">
        <v>74</v>
      </c>
      <c r="P30" t="s">
        <v>74</v>
      </c>
      <c r="Q30" t="s">
        <v>74</v>
      </c>
      <c r="R30" t="s">
        <v>74</v>
      </c>
      <c r="S30" t="s">
        <v>74</v>
      </c>
      <c r="T30" t="s">
        <v>673</v>
      </c>
      <c r="U30" t="s">
        <v>674</v>
      </c>
      <c r="V30" t="s">
        <v>675</v>
      </c>
      <c r="W30" t="s">
        <v>676</v>
      </c>
      <c r="X30" t="s">
        <v>677</v>
      </c>
      <c r="Y30" t="s">
        <v>678</v>
      </c>
      <c r="Z30" t="s">
        <v>679</v>
      </c>
      <c r="AA30" t="s">
        <v>680</v>
      </c>
      <c r="AB30" t="s">
        <v>74</v>
      </c>
      <c r="AC30" t="s">
        <v>681</v>
      </c>
      <c r="AD30" t="s">
        <v>682</v>
      </c>
      <c r="AE30" t="s">
        <v>683</v>
      </c>
      <c r="AF30" t="s">
        <v>74</v>
      </c>
      <c r="AG30">
        <v>21</v>
      </c>
      <c r="AH30">
        <v>0</v>
      </c>
      <c r="AI30">
        <v>0</v>
      </c>
      <c r="AJ30">
        <v>9</v>
      </c>
      <c r="AK30">
        <v>9</v>
      </c>
      <c r="AL30" t="s">
        <v>147</v>
      </c>
      <c r="AM30" t="s">
        <v>148</v>
      </c>
      <c r="AN30" t="s">
        <v>149</v>
      </c>
      <c r="AO30" t="s">
        <v>150</v>
      </c>
      <c r="AP30" t="s">
        <v>151</v>
      </c>
      <c r="AQ30" t="s">
        <v>74</v>
      </c>
      <c r="AR30" t="s">
        <v>136</v>
      </c>
      <c r="AS30" t="s">
        <v>152</v>
      </c>
      <c r="AT30" t="s">
        <v>416</v>
      </c>
      <c r="AU30">
        <v>2024</v>
      </c>
      <c r="AV30">
        <v>84</v>
      </c>
      <c r="AW30" t="s">
        <v>74</v>
      </c>
      <c r="AX30" t="s">
        <v>74</v>
      </c>
      <c r="AY30" t="s">
        <v>74</v>
      </c>
      <c r="AZ30" t="s">
        <v>74</v>
      </c>
      <c r="BA30" t="s">
        <v>74</v>
      </c>
      <c r="BB30">
        <v>261</v>
      </c>
      <c r="BC30">
        <v>280</v>
      </c>
      <c r="BD30" t="s">
        <v>74</v>
      </c>
      <c r="BE30" t="s">
        <v>684</v>
      </c>
      <c r="BF30" t="str">
        <f>HYPERLINK("http://dx.doi.org/10.1016/j.partic.2023.07.002","http://dx.doi.org/10.1016/j.partic.2023.07.002")</f>
        <v>http://dx.doi.org/10.1016/j.partic.2023.07.002</v>
      </c>
      <c r="BG30" t="s">
        <v>74</v>
      </c>
      <c r="BH30" t="s">
        <v>74</v>
      </c>
      <c r="BI30">
        <v>20</v>
      </c>
      <c r="BJ30" t="s">
        <v>155</v>
      </c>
      <c r="BK30" t="s">
        <v>100</v>
      </c>
      <c r="BL30" t="s">
        <v>156</v>
      </c>
      <c r="BM30" t="s">
        <v>685</v>
      </c>
      <c r="BN30" t="s">
        <v>74</v>
      </c>
      <c r="BO30" t="s">
        <v>74</v>
      </c>
      <c r="BP30" t="s">
        <v>74</v>
      </c>
      <c r="BQ30" t="s">
        <v>74</v>
      </c>
      <c r="BR30" t="s">
        <v>104</v>
      </c>
      <c r="BS30" t="s">
        <v>686</v>
      </c>
      <c r="BT30" t="str">
        <f>HYPERLINK("https%3A%2F%2Fwww.webofscience.com%2Fwos%2Fwoscc%2Ffull-record%2FWOS:001048047000001","View Full Record in Web of Science")</f>
        <v>View Full Record in Web of Science</v>
      </c>
    </row>
    <row r="31" spans="1:72" x14ac:dyDescent="0.15">
      <c r="A31" t="s">
        <v>72</v>
      </c>
      <c r="B31" t="s">
        <v>687</v>
      </c>
      <c r="C31" t="s">
        <v>74</v>
      </c>
      <c r="D31" t="s">
        <v>74</v>
      </c>
      <c r="E31" t="s">
        <v>74</v>
      </c>
      <c r="F31" t="s">
        <v>688</v>
      </c>
      <c r="G31" t="s">
        <v>74</v>
      </c>
      <c r="H31" t="s">
        <v>74</v>
      </c>
      <c r="I31" t="s">
        <v>689</v>
      </c>
      <c r="J31" t="s">
        <v>441</v>
      </c>
      <c r="K31" t="s">
        <v>74</v>
      </c>
      <c r="L31" t="s">
        <v>74</v>
      </c>
      <c r="M31" t="s">
        <v>78</v>
      </c>
      <c r="N31" t="s">
        <v>79</v>
      </c>
      <c r="O31" t="s">
        <v>74</v>
      </c>
      <c r="P31" t="s">
        <v>74</v>
      </c>
      <c r="Q31" t="s">
        <v>74</v>
      </c>
      <c r="R31" t="s">
        <v>74</v>
      </c>
      <c r="S31" t="s">
        <v>74</v>
      </c>
      <c r="T31" t="s">
        <v>690</v>
      </c>
      <c r="U31" t="s">
        <v>691</v>
      </c>
      <c r="V31" t="s">
        <v>692</v>
      </c>
      <c r="W31" t="s">
        <v>693</v>
      </c>
      <c r="X31" t="s">
        <v>694</v>
      </c>
      <c r="Y31" t="s">
        <v>695</v>
      </c>
      <c r="Z31" t="s">
        <v>696</v>
      </c>
      <c r="AA31" t="s">
        <v>74</v>
      </c>
      <c r="AB31" t="s">
        <v>74</v>
      </c>
      <c r="AC31" t="s">
        <v>697</v>
      </c>
      <c r="AD31" t="s">
        <v>698</v>
      </c>
      <c r="AE31" t="s">
        <v>699</v>
      </c>
      <c r="AF31" t="s">
        <v>74</v>
      </c>
      <c r="AG31">
        <v>59</v>
      </c>
      <c r="AH31">
        <v>0</v>
      </c>
      <c r="AI31">
        <v>0</v>
      </c>
      <c r="AJ31">
        <v>0</v>
      </c>
      <c r="AK31">
        <v>0</v>
      </c>
      <c r="AL31" t="s">
        <v>90</v>
      </c>
      <c r="AM31" t="s">
        <v>91</v>
      </c>
      <c r="AN31" t="s">
        <v>92</v>
      </c>
      <c r="AO31" t="s">
        <v>452</v>
      </c>
      <c r="AP31" t="s">
        <v>453</v>
      </c>
      <c r="AQ31" t="s">
        <v>74</v>
      </c>
      <c r="AR31" t="s">
        <v>454</v>
      </c>
      <c r="AS31" t="s">
        <v>455</v>
      </c>
      <c r="AT31" t="s">
        <v>416</v>
      </c>
      <c r="AU31">
        <v>2024</v>
      </c>
      <c r="AV31">
        <v>340</v>
      </c>
      <c r="AW31" t="s">
        <v>74</v>
      </c>
      <c r="AX31" t="s">
        <v>74</v>
      </c>
      <c r="AY31" t="s">
        <v>74</v>
      </c>
      <c r="AZ31" t="s">
        <v>74</v>
      </c>
      <c r="BA31" t="s">
        <v>74</v>
      </c>
      <c r="BB31" t="s">
        <v>74</v>
      </c>
      <c r="BC31" t="s">
        <v>74</v>
      </c>
      <c r="BD31">
        <v>123267</v>
      </c>
      <c r="BE31" t="s">
        <v>700</v>
      </c>
      <c r="BF31" t="str">
        <f>HYPERLINK("http://dx.doi.org/10.1016/j.apcatb.2023.123267","http://dx.doi.org/10.1016/j.apcatb.2023.123267")</f>
        <v>http://dx.doi.org/10.1016/j.apcatb.2023.123267</v>
      </c>
      <c r="BG31" t="s">
        <v>74</v>
      </c>
      <c r="BH31" t="s">
        <v>74</v>
      </c>
      <c r="BI31">
        <v>9</v>
      </c>
      <c r="BJ31" t="s">
        <v>457</v>
      </c>
      <c r="BK31" t="s">
        <v>100</v>
      </c>
      <c r="BL31" t="s">
        <v>458</v>
      </c>
      <c r="BM31" t="s">
        <v>701</v>
      </c>
      <c r="BN31" t="s">
        <v>74</v>
      </c>
      <c r="BO31" t="s">
        <v>504</v>
      </c>
      <c r="BP31" t="s">
        <v>74</v>
      </c>
      <c r="BQ31" t="s">
        <v>74</v>
      </c>
      <c r="BR31" t="s">
        <v>104</v>
      </c>
      <c r="BS31" t="s">
        <v>702</v>
      </c>
      <c r="BT31" t="str">
        <f>HYPERLINK("https%3A%2F%2Fwww.webofscience.com%2Fwos%2Fwoscc%2Ffull-record%2FWOS:001073606300001","View Full Record in Web of Science")</f>
        <v>View Full Record in Web of Science</v>
      </c>
    </row>
    <row r="32" spans="1:72" x14ac:dyDescent="0.15">
      <c r="A32" t="s">
        <v>72</v>
      </c>
      <c r="B32" t="s">
        <v>703</v>
      </c>
      <c r="C32" t="s">
        <v>74</v>
      </c>
      <c r="D32" t="s">
        <v>74</v>
      </c>
      <c r="E32" t="s">
        <v>74</v>
      </c>
      <c r="F32" t="s">
        <v>704</v>
      </c>
      <c r="G32" t="s">
        <v>74</v>
      </c>
      <c r="H32" t="s">
        <v>74</v>
      </c>
      <c r="I32" t="s">
        <v>705</v>
      </c>
      <c r="J32" t="s">
        <v>706</v>
      </c>
      <c r="K32" t="s">
        <v>74</v>
      </c>
      <c r="L32" t="s">
        <v>74</v>
      </c>
      <c r="M32" t="s">
        <v>78</v>
      </c>
      <c r="N32" t="s">
        <v>79</v>
      </c>
      <c r="O32" t="s">
        <v>74</v>
      </c>
      <c r="P32" t="s">
        <v>74</v>
      </c>
      <c r="Q32" t="s">
        <v>74</v>
      </c>
      <c r="R32" t="s">
        <v>74</v>
      </c>
      <c r="S32" t="s">
        <v>74</v>
      </c>
      <c r="T32" t="s">
        <v>707</v>
      </c>
      <c r="U32" t="s">
        <v>708</v>
      </c>
      <c r="V32" t="s">
        <v>709</v>
      </c>
      <c r="W32" t="s">
        <v>710</v>
      </c>
      <c r="X32" t="s">
        <v>711</v>
      </c>
      <c r="Y32" t="s">
        <v>712</v>
      </c>
      <c r="Z32" t="s">
        <v>713</v>
      </c>
      <c r="AA32" t="s">
        <v>74</v>
      </c>
      <c r="AB32" t="s">
        <v>74</v>
      </c>
      <c r="AC32" t="s">
        <v>714</v>
      </c>
      <c r="AD32" t="s">
        <v>715</v>
      </c>
      <c r="AE32" t="s">
        <v>716</v>
      </c>
      <c r="AF32" t="s">
        <v>74</v>
      </c>
      <c r="AG32">
        <v>76</v>
      </c>
      <c r="AH32">
        <v>0</v>
      </c>
      <c r="AI32">
        <v>0</v>
      </c>
      <c r="AJ32">
        <v>0</v>
      </c>
      <c r="AK32">
        <v>0</v>
      </c>
      <c r="AL32" t="s">
        <v>90</v>
      </c>
      <c r="AM32" t="s">
        <v>91</v>
      </c>
      <c r="AN32" t="s">
        <v>92</v>
      </c>
      <c r="AO32" t="s">
        <v>717</v>
      </c>
      <c r="AP32" t="s">
        <v>718</v>
      </c>
      <c r="AQ32" t="s">
        <v>74</v>
      </c>
      <c r="AR32" t="s">
        <v>719</v>
      </c>
      <c r="AS32" t="s">
        <v>720</v>
      </c>
      <c r="AT32" t="s">
        <v>416</v>
      </c>
      <c r="AU32">
        <v>2024</v>
      </c>
      <c r="AV32">
        <v>155</v>
      </c>
      <c r="AW32" t="s">
        <v>74</v>
      </c>
      <c r="AX32" t="s">
        <v>74</v>
      </c>
      <c r="AY32" t="s">
        <v>74</v>
      </c>
      <c r="AZ32" t="s">
        <v>74</v>
      </c>
      <c r="BA32" t="s">
        <v>74</v>
      </c>
      <c r="BB32" t="s">
        <v>74</v>
      </c>
      <c r="BC32" t="s">
        <v>74</v>
      </c>
      <c r="BD32">
        <v>115825</v>
      </c>
      <c r="BE32" t="s">
        <v>721</v>
      </c>
      <c r="BF32" t="str">
        <f>HYPERLINK("http://dx.doi.org/10.1016/j.physe.2023.115825","http://dx.doi.org/10.1016/j.physe.2023.115825")</f>
        <v>http://dx.doi.org/10.1016/j.physe.2023.115825</v>
      </c>
      <c r="BG32" t="s">
        <v>74</v>
      </c>
      <c r="BH32" t="s">
        <v>74</v>
      </c>
      <c r="BI32">
        <v>10</v>
      </c>
      <c r="BJ32" t="s">
        <v>722</v>
      </c>
      <c r="BK32" t="s">
        <v>100</v>
      </c>
      <c r="BL32" t="s">
        <v>723</v>
      </c>
      <c r="BM32" t="s">
        <v>724</v>
      </c>
      <c r="BN32" t="s">
        <v>74</v>
      </c>
      <c r="BO32" t="s">
        <v>74</v>
      </c>
      <c r="BP32" t="s">
        <v>74</v>
      </c>
      <c r="BQ32" t="s">
        <v>74</v>
      </c>
      <c r="BR32" t="s">
        <v>104</v>
      </c>
      <c r="BS32" t="s">
        <v>725</v>
      </c>
      <c r="BT32" t="str">
        <f>HYPERLINK("https%3A%2F%2Fwww.webofscience.com%2Fwos%2Fwoscc%2Ffull-record%2FWOS:001066646200001","View Full Record in Web of Science")</f>
        <v>View Full Record in Web of Science</v>
      </c>
    </row>
    <row r="33" spans="1:72" x14ac:dyDescent="0.15">
      <c r="A33" t="s">
        <v>72</v>
      </c>
      <c r="B33" t="s">
        <v>726</v>
      </c>
      <c r="C33" t="s">
        <v>74</v>
      </c>
      <c r="D33" t="s">
        <v>74</v>
      </c>
      <c r="E33" t="s">
        <v>74</v>
      </c>
      <c r="F33" t="s">
        <v>727</v>
      </c>
      <c r="G33" t="s">
        <v>74</v>
      </c>
      <c r="H33" t="s">
        <v>74</v>
      </c>
      <c r="I33" t="s">
        <v>728</v>
      </c>
      <c r="J33" t="s">
        <v>109</v>
      </c>
      <c r="K33" t="s">
        <v>74</v>
      </c>
      <c r="L33" t="s">
        <v>74</v>
      </c>
      <c r="M33" t="s">
        <v>78</v>
      </c>
      <c r="N33" t="s">
        <v>79</v>
      </c>
      <c r="O33" t="s">
        <v>74</v>
      </c>
      <c r="P33" t="s">
        <v>74</v>
      </c>
      <c r="Q33" t="s">
        <v>74</v>
      </c>
      <c r="R33" t="s">
        <v>74</v>
      </c>
      <c r="S33" t="s">
        <v>74</v>
      </c>
      <c r="T33" t="s">
        <v>729</v>
      </c>
      <c r="U33" t="s">
        <v>730</v>
      </c>
      <c r="V33" t="s">
        <v>731</v>
      </c>
      <c r="W33" t="s">
        <v>732</v>
      </c>
      <c r="X33" t="s">
        <v>733</v>
      </c>
      <c r="Y33" t="s">
        <v>734</v>
      </c>
      <c r="Z33" t="s">
        <v>735</v>
      </c>
      <c r="AA33" t="s">
        <v>74</v>
      </c>
      <c r="AB33" t="s">
        <v>74</v>
      </c>
      <c r="AC33" t="s">
        <v>736</v>
      </c>
      <c r="AD33" t="s">
        <v>737</v>
      </c>
      <c r="AE33" t="s">
        <v>738</v>
      </c>
      <c r="AF33" t="s">
        <v>74</v>
      </c>
      <c r="AG33">
        <v>39</v>
      </c>
      <c r="AH33">
        <v>0</v>
      </c>
      <c r="AI33">
        <v>0</v>
      </c>
      <c r="AJ33">
        <v>8</v>
      </c>
      <c r="AK33">
        <v>8</v>
      </c>
      <c r="AL33" t="s">
        <v>120</v>
      </c>
      <c r="AM33" t="s">
        <v>121</v>
      </c>
      <c r="AN33" t="s">
        <v>122</v>
      </c>
      <c r="AO33" t="s">
        <v>123</v>
      </c>
      <c r="AP33" t="s">
        <v>124</v>
      </c>
      <c r="AQ33" t="s">
        <v>74</v>
      </c>
      <c r="AR33" t="s">
        <v>125</v>
      </c>
      <c r="AS33" t="s">
        <v>126</v>
      </c>
      <c r="AT33" t="s">
        <v>434</v>
      </c>
      <c r="AU33">
        <v>2024</v>
      </c>
      <c r="AV33">
        <v>430</v>
      </c>
      <c r="AW33" t="s">
        <v>74</v>
      </c>
      <c r="AX33" t="s">
        <v>74</v>
      </c>
      <c r="AY33" t="s">
        <v>74</v>
      </c>
      <c r="AZ33" t="s">
        <v>74</v>
      </c>
      <c r="BA33" t="s">
        <v>74</v>
      </c>
      <c r="BB33" t="s">
        <v>74</v>
      </c>
      <c r="BC33" t="s">
        <v>74</v>
      </c>
      <c r="BD33">
        <v>137021</v>
      </c>
      <c r="BE33" t="s">
        <v>739</v>
      </c>
      <c r="BF33" t="str">
        <f>HYPERLINK("http://dx.doi.org/10.1016/j.foodchem.2023.137021","http://dx.doi.org/10.1016/j.foodchem.2023.137021")</f>
        <v>http://dx.doi.org/10.1016/j.foodchem.2023.137021</v>
      </c>
      <c r="BG33" t="s">
        <v>74</v>
      </c>
      <c r="BH33" t="s">
        <v>74</v>
      </c>
      <c r="BI33">
        <v>9</v>
      </c>
      <c r="BJ33" t="s">
        <v>129</v>
      </c>
      <c r="BK33" t="s">
        <v>100</v>
      </c>
      <c r="BL33" t="s">
        <v>130</v>
      </c>
      <c r="BM33" t="s">
        <v>740</v>
      </c>
      <c r="BN33">
        <v>37527583</v>
      </c>
      <c r="BO33" t="s">
        <v>74</v>
      </c>
      <c r="BP33" t="s">
        <v>74</v>
      </c>
      <c r="BQ33" t="s">
        <v>74</v>
      </c>
      <c r="BR33" t="s">
        <v>104</v>
      </c>
      <c r="BS33" t="s">
        <v>741</v>
      </c>
      <c r="BT33" t="str">
        <f>HYPERLINK("https%3A%2F%2Fwww.webofscience.com%2Fwos%2Fwoscc%2Ffull-record%2FWOS:001051818300001","View Full Record in Web of Science")</f>
        <v>View Full Record in Web of Science</v>
      </c>
    </row>
    <row r="34" spans="1:72" x14ac:dyDescent="0.15">
      <c r="A34" t="s">
        <v>72</v>
      </c>
      <c r="B34" t="s">
        <v>742</v>
      </c>
      <c r="C34" t="s">
        <v>74</v>
      </c>
      <c r="D34" t="s">
        <v>74</v>
      </c>
      <c r="E34" t="s">
        <v>74</v>
      </c>
      <c r="F34" t="s">
        <v>743</v>
      </c>
      <c r="G34" t="s">
        <v>74</v>
      </c>
      <c r="H34" t="s">
        <v>74</v>
      </c>
      <c r="I34" t="s">
        <v>744</v>
      </c>
      <c r="J34" t="s">
        <v>261</v>
      </c>
      <c r="K34" t="s">
        <v>74</v>
      </c>
      <c r="L34" t="s">
        <v>74</v>
      </c>
      <c r="M34" t="s">
        <v>78</v>
      </c>
      <c r="N34" t="s">
        <v>79</v>
      </c>
      <c r="O34" t="s">
        <v>74</v>
      </c>
      <c r="P34" t="s">
        <v>74</v>
      </c>
      <c r="Q34" t="s">
        <v>74</v>
      </c>
      <c r="R34" t="s">
        <v>74</v>
      </c>
      <c r="S34" t="s">
        <v>74</v>
      </c>
      <c r="T34" t="s">
        <v>745</v>
      </c>
      <c r="U34" t="s">
        <v>746</v>
      </c>
      <c r="V34" t="s">
        <v>747</v>
      </c>
      <c r="W34" t="s">
        <v>748</v>
      </c>
      <c r="X34" t="s">
        <v>749</v>
      </c>
      <c r="Y34" t="s">
        <v>750</v>
      </c>
      <c r="Z34" t="s">
        <v>751</v>
      </c>
      <c r="AA34" t="s">
        <v>74</v>
      </c>
      <c r="AB34" t="s">
        <v>74</v>
      </c>
      <c r="AC34" t="s">
        <v>752</v>
      </c>
      <c r="AD34" t="s">
        <v>753</v>
      </c>
      <c r="AE34" t="s">
        <v>754</v>
      </c>
      <c r="AF34" t="s">
        <v>74</v>
      </c>
      <c r="AG34">
        <v>32</v>
      </c>
      <c r="AH34">
        <v>0</v>
      </c>
      <c r="AI34">
        <v>0</v>
      </c>
      <c r="AJ34">
        <v>7</v>
      </c>
      <c r="AK34">
        <v>7</v>
      </c>
      <c r="AL34" t="s">
        <v>120</v>
      </c>
      <c r="AM34" t="s">
        <v>121</v>
      </c>
      <c r="AN34" t="s">
        <v>122</v>
      </c>
      <c r="AO34" t="s">
        <v>272</v>
      </c>
      <c r="AP34" t="s">
        <v>273</v>
      </c>
      <c r="AQ34" t="s">
        <v>74</v>
      </c>
      <c r="AR34" t="s">
        <v>261</v>
      </c>
      <c r="AS34" t="s">
        <v>274</v>
      </c>
      <c r="AT34" t="s">
        <v>434</v>
      </c>
      <c r="AU34">
        <v>2024</v>
      </c>
      <c r="AV34">
        <v>355</v>
      </c>
      <c r="AW34" t="s">
        <v>74</v>
      </c>
      <c r="AX34" t="s">
        <v>74</v>
      </c>
      <c r="AY34" t="s">
        <v>74</v>
      </c>
      <c r="AZ34" t="s">
        <v>74</v>
      </c>
      <c r="BA34" t="s">
        <v>74</v>
      </c>
      <c r="BB34" t="s">
        <v>74</v>
      </c>
      <c r="BC34" t="s">
        <v>74</v>
      </c>
      <c r="BD34">
        <v>129457</v>
      </c>
      <c r="BE34" t="s">
        <v>755</v>
      </c>
      <c r="BF34" t="str">
        <f>HYPERLINK("http://dx.doi.org/10.1016/j.fuel.2023.129457","http://dx.doi.org/10.1016/j.fuel.2023.129457")</f>
        <v>http://dx.doi.org/10.1016/j.fuel.2023.129457</v>
      </c>
      <c r="BG34" t="s">
        <v>74</v>
      </c>
      <c r="BH34" t="s">
        <v>74</v>
      </c>
      <c r="BI34">
        <v>8</v>
      </c>
      <c r="BJ34" t="s">
        <v>276</v>
      </c>
      <c r="BK34" t="s">
        <v>100</v>
      </c>
      <c r="BL34" t="s">
        <v>277</v>
      </c>
      <c r="BM34" t="s">
        <v>756</v>
      </c>
      <c r="BN34" t="s">
        <v>74</v>
      </c>
      <c r="BO34" t="s">
        <v>504</v>
      </c>
      <c r="BP34" t="s">
        <v>74</v>
      </c>
      <c r="BQ34" t="s">
        <v>74</v>
      </c>
      <c r="BR34" t="s">
        <v>104</v>
      </c>
      <c r="BS34" t="s">
        <v>757</v>
      </c>
      <c r="BT34" t="str">
        <f>HYPERLINK("https%3A%2F%2Fwww.webofscience.com%2Fwos%2Fwoscc%2Ffull-record%2FWOS:001057982200001","View Full Record in Web of Science")</f>
        <v>View Full Record in Web of Science</v>
      </c>
    </row>
    <row r="35" spans="1:72" x14ac:dyDescent="0.15">
      <c r="A35" t="s">
        <v>72</v>
      </c>
      <c r="B35" t="s">
        <v>758</v>
      </c>
      <c r="C35" t="s">
        <v>74</v>
      </c>
      <c r="D35" t="s">
        <v>74</v>
      </c>
      <c r="E35" t="s">
        <v>74</v>
      </c>
      <c r="F35" t="s">
        <v>759</v>
      </c>
      <c r="G35" t="s">
        <v>74</v>
      </c>
      <c r="H35" t="s">
        <v>74</v>
      </c>
      <c r="I35" t="s">
        <v>760</v>
      </c>
      <c r="J35" t="s">
        <v>109</v>
      </c>
      <c r="K35" t="s">
        <v>74</v>
      </c>
      <c r="L35" t="s">
        <v>74</v>
      </c>
      <c r="M35" t="s">
        <v>78</v>
      </c>
      <c r="N35" t="s">
        <v>79</v>
      </c>
      <c r="O35" t="s">
        <v>74</v>
      </c>
      <c r="P35" t="s">
        <v>74</v>
      </c>
      <c r="Q35" t="s">
        <v>74</v>
      </c>
      <c r="R35" t="s">
        <v>74</v>
      </c>
      <c r="S35" t="s">
        <v>74</v>
      </c>
      <c r="T35" t="s">
        <v>761</v>
      </c>
      <c r="U35" t="s">
        <v>762</v>
      </c>
      <c r="V35" t="s">
        <v>763</v>
      </c>
      <c r="W35" t="s">
        <v>764</v>
      </c>
      <c r="X35" t="s">
        <v>765</v>
      </c>
      <c r="Y35" t="s">
        <v>766</v>
      </c>
      <c r="Z35" t="s">
        <v>767</v>
      </c>
      <c r="AA35" t="s">
        <v>74</v>
      </c>
      <c r="AB35" t="s">
        <v>74</v>
      </c>
      <c r="AC35" t="s">
        <v>768</v>
      </c>
      <c r="AD35" t="s">
        <v>769</v>
      </c>
      <c r="AE35" t="s">
        <v>770</v>
      </c>
      <c r="AF35" t="s">
        <v>74</v>
      </c>
      <c r="AG35">
        <v>31</v>
      </c>
      <c r="AH35">
        <v>0</v>
      </c>
      <c r="AI35">
        <v>0</v>
      </c>
      <c r="AJ35">
        <v>13</v>
      </c>
      <c r="AK35">
        <v>13</v>
      </c>
      <c r="AL35" t="s">
        <v>120</v>
      </c>
      <c r="AM35" t="s">
        <v>121</v>
      </c>
      <c r="AN35" t="s">
        <v>122</v>
      </c>
      <c r="AO35" t="s">
        <v>123</v>
      </c>
      <c r="AP35" t="s">
        <v>124</v>
      </c>
      <c r="AQ35" t="s">
        <v>74</v>
      </c>
      <c r="AR35" t="s">
        <v>125</v>
      </c>
      <c r="AS35" t="s">
        <v>126</v>
      </c>
      <c r="AT35" t="s">
        <v>434</v>
      </c>
      <c r="AU35">
        <v>2024</v>
      </c>
      <c r="AV35">
        <v>430</v>
      </c>
      <c r="AW35" t="s">
        <v>74</v>
      </c>
      <c r="AX35" t="s">
        <v>74</v>
      </c>
      <c r="AY35" t="s">
        <v>74</v>
      </c>
      <c r="AZ35" t="s">
        <v>74</v>
      </c>
      <c r="BA35" t="s">
        <v>74</v>
      </c>
      <c r="BB35" t="s">
        <v>74</v>
      </c>
      <c r="BC35" t="s">
        <v>74</v>
      </c>
      <c r="BD35">
        <v>137064</v>
      </c>
      <c r="BE35" t="s">
        <v>771</v>
      </c>
      <c r="BF35" t="str">
        <f>HYPERLINK("http://dx.doi.org/10.1016/j.foodchem.2023.137064","http://dx.doi.org/10.1016/j.foodchem.2023.137064")</f>
        <v>http://dx.doi.org/10.1016/j.foodchem.2023.137064</v>
      </c>
      <c r="BG35" t="s">
        <v>74</v>
      </c>
      <c r="BH35" t="s">
        <v>74</v>
      </c>
      <c r="BI35">
        <v>8</v>
      </c>
      <c r="BJ35" t="s">
        <v>129</v>
      </c>
      <c r="BK35" t="s">
        <v>100</v>
      </c>
      <c r="BL35" t="s">
        <v>130</v>
      </c>
      <c r="BM35" t="s">
        <v>772</v>
      </c>
      <c r="BN35">
        <v>37549619</v>
      </c>
      <c r="BO35" t="s">
        <v>74</v>
      </c>
      <c r="BP35" t="s">
        <v>74</v>
      </c>
      <c r="BQ35" t="s">
        <v>74</v>
      </c>
      <c r="BR35" t="s">
        <v>104</v>
      </c>
      <c r="BS35" t="s">
        <v>773</v>
      </c>
      <c r="BT35" t="str">
        <f>HYPERLINK("https%3A%2F%2Fwww.webofscience.com%2Fwos%2Fwoscc%2Ffull-record%2FWOS:001053588000001","View Full Record in Web of Science")</f>
        <v>View Full Record in Web of Science</v>
      </c>
    </row>
    <row r="36" spans="1:72" x14ac:dyDescent="0.15">
      <c r="A36" t="s">
        <v>72</v>
      </c>
      <c r="B36" t="s">
        <v>774</v>
      </c>
      <c r="C36" t="s">
        <v>74</v>
      </c>
      <c r="D36" t="s">
        <v>74</v>
      </c>
      <c r="E36" t="s">
        <v>74</v>
      </c>
      <c r="F36" t="s">
        <v>775</v>
      </c>
      <c r="G36" t="s">
        <v>74</v>
      </c>
      <c r="H36" t="s">
        <v>74</v>
      </c>
      <c r="I36" t="s">
        <v>776</v>
      </c>
      <c r="J36" t="s">
        <v>777</v>
      </c>
      <c r="K36" t="s">
        <v>74</v>
      </c>
      <c r="L36" t="s">
        <v>74</v>
      </c>
      <c r="M36" t="s">
        <v>78</v>
      </c>
      <c r="N36" t="s">
        <v>79</v>
      </c>
      <c r="O36" t="s">
        <v>74</v>
      </c>
      <c r="P36" t="s">
        <v>74</v>
      </c>
      <c r="Q36" t="s">
        <v>74</v>
      </c>
      <c r="R36" t="s">
        <v>74</v>
      </c>
      <c r="S36" t="s">
        <v>74</v>
      </c>
      <c r="T36" t="s">
        <v>778</v>
      </c>
      <c r="U36" t="s">
        <v>779</v>
      </c>
      <c r="V36" t="s">
        <v>780</v>
      </c>
      <c r="W36" t="s">
        <v>781</v>
      </c>
      <c r="X36" t="s">
        <v>782</v>
      </c>
      <c r="Y36" t="s">
        <v>783</v>
      </c>
      <c r="Z36" t="s">
        <v>784</v>
      </c>
      <c r="AA36" t="s">
        <v>785</v>
      </c>
      <c r="AB36" t="s">
        <v>786</v>
      </c>
      <c r="AC36" t="s">
        <v>787</v>
      </c>
      <c r="AD36" t="s">
        <v>787</v>
      </c>
      <c r="AE36" t="s">
        <v>788</v>
      </c>
      <c r="AF36" t="s">
        <v>74</v>
      </c>
      <c r="AG36">
        <v>107</v>
      </c>
      <c r="AH36">
        <v>0</v>
      </c>
      <c r="AI36">
        <v>0</v>
      </c>
      <c r="AJ36">
        <v>7</v>
      </c>
      <c r="AK36">
        <v>7</v>
      </c>
      <c r="AL36" t="s">
        <v>147</v>
      </c>
      <c r="AM36" t="s">
        <v>148</v>
      </c>
      <c r="AN36" t="s">
        <v>149</v>
      </c>
      <c r="AO36" t="s">
        <v>789</v>
      </c>
      <c r="AP36" t="s">
        <v>790</v>
      </c>
      <c r="AQ36" t="s">
        <v>74</v>
      </c>
      <c r="AR36" t="s">
        <v>791</v>
      </c>
      <c r="AS36" t="s">
        <v>792</v>
      </c>
      <c r="AT36" t="s">
        <v>416</v>
      </c>
      <c r="AU36">
        <v>2024</v>
      </c>
      <c r="AV36">
        <v>237</v>
      </c>
      <c r="AW36" t="s">
        <v>74</v>
      </c>
      <c r="AX36" t="s">
        <v>74</v>
      </c>
      <c r="AY36" t="s">
        <v>74</v>
      </c>
      <c r="AZ36" t="s">
        <v>74</v>
      </c>
      <c r="BA36" t="s">
        <v>74</v>
      </c>
      <c r="BB36" t="s">
        <v>74</v>
      </c>
      <c r="BC36" t="s">
        <v>74</v>
      </c>
      <c r="BD36">
        <v>105755</v>
      </c>
      <c r="BE36" t="s">
        <v>793</v>
      </c>
      <c r="BF36" t="str">
        <f>HYPERLINK("http://dx.doi.org/10.1016/j.jecp.2023.105755","http://dx.doi.org/10.1016/j.jecp.2023.105755")</f>
        <v>http://dx.doi.org/10.1016/j.jecp.2023.105755</v>
      </c>
      <c r="BG36" t="s">
        <v>74</v>
      </c>
      <c r="BH36" t="s">
        <v>74</v>
      </c>
      <c r="BI36">
        <v>21</v>
      </c>
      <c r="BJ36" t="s">
        <v>794</v>
      </c>
      <c r="BK36" t="s">
        <v>627</v>
      </c>
      <c r="BL36" t="s">
        <v>795</v>
      </c>
      <c r="BM36" t="s">
        <v>796</v>
      </c>
      <c r="BN36">
        <v>37572384</v>
      </c>
      <c r="BO36" t="s">
        <v>74</v>
      </c>
      <c r="BP36" t="s">
        <v>74</v>
      </c>
      <c r="BQ36" t="s">
        <v>74</v>
      </c>
      <c r="BR36" t="s">
        <v>104</v>
      </c>
      <c r="BS36" t="s">
        <v>797</v>
      </c>
      <c r="BT36" t="str">
        <f>HYPERLINK("https%3A%2F%2Fwww.webofscience.com%2Fwos%2Fwoscc%2Ffull-record%2FWOS:001062620500001","View Full Record in Web of Science")</f>
        <v>View Full Record in Web of Science</v>
      </c>
    </row>
    <row r="37" spans="1:72" x14ac:dyDescent="0.15">
      <c r="A37" t="s">
        <v>72</v>
      </c>
      <c r="B37" t="s">
        <v>798</v>
      </c>
      <c r="C37" t="s">
        <v>74</v>
      </c>
      <c r="D37" t="s">
        <v>74</v>
      </c>
      <c r="E37" t="s">
        <v>74</v>
      </c>
      <c r="F37" t="s">
        <v>799</v>
      </c>
      <c r="G37" t="s">
        <v>74</v>
      </c>
      <c r="H37" t="s">
        <v>74</v>
      </c>
      <c r="I37" t="s">
        <v>800</v>
      </c>
      <c r="J37" t="s">
        <v>162</v>
      </c>
      <c r="K37" t="s">
        <v>74</v>
      </c>
      <c r="L37" t="s">
        <v>74</v>
      </c>
      <c r="M37" t="s">
        <v>78</v>
      </c>
      <c r="N37" t="s">
        <v>241</v>
      </c>
      <c r="O37" t="s">
        <v>74</v>
      </c>
      <c r="P37" t="s">
        <v>74</v>
      </c>
      <c r="Q37" t="s">
        <v>74</v>
      </c>
      <c r="R37" t="s">
        <v>74</v>
      </c>
      <c r="S37" t="s">
        <v>74</v>
      </c>
      <c r="T37" t="s">
        <v>801</v>
      </c>
      <c r="U37" t="s">
        <v>74</v>
      </c>
      <c r="V37" t="s">
        <v>802</v>
      </c>
      <c r="W37" t="s">
        <v>803</v>
      </c>
      <c r="X37" t="s">
        <v>804</v>
      </c>
      <c r="Y37" t="s">
        <v>805</v>
      </c>
      <c r="Z37" t="s">
        <v>806</v>
      </c>
      <c r="AA37" t="s">
        <v>74</v>
      </c>
      <c r="AB37" t="s">
        <v>74</v>
      </c>
      <c r="AC37" t="s">
        <v>807</v>
      </c>
      <c r="AD37" t="s">
        <v>808</v>
      </c>
      <c r="AE37" t="s">
        <v>809</v>
      </c>
      <c r="AF37" t="s">
        <v>74</v>
      </c>
      <c r="AG37">
        <v>102</v>
      </c>
      <c r="AH37">
        <v>0</v>
      </c>
      <c r="AI37">
        <v>0</v>
      </c>
      <c r="AJ37">
        <v>0</v>
      </c>
      <c r="AK37">
        <v>0</v>
      </c>
      <c r="AL37" t="s">
        <v>173</v>
      </c>
      <c r="AM37" t="s">
        <v>121</v>
      </c>
      <c r="AN37" t="s">
        <v>174</v>
      </c>
      <c r="AO37" t="s">
        <v>175</v>
      </c>
      <c r="AP37" t="s">
        <v>176</v>
      </c>
      <c r="AQ37" t="s">
        <v>74</v>
      </c>
      <c r="AR37" t="s">
        <v>177</v>
      </c>
      <c r="AS37" t="s">
        <v>178</v>
      </c>
      <c r="AT37" t="s">
        <v>416</v>
      </c>
      <c r="AU37">
        <v>2024</v>
      </c>
      <c r="AV37">
        <v>235</v>
      </c>
      <c r="AW37" t="s">
        <v>74</v>
      </c>
      <c r="AX37" t="s">
        <v>74</v>
      </c>
      <c r="AY37" t="s">
        <v>74</v>
      </c>
      <c r="AZ37" t="s">
        <v>74</v>
      </c>
      <c r="BA37" t="s">
        <v>74</v>
      </c>
      <c r="BB37" t="s">
        <v>74</v>
      </c>
      <c r="BC37" t="s">
        <v>74</v>
      </c>
      <c r="BD37">
        <v>121168</v>
      </c>
      <c r="BE37" t="s">
        <v>810</v>
      </c>
      <c r="BF37" t="str">
        <f>HYPERLINK("http://dx.doi.org/10.1016/j.eswa.2023.121168","http://dx.doi.org/10.1016/j.eswa.2023.121168")</f>
        <v>http://dx.doi.org/10.1016/j.eswa.2023.121168</v>
      </c>
      <c r="BG37" t="s">
        <v>74</v>
      </c>
      <c r="BH37" t="s">
        <v>74</v>
      </c>
      <c r="BI37">
        <v>14</v>
      </c>
      <c r="BJ37" t="s">
        <v>180</v>
      </c>
      <c r="BK37" t="s">
        <v>100</v>
      </c>
      <c r="BL37" t="s">
        <v>181</v>
      </c>
      <c r="BM37" t="s">
        <v>811</v>
      </c>
      <c r="BN37" t="s">
        <v>74</v>
      </c>
      <c r="BO37" t="s">
        <v>74</v>
      </c>
      <c r="BP37" t="s">
        <v>74</v>
      </c>
      <c r="BQ37" t="s">
        <v>74</v>
      </c>
      <c r="BR37" t="s">
        <v>104</v>
      </c>
      <c r="BS37" t="s">
        <v>812</v>
      </c>
      <c r="BT37" t="str">
        <f>HYPERLINK("https%3A%2F%2Fwww.webofscience.com%2Fwos%2Fwoscc%2Ffull-record%2FWOS:001070983900001","View Full Record in Web of Science")</f>
        <v>View Full Record in Web of Science</v>
      </c>
    </row>
    <row r="38" spans="1:72" x14ac:dyDescent="0.15">
      <c r="A38" t="s">
        <v>72</v>
      </c>
      <c r="B38" t="s">
        <v>813</v>
      </c>
      <c r="C38" t="s">
        <v>74</v>
      </c>
      <c r="D38" t="s">
        <v>74</v>
      </c>
      <c r="E38" t="s">
        <v>74</v>
      </c>
      <c r="F38" t="s">
        <v>814</v>
      </c>
      <c r="G38" t="s">
        <v>74</v>
      </c>
      <c r="H38" t="s">
        <v>74</v>
      </c>
      <c r="I38" t="s">
        <v>815</v>
      </c>
      <c r="J38" t="s">
        <v>527</v>
      </c>
      <c r="K38" t="s">
        <v>74</v>
      </c>
      <c r="L38" t="s">
        <v>74</v>
      </c>
      <c r="M38" t="s">
        <v>78</v>
      </c>
      <c r="N38" t="s">
        <v>79</v>
      </c>
      <c r="O38" t="s">
        <v>74</v>
      </c>
      <c r="P38" t="s">
        <v>74</v>
      </c>
      <c r="Q38" t="s">
        <v>74</v>
      </c>
      <c r="R38" t="s">
        <v>74</v>
      </c>
      <c r="S38" t="s">
        <v>74</v>
      </c>
      <c r="T38" t="s">
        <v>816</v>
      </c>
      <c r="U38" t="s">
        <v>817</v>
      </c>
      <c r="V38" t="s">
        <v>818</v>
      </c>
      <c r="W38" t="s">
        <v>819</v>
      </c>
      <c r="X38" t="s">
        <v>820</v>
      </c>
      <c r="Y38" t="s">
        <v>821</v>
      </c>
      <c r="Z38" t="s">
        <v>822</v>
      </c>
      <c r="AA38" t="s">
        <v>74</v>
      </c>
      <c r="AB38" t="s">
        <v>823</v>
      </c>
      <c r="AC38" t="s">
        <v>824</v>
      </c>
      <c r="AD38" t="s">
        <v>825</v>
      </c>
      <c r="AE38" t="s">
        <v>826</v>
      </c>
      <c r="AF38" t="s">
        <v>74</v>
      </c>
      <c r="AG38">
        <v>46</v>
      </c>
      <c r="AH38">
        <v>0</v>
      </c>
      <c r="AI38">
        <v>0</v>
      </c>
      <c r="AJ38">
        <v>10</v>
      </c>
      <c r="AK38">
        <v>10</v>
      </c>
      <c r="AL38" t="s">
        <v>90</v>
      </c>
      <c r="AM38" t="s">
        <v>91</v>
      </c>
      <c r="AN38" t="s">
        <v>92</v>
      </c>
      <c r="AO38" t="s">
        <v>537</v>
      </c>
      <c r="AP38" t="s">
        <v>538</v>
      </c>
      <c r="AQ38" t="s">
        <v>74</v>
      </c>
      <c r="AR38" t="s">
        <v>527</v>
      </c>
      <c r="AS38" t="s">
        <v>539</v>
      </c>
      <c r="AT38" t="s">
        <v>434</v>
      </c>
      <c r="AU38">
        <v>2024</v>
      </c>
      <c r="AV38">
        <v>266</v>
      </c>
      <c r="AW38" t="s">
        <v>74</v>
      </c>
      <c r="AX38">
        <v>1</v>
      </c>
      <c r="AY38" t="s">
        <v>74</v>
      </c>
      <c r="AZ38" t="s">
        <v>74</v>
      </c>
      <c r="BA38" t="s">
        <v>74</v>
      </c>
      <c r="BB38" t="s">
        <v>74</v>
      </c>
      <c r="BC38" t="s">
        <v>74</v>
      </c>
      <c r="BD38">
        <v>125023</v>
      </c>
      <c r="BE38" t="s">
        <v>827</v>
      </c>
      <c r="BF38" t="str">
        <f>HYPERLINK("http://dx.doi.org/10.1016/j.talanta.2023.125023","http://dx.doi.org/10.1016/j.talanta.2023.125023")</f>
        <v>http://dx.doi.org/10.1016/j.talanta.2023.125023</v>
      </c>
      <c r="BG38" t="s">
        <v>74</v>
      </c>
      <c r="BH38" t="s">
        <v>74</v>
      </c>
      <c r="BI38">
        <v>8</v>
      </c>
      <c r="BJ38" t="s">
        <v>541</v>
      </c>
      <c r="BK38" t="s">
        <v>100</v>
      </c>
      <c r="BL38" t="s">
        <v>395</v>
      </c>
      <c r="BM38" t="s">
        <v>828</v>
      </c>
      <c r="BN38">
        <v>37549569</v>
      </c>
      <c r="BO38" t="s">
        <v>74</v>
      </c>
      <c r="BP38" t="s">
        <v>74</v>
      </c>
      <c r="BQ38" t="s">
        <v>74</v>
      </c>
      <c r="BR38" t="s">
        <v>104</v>
      </c>
      <c r="BS38" t="s">
        <v>829</v>
      </c>
      <c r="BT38" t="str">
        <f>HYPERLINK("https%3A%2F%2Fwww.webofscience.com%2Fwos%2Fwoscc%2Ffull-record%2FWOS:001054560900001","View Full Record in Web of Science")</f>
        <v>View Full Record in Web of Science</v>
      </c>
    </row>
    <row r="39" spans="1:72" x14ac:dyDescent="0.15">
      <c r="A39" t="s">
        <v>72</v>
      </c>
      <c r="B39" t="s">
        <v>830</v>
      </c>
      <c r="C39" t="s">
        <v>74</v>
      </c>
      <c r="D39" t="s">
        <v>74</v>
      </c>
      <c r="E39" t="s">
        <v>74</v>
      </c>
      <c r="F39" t="s">
        <v>831</v>
      </c>
      <c r="G39" t="s">
        <v>74</v>
      </c>
      <c r="H39" t="s">
        <v>74</v>
      </c>
      <c r="I39" t="s">
        <v>832</v>
      </c>
      <c r="J39" t="s">
        <v>509</v>
      </c>
      <c r="K39" t="s">
        <v>74</v>
      </c>
      <c r="L39" t="s">
        <v>74</v>
      </c>
      <c r="M39" t="s">
        <v>78</v>
      </c>
      <c r="N39" t="s">
        <v>510</v>
      </c>
      <c r="O39" t="s">
        <v>74</v>
      </c>
      <c r="P39" t="s">
        <v>74</v>
      </c>
      <c r="Q39" t="s">
        <v>74</v>
      </c>
      <c r="R39" t="s">
        <v>74</v>
      </c>
      <c r="S39" t="s">
        <v>74</v>
      </c>
      <c r="T39" t="s">
        <v>74</v>
      </c>
      <c r="U39" t="s">
        <v>74</v>
      </c>
      <c r="V39" t="s">
        <v>74</v>
      </c>
      <c r="W39" t="s">
        <v>833</v>
      </c>
      <c r="X39" t="s">
        <v>74</v>
      </c>
      <c r="Y39" t="s">
        <v>834</v>
      </c>
      <c r="Z39" t="s">
        <v>835</v>
      </c>
      <c r="AA39" t="s">
        <v>74</v>
      </c>
      <c r="AB39" t="s">
        <v>74</v>
      </c>
      <c r="AC39" t="s">
        <v>74</v>
      </c>
      <c r="AD39" t="s">
        <v>74</v>
      </c>
      <c r="AE39" t="s">
        <v>74</v>
      </c>
      <c r="AF39" t="s">
        <v>74</v>
      </c>
      <c r="AG39">
        <v>2</v>
      </c>
      <c r="AH39">
        <v>0</v>
      </c>
      <c r="AI39">
        <v>0</v>
      </c>
      <c r="AJ39">
        <v>0</v>
      </c>
      <c r="AK39">
        <v>0</v>
      </c>
      <c r="AL39" t="s">
        <v>514</v>
      </c>
      <c r="AM39" t="s">
        <v>515</v>
      </c>
      <c r="AN39" t="s">
        <v>516</v>
      </c>
      <c r="AO39" t="s">
        <v>517</v>
      </c>
      <c r="AP39" t="s">
        <v>518</v>
      </c>
      <c r="AQ39" t="s">
        <v>74</v>
      </c>
      <c r="AR39" t="s">
        <v>509</v>
      </c>
      <c r="AS39" t="s">
        <v>519</v>
      </c>
      <c r="AT39" t="s">
        <v>416</v>
      </c>
      <c r="AU39">
        <v>2024</v>
      </c>
      <c r="AV39">
        <v>91</v>
      </c>
      <c r="AW39">
        <v>1</v>
      </c>
      <c r="AX39" t="s">
        <v>74</v>
      </c>
      <c r="AY39" t="s">
        <v>74</v>
      </c>
      <c r="AZ39" t="s">
        <v>74</v>
      </c>
      <c r="BA39" t="s">
        <v>74</v>
      </c>
      <c r="BB39" t="s">
        <v>74</v>
      </c>
      <c r="BC39" t="s">
        <v>74</v>
      </c>
      <c r="BD39">
        <v>105615</v>
      </c>
      <c r="BE39" t="s">
        <v>836</v>
      </c>
      <c r="BF39" t="str">
        <f>HYPERLINK("http://dx.doi.org/10.1016/j.jbspin.2023.105615","http://dx.doi.org/10.1016/j.jbspin.2023.105615")</f>
        <v>http://dx.doi.org/10.1016/j.jbspin.2023.105615</v>
      </c>
      <c r="BG39" t="s">
        <v>74</v>
      </c>
      <c r="BH39" t="s">
        <v>74</v>
      </c>
      <c r="BI39">
        <v>1</v>
      </c>
      <c r="BJ39" t="s">
        <v>521</v>
      </c>
      <c r="BK39" t="s">
        <v>100</v>
      </c>
      <c r="BL39" t="s">
        <v>521</v>
      </c>
      <c r="BM39" t="s">
        <v>837</v>
      </c>
      <c r="BN39">
        <v>37478965</v>
      </c>
      <c r="BO39" t="s">
        <v>74</v>
      </c>
      <c r="BP39" t="s">
        <v>74</v>
      </c>
      <c r="BQ39" t="s">
        <v>74</v>
      </c>
      <c r="BR39" t="s">
        <v>104</v>
      </c>
      <c r="BS39" t="s">
        <v>838</v>
      </c>
      <c r="BT39" t="str">
        <f>HYPERLINK("https%3A%2F%2Fwww.webofscience.com%2Fwos%2Fwoscc%2Ffull-record%2FWOS:001070695600001","View Full Record in Web of Science")</f>
        <v>View Full Record in Web of Science</v>
      </c>
    </row>
    <row r="40" spans="1:72" x14ac:dyDescent="0.15">
      <c r="A40" t="s">
        <v>72</v>
      </c>
      <c r="B40" t="s">
        <v>839</v>
      </c>
      <c r="C40" t="s">
        <v>74</v>
      </c>
      <c r="D40" t="s">
        <v>74</v>
      </c>
      <c r="E40" t="s">
        <v>74</v>
      </c>
      <c r="F40" t="s">
        <v>840</v>
      </c>
      <c r="G40" t="s">
        <v>74</v>
      </c>
      <c r="H40" t="s">
        <v>74</v>
      </c>
      <c r="I40" t="s">
        <v>841</v>
      </c>
      <c r="J40" t="s">
        <v>109</v>
      </c>
      <c r="K40" t="s">
        <v>74</v>
      </c>
      <c r="L40" t="s">
        <v>74</v>
      </c>
      <c r="M40" t="s">
        <v>78</v>
      </c>
      <c r="N40" t="s">
        <v>79</v>
      </c>
      <c r="O40" t="s">
        <v>74</v>
      </c>
      <c r="P40" t="s">
        <v>74</v>
      </c>
      <c r="Q40" t="s">
        <v>74</v>
      </c>
      <c r="R40" t="s">
        <v>74</v>
      </c>
      <c r="S40" t="s">
        <v>74</v>
      </c>
      <c r="T40" t="s">
        <v>842</v>
      </c>
      <c r="U40" t="s">
        <v>843</v>
      </c>
      <c r="V40" t="s">
        <v>844</v>
      </c>
      <c r="W40" t="s">
        <v>845</v>
      </c>
      <c r="X40" t="s">
        <v>846</v>
      </c>
      <c r="Y40" t="s">
        <v>847</v>
      </c>
      <c r="Z40" t="s">
        <v>848</v>
      </c>
      <c r="AA40" t="s">
        <v>849</v>
      </c>
      <c r="AB40" t="s">
        <v>850</v>
      </c>
      <c r="AC40" t="s">
        <v>851</v>
      </c>
      <c r="AD40" t="s">
        <v>852</v>
      </c>
      <c r="AE40" t="s">
        <v>853</v>
      </c>
      <c r="AF40" t="s">
        <v>74</v>
      </c>
      <c r="AG40">
        <v>40</v>
      </c>
      <c r="AH40">
        <v>0</v>
      </c>
      <c r="AI40">
        <v>0</v>
      </c>
      <c r="AJ40">
        <v>10</v>
      </c>
      <c r="AK40">
        <v>10</v>
      </c>
      <c r="AL40" t="s">
        <v>120</v>
      </c>
      <c r="AM40" t="s">
        <v>121</v>
      </c>
      <c r="AN40" t="s">
        <v>122</v>
      </c>
      <c r="AO40" t="s">
        <v>123</v>
      </c>
      <c r="AP40" t="s">
        <v>124</v>
      </c>
      <c r="AQ40" t="s">
        <v>74</v>
      </c>
      <c r="AR40" t="s">
        <v>125</v>
      </c>
      <c r="AS40" t="s">
        <v>126</v>
      </c>
      <c r="AT40" t="s">
        <v>434</v>
      </c>
      <c r="AU40">
        <v>2024</v>
      </c>
      <c r="AV40">
        <v>430</v>
      </c>
      <c r="AW40" t="s">
        <v>74</v>
      </c>
      <c r="AX40" t="s">
        <v>74</v>
      </c>
      <c r="AY40" t="s">
        <v>74</v>
      </c>
      <c r="AZ40" t="s">
        <v>74</v>
      </c>
      <c r="BA40" t="s">
        <v>74</v>
      </c>
      <c r="BB40" t="s">
        <v>74</v>
      </c>
      <c r="BC40" t="s">
        <v>74</v>
      </c>
      <c r="BD40">
        <v>137044</v>
      </c>
      <c r="BE40" t="s">
        <v>854</v>
      </c>
      <c r="BF40" t="str">
        <f>HYPERLINK("http://dx.doi.org/10.1016/j.foodchem.2023.137044","http://dx.doi.org/10.1016/j.foodchem.2023.137044")</f>
        <v>http://dx.doi.org/10.1016/j.foodchem.2023.137044</v>
      </c>
      <c r="BG40" t="s">
        <v>74</v>
      </c>
      <c r="BH40" t="s">
        <v>74</v>
      </c>
      <c r="BI40">
        <v>9</v>
      </c>
      <c r="BJ40" t="s">
        <v>129</v>
      </c>
      <c r="BK40" t="s">
        <v>100</v>
      </c>
      <c r="BL40" t="s">
        <v>130</v>
      </c>
      <c r="BM40" t="s">
        <v>855</v>
      </c>
      <c r="BN40">
        <v>37536068</v>
      </c>
      <c r="BO40" t="s">
        <v>295</v>
      </c>
      <c r="BP40" t="s">
        <v>74</v>
      </c>
      <c r="BQ40" t="s">
        <v>74</v>
      </c>
      <c r="BR40" t="s">
        <v>104</v>
      </c>
      <c r="BS40" t="s">
        <v>856</v>
      </c>
      <c r="BT40" t="str">
        <f>HYPERLINK("https%3A%2F%2Fwww.webofscience.com%2Fwos%2Fwoscc%2Ffull-record%2FWOS:001052354200001","View Full Record in Web of Science")</f>
        <v>View Full Record in Web of Science</v>
      </c>
    </row>
    <row r="41" spans="1:72" x14ac:dyDescent="0.15">
      <c r="A41" t="s">
        <v>72</v>
      </c>
      <c r="B41" t="s">
        <v>857</v>
      </c>
      <c r="C41" t="s">
        <v>74</v>
      </c>
      <c r="D41" t="s">
        <v>74</v>
      </c>
      <c r="E41" t="s">
        <v>74</v>
      </c>
      <c r="F41" t="s">
        <v>858</v>
      </c>
      <c r="G41" t="s">
        <v>74</v>
      </c>
      <c r="H41" t="s">
        <v>74</v>
      </c>
      <c r="I41" t="s">
        <v>859</v>
      </c>
      <c r="J41" t="s">
        <v>860</v>
      </c>
      <c r="K41" t="s">
        <v>74</v>
      </c>
      <c r="L41" t="s">
        <v>74</v>
      </c>
      <c r="M41" t="s">
        <v>78</v>
      </c>
      <c r="N41" t="s">
        <v>79</v>
      </c>
      <c r="O41" t="s">
        <v>74</v>
      </c>
      <c r="P41" t="s">
        <v>74</v>
      </c>
      <c r="Q41" t="s">
        <v>74</v>
      </c>
      <c r="R41" t="s">
        <v>74</v>
      </c>
      <c r="S41" t="s">
        <v>74</v>
      </c>
      <c r="T41" t="s">
        <v>861</v>
      </c>
      <c r="U41" t="s">
        <v>74</v>
      </c>
      <c r="V41" t="s">
        <v>862</v>
      </c>
      <c r="W41" t="s">
        <v>863</v>
      </c>
      <c r="X41" t="s">
        <v>864</v>
      </c>
      <c r="Y41" t="s">
        <v>865</v>
      </c>
      <c r="Z41" t="s">
        <v>866</v>
      </c>
      <c r="AA41" t="s">
        <v>74</v>
      </c>
      <c r="AB41" t="s">
        <v>74</v>
      </c>
      <c r="AC41" t="s">
        <v>74</v>
      </c>
      <c r="AD41" t="s">
        <v>74</v>
      </c>
      <c r="AE41" t="s">
        <v>74</v>
      </c>
      <c r="AF41" t="s">
        <v>74</v>
      </c>
      <c r="AG41">
        <v>29</v>
      </c>
      <c r="AH41">
        <v>0</v>
      </c>
      <c r="AI41">
        <v>0</v>
      </c>
      <c r="AJ41">
        <v>0</v>
      </c>
      <c r="AK41">
        <v>0</v>
      </c>
      <c r="AL41" t="s">
        <v>120</v>
      </c>
      <c r="AM41" t="s">
        <v>121</v>
      </c>
      <c r="AN41" t="s">
        <v>122</v>
      </c>
      <c r="AO41" t="s">
        <v>867</v>
      </c>
      <c r="AP41" t="s">
        <v>868</v>
      </c>
      <c r="AQ41" t="s">
        <v>74</v>
      </c>
      <c r="AR41" t="s">
        <v>869</v>
      </c>
      <c r="AS41" t="s">
        <v>870</v>
      </c>
      <c r="AT41" t="s">
        <v>416</v>
      </c>
      <c r="AU41">
        <v>2024</v>
      </c>
      <c r="AV41">
        <v>87</v>
      </c>
      <c r="AW41" t="s">
        <v>74</v>
      </c>
      <c r="AX41" t="s">
        <v>337</v>
      </c>
      <c r="AY41" t="s">
        <v>74</v>
      </c>
      <c r="AZ41" t="s">
        <v>74</v>
      </c>
      <c r="BA41" t="s">
        <v>74</v>
      </c>
      <c r="BB41" t="s">
        <v>74</v>
      </c>
      <c r="BC41" t="s">
        <v>74</v>
      </c>
      <c r="BD41">
        <v>105376</v>
      </c>
      <c r="BE41" t="s">
        <v>871</v>
      </c>
      <c r="BF41" t="str">
        <f>HYPERLINK("http://dx.doi.org/10.1016/j.bspc.2023.105376","http://dx.doi.org/10.1016/j.bspc.2023.105376")</f>
        <v>http://dx.doi.org/10.1016/j.bspc.2023.105376</v>
      </c>
      <c r="BG41" t="s">
        <v>74</v>
      </c>
      <c r="BH41" t="s">
        <v>74</v>
      </c>
      <c r="BI41">
        <v>16</v>
      </c>
      <c r="BJ41" t="s">
        <v>872</v>
      </c>
      <c r="BK41" t="s">
        <v>100</v>
      </c>
      <c r="BL41" t="s">
        <v>873</v>
      </c>
      <c r="BM41" t="s">
        <v>874</v>
      </c>
      <c r="BN41" t="s">
        <v>74</v>
      </c>
      <c r="BO41" t="s">
        <v>74</v>
      </c>
      <c r="BP41" t="s">
        <v>74</v>
      </c>
      <c r="BQ41" t="s">
        <v>74</v>
      </c>
      <c r="BR41" t="s">
        <v>104</v>
      </c>
      <c r="BS41" t="s">
        <v>875</v>
      </c>
      <c r="BT41" t="str">
        <f>HYPERLINK("https%3A%2F%2Fwww.webofscience.com%2Fwos%2Fwoscc%2Ffull-record%2FWOS:001069369000001","View Full Record in Web of Science")</f>
        <v>View Full Record in Web of Science</v>
      </c>
    </row>
    <row r="42" spans="1:72" x14ac:dyDescent="0.15">
      <c r="A42" t="s">
        <v>72</v>
      </c>
      <c r="B42" t="s">
        <v>876</v>
      </c>
      <c r="C42" t="s">
        <v>74</v>
      </c>
      <c r="D42" t="s">
        <v>74</v>
      </c>
      <c r="E42" t="s">
        <v>74</v>
      </c>
      <c r="F42" t="s">
        <v>877</v>
      </c>
      <c r="G42" t="s">
        <v>74</v>
      </c>
      <c r="H42" t="s">
        <v>74</v>
      </c>
      <c r="I42" t="s">
        <v>878</v>
      </c>
      <c r="J42" t="s">
        <v>527</v>
      </c>
      <c r="K42" t="s">
        <v>74</v>
      </c>
      <c r="L42" t="s">
        <v>74</v>
      </c>
      <c r="M42" t="s">
        <v>78</v>
      </c>
      <c r="N42" t="s">
        <v>79</v>
      </c>
      <c r="O42" t="s">
        <v>74</v>
      </c>
      <c r="P42" t="s">
        <v>74</v>
      </c>
      <c r="Q42" t="s">
        <v>74</v>
      </c>
      <c r="R42" t="s">
        <v>74</v>
      </c>
      <c r="S42" t="s">
        <v>74</v>
      </c>
      <c r="T42" t="s">
        <v>879</v>
      </c>
      <c r="U42" t="s">
        <v>880</v>
      </c>
      <c r="V42" t="s">
        <v>881</v>
      </c>
      <c r="W42" t="s">
        <v>882</v>
      </c>
      <c r="X42" t="s">
        <v>883</v>
      </c>
      <c r="Y42" t="s">
        <v>884</v>
      </c>
      <c r="Z42" t="s">
        <v>885</v>
      </c>
      <c r="AA42" t="s">
        <v>886</v>
      </c>
      <c r="AB42" t="s">
        <v>887</v>
      </c>
      <c r="AC42" t="s">
        <v>888</v>
      </c>
      <c r="AD42" t="s">
        <v>889</v>
      </c>
      <c r="AE42" t="s">
        <v>890</v>
      </c>
      <c r="AF42" t="s">
        <v>74</v>
      </c>
      <c r="AG42">
        <v>58</v>
      </c>
      <c r="AH42">
        <v>0</v>
      </c>
      <c r="AI42">
        <v>0</v>
      </c>
      <c r="AJ42">
        <v>20</v>
      </c>
      <c r="AK42">
        <v>20</v>
      </c>
      <c r="AL42" t="s">
        <v>90</v>
      </c>
      <c r="AM42" t="s">
        <v>91</v>
      </c>
      <c r="AN42" t="s">
        <v>92</v>
      </c>
      <c r="AO42" t="s">
        <v>537</v>
      </c>
      <c r="AP42" t="s">
        <v>538</v>
      </c>
      <c r="AQ42" t="s">
        <v>74</v>
      </c>
      <c r="AR42" t="s">
        <v>527</v>
      </c>
      <c r="AS42" t="s">
        <v>539</v>
      </c>
      <c r="AT42" t="s">
        <v>434</v>
      </c>
      <c r="AU42">
        <v>2024</v>
      </c>
      <c r="AV42">
        <v>266</v>
      </c>
      <c r="AW42" t="s">
        <v>74</v>
      </c>
      <c r="AX42">
        <v>1</v>
      </c>
      <c r="AY42" t="s">
        <v>74</v>
      </c>
      <c r="AZ42" t="s">
        <v>74</v>
      </c>
      <c r="BA42" t="s">
        <v>74</v>
      </c>
      <c r="BB42" t="s">
        <v>74</v>
      </c>
      <c r="BC42" t="s">
        <v>74</v>
      </c>
      <c r="BD42">
        <v>125043</v>
      </c>
      <c r="BE42" t="s">
        <v>891</v>
      </c>
      <c r="BF42" t="str">
        <f>HYPERLINK("http://dx.doi.org/10.1016/j.talanta.2023.125043","http://dx.doi.org/10.1016/j.talanta.2023.125043")</f>
        <v>http://dx.doi.org/10.1016/j.talanta.2023.125043</v>
      </c>
      <c r="BG42" t="s">
        <v>74</v>
      </c>
      <c r="BH42" t="s">
        <v>74</v>
      </c>
      <c r="BI42">
        <v>8</v>
      </c>
      <c r="BJ42" t="s">
        <v>541</v>
      </c>
      <c r="BK42" t="s">
        <v>100</v>
      </c>
      <c r="BL42" t="s">
        <v>395</v>
      </c>
      <c r="BM42" t="s">
        <v>892</v>
      </c>
      <c r="BN42">
        <v>37556949</v>
      </c>
      <c r="BO42" t="s">
        <v>74</v>
      </c>
      <c r="BP42" t="s">
        <v>74</v>
      </c>
      <c r="BQ42" t="s">
        <v>74</v>
      </c>
      <c r="BR42" t="s">
        <v>104</v>
      </c>
      <c r="BS42" t="s">
        <v>893</v>
      </c>
      <c r="BT42" t="str">
        <f>HYPERLINK("https%3A%2F%2Fwww.webofscience.com%2Fwos%2Fwoscc%2Ffull-record%2FWOS:001058858900001","View Full Record in Web of Science")</f>
        <v>View Full Record in Web of Science</v>
      </c>
    </row>
    <row r="43" spans="1:72" x14ac:dyDescent="0.15">
      <c r="A43" t="s">
        <v>72</v>
      </c>
      <c r="B43" t="s">
        <v>894</v>
      </c>
      <c r="C43" t="s">
        <v>74</v>
      </c>
      <c r="D43" t="s">
        <v>74</v>
      </c>
      <c r="E43" t="s">
        <v>74</v>
      </c>
      <c r="F43" t="s">
        <v>895</v>
      </c>
      <c r="G43" t="s">
        <v>74</v>
      </c>
      <c r="H43" t="s">
        <v>74</v>
      </c>
      <c r="I43" t="s">
        <v>896</v>
      </c>
      <c r="J43" t="s">
        <v>488</v>
      </c>
      <c r="K43" t="s">
        <v>74</v>
      </c>
      <c r="L43" t="s">
        <v>74</v>
      </c>
      <c r="M43" t="s">
        <v>78</v>
      </c>
      <c r="N43" t="s">
        <v>79</v>
      </c>
      <c r="O43" t="s">
        <v>74</v>
      </c>
      <c r="P43" t="s">
        <v>74</v>
      </c>
      <c r="Q43" t="s">
        <v>74</v>
      </c>
      <c r="R43" t="s">
        <v>74</v>
      </c>
      <c r="S43" t="s">
        <v>74</v>
      </c>
      <c r="T43" t="s">
        <v>897</v>
      </c>
      <c r="U43" t="s">
        <v>898</v>
      </c>
      <c r="V43" t="s">
        <v>899</v>
      </c>
      <c r="W43" t="s">
        <v>900</v>
      </c>
      <c r="X43" t="s">
        <v>901</v>
      </c>
      <c r="Y43" t="s">
        <v>902</v>
      </c>
      <c r="Z43" t="s">
        <v>903</v>
      </c>
      <c r="AA43" t="s">
        <v>74</v>
      </c>
      <c r="AB43" t="s">
        <v>74</v>
      </c>
      <c r="AC43" t="s">
        <v>904</v>
      </c>
      <c r="AD43" t="s">
        <v>905</v>
      </c>
      <c r="AE43" t="s">
        <v>906</v>
      </c>
      <c r="AF43" t="s">
        <v>74</v>
      </c>
      <c r="AG43">
        <v>52</v>
      </c>
      <c r="AH43">
        <v>0</v>
      </c>
      <c r="AI43">
        <v>0</v>
      </c>
      <c r="AJ43">
        <v>0</v>
      </c>
      <c r="AK43">
        <v>0</v>
      </c>
      <c r="AL43" t="s">
        <v>120</v>
      </c>
      <c r="AM43" t="s">
        <v>121</v>
      </c>
      <c r="AN43" t="s">
        <v>122</v>
      </c>
      <c r="AO43" t="s">
        <v>496</v>
      </c>
      <c r="AP43" t="s">
        <v>497</v>
      </c>
      <c r="AQ43" t="s">
        <v>74</v>
      </c>
      <c r="AR43" t="s">
        <v>498</v>
      </c>
      <c r="AS43" t="s">
        <v>499</v>
      </c>
      <c r="AT43" t="s">
        <v>416</v>
      </c>
      <c r="AU43">
        <v>2024</v>
      </c>
      <c r="AV43">
        <v>168</v>
      </c>
      <c r="AW43" t="s">
        <v>74</v>
      </c>
      <c r="AX43" t="s">
        <v>74</v>
      </c>
      <c r="AY43" t="s">
        <v>74</v>
      </c>
      <c r="AZ43" t="s">
        <v>74</v>
      </c>
      <c r="BA43" t="s">
        <v>74</v>
      </c>
      <c r="BB43" t="s">
        <v>74</v>
      </c>
      <c r="BC43" t="s">
        <v>74</v>
      </c>
      <c r="BD43">
        <v>109953</v>
      </c>
      <c r="BE43" t="s">
        <v>907</v>
      </c>
      <c r="BF43" t="str">
        <f>HYPERLINK("http://dx.doi.org/10.1016/j.optlastec.2023.109953","http://dx.doi.org/10.1016/j.optlastec.2023.109953")</f>
        <v>http://dx.doi.org/10.1016/j.optlastec.2023.109953</v>
      </c>
      <c r="BG43" t="s">
        <v>74</v>
      </c>
      <c r="BH43" t="s">
        <v>74</v>
      </c>
      <c r="BI43">
        <v>10</v>
      </c>
      <c r="BJ43" t="s">
        <v>501</v>
      </c>
      <c r="BK43" t="s">
        <v>100</v>
      </c>
      <c r="BL43" t="s">
        <v>502</v>
      </c>
      <c r="BM43" t="s">
        <v>908</v>
      </c>
      <c r="BN43" t="s">
        <v>74</v>
      </c>
      <c r="BO43" t="s">
        <v>504</v>
      </c>
      <c r="BP43" t="s">
        <v>74</v>
      </c>
      <c r="BQ43" t="s">
        <v>74</v>
      </c>
      <c r="BR43" t="s">
        <v>104</v>
      </c>
      <c r="BS43" t="s">
        <v>909</v>
      </c>
      <c r="BT43" t="str">
        <f>HYPERLINK("https%3A%2F%2Fwww.webofscience.com%2Fwos%2Fwoscc%2Ffull-record%2FWOS:001068846700001","View Full Record in Web of Science")</f>
        <v>View Full Record in Web of Science</v>
      </c>
    </row>
    <row r="44" spans="1:72" x14ac:dyDescent="0.15">
      <c r="A44" t="s">
        <v>72</v>
      </c>
      <c r="B44" t="s">
        <v>910</v>
      </c>
      <c r="C44" t="s">
        <v>74</v>
      </c>
      <c r="D44" t="s">
        <v>74</v>
      </c>
      <c r="E44" t="s">
        <v>74</v>
      </c>
      <c r="F44" t="s">
        <v>911</v>
      </c>
      <c r="G44" t="s">
        <v>74</v>
      </c>
      <c r="H44" t="s">
        <v>74</v>
      </c>
      <c r="I44" t="s">
        <v>912</v>
      </c>
      <c r="J44" t="s">
        <v>527</v>
      </c>
      <c r="K44" t="s">
        <v>74</v>
      </c>
      <c r="L44" t="s">
        <v>74</v>
      </c>
      <c r="M44" t="s">
        <v>78</v>
      </c>
      <c r="N44" t="s">
        <v>79</v>
      </c>
      <c r="O44" t="s">
        <v>74</v>
      </c>
      <c r="P44" t="s">
        <v>74</v>
      </c>
      <c r="Q44" t="s">
        <v>74</v>
      </c>
      <c r="R44" t="s">
        <v>74</v>
      </c>
      <c r="S44" t="s">
        <v>74</v>
      </c>
      <c r="T44" t="s">
        <v>913</v>
      </c>
      <c r="U44" t="s">
        <v>74</v>
      </c>
      <c r="V44" t="s">
        <v>914</v>
      </c>
      <c r="W44" t="s">
        <v>915</v>
      </c>
      <c r="X44" t="s">
        <v>916</v>
      </c>
      <c r="Y44" t="s">
        <v>917</v>
      </c>
      <c r="Z44" t="s">
        <v>918</v>
      </c>
      <c r="AA44" t="s">
        <v>919</v>
      </c>
      <c r="AB44" t="s">
        <v>920</v>
      </c>
      <c r="AC44" t="s">
        <v>921</v>
      </c>
      <c r="AD44" t="s">
        <v>922</v>
      </c>
      <c r="AE44" t="s">
        <v>923</v>
      </c>
      <c r="AF44" t="s">
        <v>74</v>
      </c>
      <c r="AG44">
        <v>29</v>
      </c>
      <c r="AH44">
        <v>0</v>
      </c>
      <c r="AI44">
        <v>0</v>
      </c>
      <c r="AJ44">
        <v>5</v>
      </c>
      <c r="AK44">
        <v>5</v>
      </c>
      <c r="AL44" t="s">
        <v>90</v>
      </c>
      <c r="AM44" t="s">
        <v>91</v>
      </c>
      <c r="AN44" t="s">
        <v>92</v>
      </c>
      <c r="AO44" t="s">
        <v>537</v>
      </c>
      <c r="AP44" t="s">
        <v>538</v>
      </c>
      <c r="AQ44" t="s">
        <v>74</v>
      </c>
      <c r="AR44" t="s">
        <v>527</v>
      </c>
      <c r="AS44" t="s">
        <v>539</v>
      </c>
      <c r="AT44" t="s">
        <v>434</v>
      </c>
      <c r="AU44">
        <v>2024</v>
      </c>
      <c r="AV44">
        <v>266</v>
      </c>
      <c r="AW44" t="s">
        <v>74</v>
      </c>
      <c r="AX44">
        <v>1</v>
      </c>
      <c r="AY44" t="s">
        <v>74</v>
      </c>
      <c r="AZ44" t="s">
        <v>74</v>
      </c>
      <c r="BA44" t="s">
        <v>74</v>
      </c>
      <c r="BB44" t="s">
        <v>74</v>
      </c>
      <c r="BC44" t="s">
        <v>74</v>
      </c>
      <c r="BD44">
        <v>124963</v>
      </c>
      <c r="BE44" t="s">
        <v>924</v>
      </c>
      <c r="BF44" t="str">
        <f>HYPERLINK("http://dx.doi.org/10.1016/j.talanta.2023.124963","http://dx.doi.org/10.1016/j.talanta.2023.124963")</f>
        <v>http://dx.doi.org/10.1016/j.talanta.2023.124963</v>
      </c>
      <c r="BG44" t="s">
        <v>74</v>
      </c>
      <c r="BH44" t="s">
        <v>74</v>
      </c>
      <c r="BI44">
        <v>8</v>
      </c>
      <c r="BJ44" t="s">
        <v>541</v>
      </c>
      <c r="BK44" t="s">
        <v>100</v>
      </c>
      <c r="BL44" t="s">
        <v>395</v>
      </c>
      <c r="BM44" t="s">
        <v>925</v>
      </c>
      <c r="BN44">
        <v>37517341</v>
      </c>
      <c r="BO44" t="s">
        <v>74</v>
      </c>
      <c r="BP44" t="s">
        <v>74</v>
      </c>
      <c r="BQ44" t="s">
        <v>74</v>
      </c>
      <c r="BR44" t="s">
        <v>104</v>
      </c>
      <c r="BS44" t="s">
        <v>926</v>
      </c>
      <c r="BT44" t="str">
        <f>HYPERLINK("https%3A%2F%2Fwww.webofscience.com%2Fwos%2Fwoscc%2Ffull-record%2FWOS:001051956700001","View Full Record in Web of Science")</f>
        <v>View Full Record in Web of Science</v>
      </c>
    </row>
    <row r="45" spans="1:72" x14ac:dyDescent="0.15">
      <c r="A45" t="s">
        <v>72</v>
      </c>
      <c r="B45" t="s">
        <v>927</v>
      </c>
      <c r="C45" t="s">
        <v>74</v>
      </c>
      <c r="D45" t="s">
        <v>74</v>
      </c>
      <c r="E45" t="s">
        <v>74</v>
      </c>
      <c r="F45" t="s">
        <v>928</v>
      </c>
      <c r="G45" t="s">
        <v>74</v>
      </c>
      <c r="H45" t="s">
        <v>74</v>
      </c>
      <c r="I45" t="s">
        <v>929</v>
      </c>
      <c r="J45" t="s">
        <v>527</v>
      </c>
      <c r="K45" t="s">
        <v>74</v>
      </c>
      <c r="L45" t="s">
        <v>74</v>
      </c>
      <c r="M45" t="s">
        <v>78</v>
      </c>
      <c r="N45" t="s">
        <v>79</v>
      </c>
      <c r="O45" t="s">
        <v>74</v>
      </c>
      <c r="P45" t="s">
        <v>74</v>
      </c>
      <c r="Q45" t="s">
        <v>74</v>
      </c>
      <c r="R45" t="s">
        <v>74</v>
      </c>
      <c r="S45" t="s">
        <v>74</v>
      </c>
      <c r="T45" t="s">
        <v>930</v>
      </c>
      <c r="U45" t="s">
        <v>74</v>
      </c>
      <c r="V45" t="s">
        <v>931</v>
      </c>
      <c r="W45" t="s">
        <v>932</v>
      </c>
      <c r="X45" t="s">
        <v>933</v>
      </c>
      <c r="Y45" t="s">
        <v>934</v>
      </c>
      <c r="Z45" t="s">
        <v>935</v>
      </c>
      <c r="AA45" t="s">
        <v>936</v>
      </c>
      <c r="AB45" t="s">
        <v>937</v>
      </c>
      <c r="AC45" t="s">
        <v>938</v>
      </c>
      <c r="AD45" t="s">
        <v>939</v>
      </c>
      <c r="AE45" t="s">
        <v>940</v>
      </c>
      <c r="AF45" t="s">
        <v>74</v>
      </c>
      <c r="AG45">
        <v>47</v>
      </c>
      <c r="AH45">
        <v>0</v>
      </c>
      <c r="AI45">
        <v>0</v>
      </c>
      <c r="AJ45">
        <v>1</v>
      </c>
      <c r="AK45">
        <v>1</v>
      </c>
      <c r="AL45" t="s">
        <v>90</v>
      </c>
      <c r="AM45" t="s">
        <v>91</v>
      </c>
      <c r="AN45" t="s">
        <v>92</v>
      </c>
      <c r="AO45" t="s">
        <v>537</v>
      </c>
      <c r="AP45" t="s">
        <v>538</v>
      </c>
      <c r="AQ45" t="s">
        <v>74</v>
      </c>
      <c r="AR45" t="s">
        <v>527</v>
      </c>
      <c r="AS45" t="s">
        <v>539</v>
      </c>
      <c r="AT45" t="s">
        <v>434</v>
      </c>
      <c r="AU45">
        <v>2024</v>
      </c>
      <c r="AV45">
        <v>266</v>
      </c>
      <c r="AW45" t="s">
        <v>74</v>
      </c>
      <c r="AX45">
        <v>1</v>
      </c>
      <c r="AY45" t="s">
        <v>74</v>
      </c>
      <c r="AZ45" t="s">
        <v>74</v>
      </c>
      <c r="BA45" t="s">
        <v>74</v>
      </c>
      <c r="BB45" t="s">
        <v>74</v>
      </c>
      <c r="BC45" t="s">
        <v>74</v>
      </c>
      <c r="BD45">
        <v>124932</v>
      </c>
      <c r="BE45" t="s">
        <v>941</v>
      </c>
      <c r="BF45" t="str">
        <f>HYPERLINK("http://dx.doi.org/10.1016/j.talanta.2023.124932","http://dx.doi.org/10.1016/j.talanta.2023.124932")</f>
        <v>http://dx.doi.org/10.1016/j.talanta.2023.124932</v>
      </c>
      <c r="BG45" t="s">
        <v>74</v>
      </c>
      <c r="BH45" t="s">
        <v>74</v>
      </c>
      <c r="BI45">
        <v>13</v>
      </c>
      <c r="BJ45" t="s">
        <v>541</v>
      </c>
      <c r="BK45" t="s">
        <v>100</v>
      </c>
      <c r="BL45" t="s">
        <v>395</v>
      </c>
      <c r="BM45" t="s">
        <v>942</v>
      </c>
      <c r="BN45">
        <v>37499359</v>
      </c>
      <c r="BO45" t="s">
        <v>295</v>
      </c>
      <c r="BP45" t="s">
        <v>74</v>
      </c>
      <c r="BQ45" t="s">
        <v>74</v>
      </c>
      <c r="BR45" t="s">
        <v>104</v>
      </c>
      <c r="BS45" t="s">
        <v>943</v>
      </c>
      <c r="BT45" t="str">
        <f>HYPERLINK("https%3A%2F%2Fwww.webofscience.com%2Fwos%2Fwoscc%2Ffull-record%2FWOS:001047359700001","View Full Record in Web of Science")</f>
        <v>View Full Record in Web of Science</v>
      </c>
    </row>
    <row r="46" spans="1:72" x14ac:dyDescent="0.15">
      <c r="A46" t="s">
        <v>72</v>
      </c>
      <c r="B46" t="s">
        <v>944</v>
      </c>
      <c r="C46" t="s">
        <v>74</v>
      </c>
      <c r="D46" t="s">
        <v>74</v>
      </c>
      <c r="E46" t="s">
        <v>74</v>
      </c>
      <c r="F46" t="s">
        <v>945</v>
      </c>
      <c r="G46" t="s">
        <v>74</v>
      </c>
      <c r="H46" t="s">
        <v>74</v>
      </c>
      <c r="I46" t="s">
        <v>946</v>
      </c>
      <c r="J46" t="s">
        <v>947</v>
      </c>
      <c r="K46" t="s">
        <v>74</v>
      </c>
      <c r="L46" t="s">
        <v>74</v>
      </c>
      <c r="M46" t="s">
        <v>78</v>
      </c>
      <c r="N46" t="s">
        <v>79</v>
      </c>
      <c r="O46" t="s">
        <v>74</v>
      </c>
      <c r="P46" t="s">
        <v>74</v>
      </c>
      <c r="Q46" t="s">
        <v>74</v>
      </c>
      <c r="R46" t="s">
        <v>74</v>
      </c>
      <c r="S46" t="s">
        <v>74</v>
      </c>
      <c r="T46" t="s">
        <v>948</v>
      </c>
      <c r="U46" t="s">
        <v>949</v>
      </c>
      <c r="V46" t="s">
        <v>950</v>
      </c>
      <c r="W46" t="s">
        <v>951</v>
      </c>
      <c r="X46" t="s">
        <v>952</v>
      </c>
      <c r="Y46" t="s">
        <v>953</v>
      </c>
      <c r="Z46" t="s">
        <v>954</v>
      </c>
      <c r="AA46" t="s">
        <v>74</v>
      </c>
      <c r="AB46" t="s">
        <v>74</v>
      </c>
      <c r="AC46" t="s">
        <v>74</v>
      </c>
      <c r="AD46" t="s">
        <v>74</v>
      </c>
      <c r="AE46" t="s">
        <v>74</v>
      </c>
      <c r="AF46" t="s">
        <v>74</v>
      </c>
      <c r="AG46">
        <v>64</v>
      </c>
      <c r="AH46">
        <v>0</v>
      </c>
      <c r="AI46">
        <v>0</v>
      </c>
      <c r="AJ46">
        <v>0</v>
      </c>
      <c r="AK46">
        <v>0</v>
      </c>
      <c r="AL46" t="s">
        <v>955</v>
      </c>
      <c r="AM46" t="s">
        <v>956</v>
      </c>
      <c r="AN46" t="s">
        <v>957</v>
      </c>
      <c r="AO46" t="s">
        <v>958</v>
      </c>
      <c r="AP46" t="s">
        <v>959</v>
      </c>
      <c r="AQ46" t="s">
        <v>74</v>
      </c>
      <c r="AR46" t="s">
        <v>960</v>
      </c>
      <c r="AS46" t="s">
        <v>961</v>
      </c>
      <c r="AT46" t="s">
        <v>434</v>
      </c>
      <c r="AU46">
        <v>2024</v>
      </c>
      <c r="AV46">
        <v>446</v>
      </c>
      <c r="AW46" t="s">
        <v>74</v>
      </c>
      <c r="AX46" t="s">
        <v>74</v>
      </c>
      <c r="AY46" t="s">
        <v>74</v>
      </c>
      <c r="AZ46" t="s">
        <v>74</v>
      </c>
      <c r="BA46" t="s">
        <v>74</v>
      </c>
      <c r="BB46" t="s">
        <v>74</v>
      </c>
      <c r="BC46" t="s">
        <v>74</v>
      </c>
      <c r="BD46">
        <v>115120</v>
      </c>
      <c r="BE46" t="s">
        <v>962</v>
      </c>
      <c r="BF46" t="str">
        <f>HYPERLINK("http://dx.doi.org/10.1016/j.jphotochem.2023.115120","http://dx.doi.org/10.1016/j.jphotochem.2023.115120")</f>
        <v>http://dx.doi.org/10.1016/j.jphotochem.2023.115120</v>
      </c>
      <c r="BG46" t="s">
        <v>74</v>
      </c>
      <c r="BH46" t="s">
        <v>74</v>
      </c>
      <c r="BI46">
        <v>11</v>
      </c>
      <c r="BJ46" t="s">
        <v>394</v>
      </c>
      <c r="BK46" t="s">
        <v>100</v>
      </c>
      <c r="BL46" t="s">
        <v>395</v>
      </c>
      <c r="BM46" t="s">
        <v>963</v>
      </c>
      <c r="BN46" t="s">
        <v>74</v>
      </c>
      <c r="BO46" t="s">
        <v>74</v>
      </c>
      <c r="BP46" t="s">
        <v>74</v>
      </c>
      <c r="BQ46" t="s">
        <v>74</v>
      </c>
      <c r="BR46" t="s">
        <v>104</v>
      </c>
      <c r="BS46" t="s">
        <v>964</v>
      </c>
      <c r="BT46" t="str">
        <f>HYPERLINK("https%3A%2F%2Fwww.webofscience.com%2Fwos%2Fwoscc%2Ffull-record%2FWOS:001072276800001","View Full Record in Web of Science")</f>
        <v>View Full Record in Web of Science</v>
      </c>
    </row>
    <row r="47" spans="1:72" x14ac:dyDescent="0.15">
      <c r="A47" t="s">
        <v>72</v>
      </c>
      <c r="B47" t="s">
        <v>965</v>
      </c>
      <c r="C47" t="s">
        <v>74</v>
      </c>
      <c r="D47" t="s">
        <v>74</v>
      </c>
      <c r="E47" t="s">
        <v>74</v>
      </c>
      <c r="F47" t="s">
        <v>966</v>
      </c>
      <c r="G47" t="s">
        <v>74</v>
      </c>
      <c r="H47" t="s">
        <v>74</v>
      </c>
      <c r="I47" t="s">
        <v>967</v>
      </c>
      <c r="J47" t="s">
        <v>261</v>
      </c>
      <c r="K47" t="s">
        <v>74</v>
      </c>
      <c r="L47" t="s">
        <v>74</v>
      </c>
      <c r="M47" t="s">
        <v>78</v>
      </c>
      <c r="N47" t="s">
        <v>79</v>
      </c>
      <c r="O47" t="s">
        <v>74</v>
      </c>
      <c r="P47" t="s">
        <v>74</v>
      </c>
      <c r="Q47" t="s">
        <v>74</v>
      </c>
      <c r="R47" t="s">
        <v>74</v>
      </c>
      <c r="S47" t="s">
        <v>74</v>
      </c>
      <c r="T47" t="s">
        <v>968</v>
      </c>
      <c r="U47" t="s">
        <v>969</v>
      </c>
      <c r="V47" t="s">
        <v>970</v>
      </c>
      <c r="W47" t="s">
        <v>971</v>
      </c>
      <c r="X47" t="s">
        <v>972</v>
      </c>
      <c r="Y47" t="s">
        <v>973</v>
      </c>
      <c r="Z47" t="s">
        <v>974</v>
      </c>
      <c r="AA47" t="s">
        <v>975</v>
      </c>
      <c r="AB47" t="s">
        <v>976</v>
      </c>
      <c r="AC47" t="s">
        <v>977</v>
      </c>
      <c r="AD47" t="s">
        <v>978</v>
      </c>
      <c r="AE47" t="s">
        <v>979</v>
      </c>
      <c r="AF47" t="s">
        <v>74</v>
      </c>
      <c r="AG47">
        <v>34</v>
      </c>
      <c r="AH47">
        <v>0</v>
      </c>
      <c r="AI47">
        <v>0</v>
      </c>
      <c r="AJ47">
        <v>1</v>
      </c>
      <c r="AK47">
        <v>1</v>
      </c>
      <c r="AL47" t="s">
        <v>120</v>
      </c>
      <c r="AM47" t="s">
        <v>121</v>
      </c>
      <c r="AN47" t="s">
        <v>122</v>
      </c>
      <c r="AO47" t="s">
        <v>272</v>
      </c>
      <c r="AP47" t="s">
        <v>273</v>
      </c>
      <c r="AQ47" t="s">
        <v>74</v>
      </c>
      <c r="AR47" t="s">
        <v>261</v>
      </c>
      <c r="AS47" t="s">
        <v>274</v>
      </c>
      <c r="AT47" t="s">
        <v>434</v>
      </c>
      <c r="AU47">
        <v>2024</v>
      </c>
      <c r="AV47">
        <v>355</v>
      </c>
      <c r="AW47" t="s">
        <v>74</v>
      </c>
      <c r="AX47" t="s">
        <v>74</v>
      </c>
      <c r="AY47" t="s">
        <v>74</v>
      </c>
      <c r="AZ47" t="s">
        <v>74</v>
      </c>
      <c r="BA47" t="s">
        <v>74</v>
      </c>
      <c r="BB47" t="s">
        <v>74</v>
      </c>
      <c r="BC47" t="s">
        <v>74</v>
      </c>
      <c r="BD47">
        <v>129436</v>
      </c>
      <c r="BE47" t="s">
        <v>980</v>
      </c>
      <c r="BF47" t="str">
        <f>HYPERLINK("http://dx.doi.org/10.1016/j.fuel.2023.129436","http://dx.doi.org/10.1016/j.fuel.2023.129436")</f>
        <v>http://dx.doi.org/10.1016/j.fuel.2023.129436</v>
      </c>
      <c r="BG47" t="s">
        <v>74</v>
      </c>
      <c r="BH47" t="s">
        <v>74</v>
      </c>
      <c r="BI47">
        <v>15</v>
      </c>
      <c r="BJ47" t="s">
        <v>276</v>
      </c>
      <c r="BK47" t="s">
        <v>100</v>
      </c>
      <c r="BL47" t="s">
        <v>277</v>
      </c>
      <c r="BM47" t="s">
        <v>981</v>
      </c>
      <c r="BN47" t="s">
        <v>74</v>
      </c>
      <c r="BO47" t="s">
        <v>504</v>
      </c>
      <c r="BP47" t="s">
        <v>74</v>
      </c>
      <c r="BQ47" t="s">
        <v>74</v>
      </c>
      <c r="BR47" t="s">
        <v>104</v>
      </c>
      <c r="BS47" t="s">
        <v>982</v>
      </c>
      <c r="BT47" t="str">
        <f>HYPERLINK("https%3A%2F%2Fwww.webofscience.com%2Fwos%2Fwoscc%2Ffull-record%2FWOS:001060453100001","View Full Record in Web of Science")</f>
        <v>View Full Record in Web of Science</v>
      </c>
    </row>
    <row r="48" spans="1:72" x14ac:dyDescent="0.15">
      <c r="A48" t="s">
        <v>72</v>
      </c>
      <c r="B48" t="s">
        <v>983</v>
      </c>
      <c r="C48" t="s">
        <v>74</v>
      </c>
      <c r="D48" t="s">
        <v>74</v>
      </c>
      <c r="E48" t="s">
        <v>74</v>
      </c>
      <c r="F48" t="s">
        <v>984</v>
      </c>
      <c r="G48" t="s">
        <v>74</v>
      </c>
      <c r="H48" t="s">
        <v>74</v>
      </c>
      <c r="I48" t="s">
        <v>985</v>
      </c>
      <c r="J48" t="s">
        <v>162</v>
      </c>
      <c r="K48" t="s">
        <v>74</v>
      </c>
      <c r="L48" t="s">
        <v>74</v>
      </c>
      <c r="M48" t="s">
        <v>78</v>
      </c>
      <c r="N48" t="s">
        <v>79</v>
      </c>
      <c r="O48" t="s">
        <v>74</v>
      </c>
      <c r="P48" t="s">
        <v>74</v>
      </c>
      <c r="Q48" t="s">
        <v>74</v>
      </c>
      <c r="R48" t="s">
        <v>74</v>
      </c>
      <c r="S48" t="s">
        <v>74</v>
      </c>
      <c r="T48" t="s">
        <v>986</v>
      </c>
      <c r="U48" t="s">
        <v>987</v>
      </c>
      <c r="V48" t="s">
        <v>988</v>
      </c>
      <c r="W48" t="s">
        <v>989</v>
      </c>
      <c r="X48" t="s">
        <v>990</v>
      </c>
      <c r="Y48" t="s">
        <v>991</v>
      </c>
      <c r="Z48" t="s">
        <v>992</v>
      </c>
      <c r="AA48" t="s">
        <v>993</v>
      </c>
      <c r="AB48" t="s">
        <v>994</v>
      </c>
      <c r="AC48" t="s">
        <v>74</v>
      </c>
      <c r="AD48" t="s">
        <v>74</v>
      </c>
      <c r="AE48" t="s">
        <v>74</v>
      </c>
      <c r="AF48" t="s">
        <v>74</v>
      </c>
      <c r="AG48">
        <v>44</v>
      </c>
      <c r="AH48">
        <v>0</v>
      </c>
      <c r="AI48">
        <v>0</v>
      </c>
      <c r="AJ48">
        <v>12</v>
      </c>
      <c r="AK48">
        <v>12</v>
      </c>
      <c r="AL48" t="s">
        <v>173</v>
      </c>
      <c r="AM48" t="s">
        <v>121</v>
      </c>
      <c r="AN48" t="s">
        <v>174</v>
      </c>
      <c r="AO48" t="s">
        <v>175</v>
      </c>
      <c r="AP48" t="s">
        <v>176</v>
      </c>
      <c r="AQ48" t="s">
        <v>74</v>
      </c>
      <c r="AR48" t="s">
        <v>177</v>
      </c>
      <c r="AS48" t="s">
        <v>178</v>
      </c>
      <c r="AT48" t="s">
        <v>416</v>
      </c>
      <c r="AU48">
        <v>2024</v>
      </c>
      <c r="AV48">
        <v>235</v>
      </c>
      <c r="AW48" t="s">
        <v>74</v>
      </c>
      <c r="AX48" t="s">
        <v>74</v>
      </c>
      <c r="AY48" t="s">
        <v>74</v>
      </c>
      <c r="AZ48" t="s">
        <v>74</v>
      </c>
      <c r="BA48" t="s">
        <v>74</v>
      </c>
      <c r="BB48" t="s">
        <v>74</v>
      </c>
      <c r="BC48" t="s">
        <v>74</v>
      </c>
      <c r="BD48">
        <v>121177</v>
      </c>
      <c r="BE48" t="s">
        <v>995</v>
      </c>
      <c r="BF48" t="str">
        <f>HYPERLINK("http://dx.doi.org/10.1016/j.eswa.2023.121177","http://dx.doi.org/10.1016/j.eswa.2023.121177")</f>
        <v>http://dx.doi.org/10.1016/j.eswa.2023.121177</v>
      </c>
      <c r="BG48" t="s">
        <v>74</v>
      </c>
      <c r="BH48" t="s">
        <v>74</v>
      </c>
      <c r="BI48">
        <v>15</v>
      </c>
      <c r="BJ48" t="s">
        <v>180</v>
      </c>
      <c r="BK48" t="s">
        <v>100</v>
      </c>
      <c r="BL48" t="s">
        <v>181</v>
      </c>
      <c r="BM48" t="s">
        <v>996</v>
      </c>
      <c r="BN48" t="s">
        <v>74</v>
      </c>
      <c r="BO48" t="s">
        <v>74</v>
      </c>
      <c r="BP48" t="s">
        <v>74</v>
      </c>
      <c r="BQ48" t="s">
        <v>74</v>
      </c>
      <c r="BR48" t="s">
        <v>104</v>
      </c>
      <c r="BS48" t="s">
        <v>997</v>
      </c>
      <c r="BT48" t="str">
        <f>HYPERLINK("https%3A%2F%2Fwww.webofscience.com%2Fwos%2Fwoscc%2Ffull-record%2FWOS:001062806400001","View Full Record in Web of Science")</f>
        <v>View Full Record in Web of Science</v>
      </c>
    </row>
    <row r="49" spans="1:72" x14ac:dyDescent="0.15">
      <c r="A49" t="s">
        <v>72</v>
      </c>
      <c r="B49" t="s">
        <v>998</v>
      </c>
      <c r="C49" t="s">
        <v>74</v>
      </c>
      <c r="D49" t="s">
        <v>74</v>
      </c>
      <c r="E49" t="s">
        <v>74</v>
      </c>
      <c r="F49" t="s">
        <v>999</v>
      </c>
      <c r="G49" t="s">
        <v>74</v>
      </c>
      <c r="H49" t="s">
        <v>74</v>
      </c>
      <c r="I49" t="s">
        <v>1000</v>
      </c>
      <c r="J49" t="s">
        <v>109</v>
      </c>
      <c r="K49" t="s">
        <v>74</v>
      </c>
      <c r="L49" t="s">
        <v>74</v>
      </c>
      <c r="M49" t="s">
        <v>78</v>
      </c>
      <c r="N49" t="s">
        <v>79</v>
      </c>
      <c r="O49" t="s">
        <v>74</v>
      </c>
      <c r="P49" t="s">
        <v>74</v>
      </c>
      <c r="Q49" t="s">
        <v>74</v>
      </c>
      <c r="R49" t="s">
        <v>74</v>
      </c>
      <c r="S49" t="s">
        <v>74</v>
      </c>
      <c r="T49" t="s">
        <v>1001</v>
      </c>
      <c r="U49" t="s">
        <v>1002</v>
      </c>
      <c r="V49" t="s">
        <v>1003</v>
      </c>
      <c r="W49" t="s">
        <v>1004</v>
      </c>
      <c r="X49" t="s">
        <v>1005</v>
      </c>
      <c r="Y49" t="s">
        <v>1006</v>
      </c>
      <c r="Z49" t="s">
        <v>1007</v>
      </c>
      <c r="AA49" t="s">
        <v>74</v>
      </c>
      <c r="AB49" t="s">
        <v>1008</v>
      </c>
      <c r="AC49" t="s">
        <v>1009</v>
      </c>
      <c r="AD49" t="s">
        <v>1009</v>
      </c>
      <c r="AE49" t="s">
        <v>1010</v>
      </c>
      <c r="AF49" t="s">
        <v>74</v>
      </c>
      <c r="AG49">
        <v>38</v>
      </c>
      <c r="AH49">
        <v>0</v>
      </c>
      <c r="AI49">
        <v>0</v>
      </c>
      <c r="AJ49">
        <v>8</v>
      </c>
      <c r="AK49">
        <v>8</v>
      </c>
      <c r="AL49" t="s">
        <v>120</v>
      </c>
      <c r="AM49" t="s">
        <v>121</v>
      </c>
      <c r="AN49" t="s">
        <v>122</v>
      </c>
      <c r="AO49" t="s">
        <v>123</v>
      </c>
      <c r="AP49" t="s">
        <v>124</v>
      </c>
      <c r="AQ49" t="s">
        <v>74</v>
      </c>
      <c r="AR49" t="s">
        <v>125</v>
      </c>
      <c r="AS49" t="s">
        <v>126</v>
      </c>
      <c r="AT49" t="s">
        <v>434</v>
      </c>
      <c r="AU49">
        <v>2024</v>
      </c>
      <c r="AV49">
        <v>430</v>
      </c>
      <c r="AW49" t="s">
        <v>74</v>
      </c>
      <c r="AX49" t="s">
        <v>74</v>
      </c>
      <c r="AY49" t="s">
        <v>74</v>
      </c>
      <c r="AZ49" t="s">
        <v>74</v>
      </c>
      <c r="BA49" t="s">
        <v>74</v>
      </c>
      <c r="BB49" t="s">
        <v>74</v>
      </c>
      <c r="BC49" t="s">
        <v>74</v>
      </c>
      <c r="BD49">
        <v>137069</v>
      </c>
      <c r="BE49" t="s">
        <v>1011</v>
      </c>
      <c r="BF49" t="str">
        <f>HYPERLINK("http://dx.doi.org/10.1016/j.foodchem.2023.137069","http://dx.doi.org/10.1016/j.foodchem.2023.137069")</f>
        <v>http://dx.doi.org/10.1016/j.foodchem.2023.137069</v>
      </c>
      <c r="BG49" t="s">
        <v>74</v>
      </c>
      <c r="BH49" t="s">
        <v>74</v>
      </c>
      <c r="BI49">
        <v>12</v>
      </c>
      <c r="BJ49" t="s">
        <v>129</v>
      </c>
      <c r="BK49" t="s">
        <v>100</v>
      </c>
      <c r="BL49" t="s">
        <v>130</v>
      </c>
      <c r="BM49" t="s">
        <v>1012</v>
      </c>
      <c r="BN49">
        <v>37562262</v>
      </c>
      <c r="BO49" t="s">
        <v>74</v>
      </c>
      <c r="BP49" t="s">
        <v>74</v>
      </c>
      <c r="BQ49" t="s">
        <v>74</v>
      </c>
      <c r="BR49" t="s">
        <v>104</v>
      </c>
      <c r="BS49" t="s">
        <v>1013</v>
      </c>
      <c r="BT49" t="str">
        <f>HYPERLINK("https%3A%2F%2Fwww.webofscience.com%2Fwos%2Fwoscc%2Ffull-record%2FWOS:001063015000001","View Full Record in Web of Science")</f>
        <v>View Full Record in Web of Science</v>
      </c>
    </row>
    <row r="50" spans="1:72" x14ac:dyDescent="0.15">
      <c r="A50" t="s">
        <v>72</v>
      </c>
      <c r="B50" t="s">
        <v>1014</v>
      </c>
      <c r="C50" t="s">
        <v>74</v>
      </c>
      <c r="D50" t="s">
        <v>74</v>
      </c>
      <c r="E50" t="s">
        <v>74</v>
      </c>
      <c r="F50" t="s">
        <v>1015</v>
      </c>
      <c r="G50" t="s">
        <v>74</v>
      </c>
      <c r="H50" t="s">
        <v>74</v>
      </c>
      <c r="I50" t="s">
        <v>1016</v>
      </c>
      <c r="J50" t="s">
        <v>1017</v>
      </c>
      <c r="K50" t="s">
        <v>74</v>
      </c>
      <c r="L50" t="s">
        <v>74</v>
      </c>
      <c r="M50" t="s">
        <v>78</v>
      </c>
      <c r="N50" t="s">
        <v>79</v>
      </c>
      <c r="O50" t="s">
        <v>74</v>
      </c>
      <c r="P50" t="s">
        <v>74</v>
      </c>
      <c r="Q50" t="s">
        <v>74</v>
      </c>
      <c r="R50" t="s">
        <v>74</v>
      </c>
      <c r="S50" t="s">
        <v>74</v>
      </c>
      <c r="T50" t="s">
        <v>1018</v>
      </c>
      <c r="U50" t="s">
        <v>1019</v>
      </c>
      <c r="V50" t="s">
        <v>1020</v>
      </c>
      <c r="W50" t="s">
        <v>1021</v>
      </c>
      <c r="X50" t="s">
        <v>1022</v>
      </c>
      <c r="Y50" t="s">
        <v>1023</v>
      </c>
      <c r="Z50" t="s">
        <v>1024</v>
      </c>
      <c r="AA50" t="s">
        <v>1025</v>
      </c>
      <c r="AB50" t="s">
        <v>1026</v>
      </c>
      <c r="AC50" t="s">
        <v>1027</v>
      </c>
      <c r="AD50" t="s">
        <v>252</v>
      </c>
      <c r="AE50" t="s">
        <v>1028</v>
      </c>
      <c r="AF50" t="s">
        <v>74</v>
      </c>
      <c r="AG50">
        <v>65</v>
      </c>
      <c r="AH50">
        <v>0</v>
      </c>
      <c r="AI50">
        <v>0</v>
      </c>
      <c r="AJ50">
        <v>1</v>
      </c>
      <c r="AK50">
        <v>1</v>
      </c>
      <c r="AL50" t="s">
        <v>120</v>
      </c>
      <c r="AM50" t="s">
        <v>121</v>
      </c>
      <c r="AN50" t="s">
        <v>122</v>
      </c>
      <c r="AO50" t="s">
        <v>1029</v>
      </c>
      <c r="AP50" t="s">
        <v>1030</v>
      </c>
      <c r="AQ50" t="s">
        <v>74</v>
      </c>
      <c r="AR50" t="s">
        <v>1017</v>
      </c>
      <c r="AS50" t="s">
        <v>1031</v>
      </c>
      <c r="AT50" t="s">
        <v>416</v>
      </c>
      <c r="AU50">
        <v>2024</v>
      </c>
      <c r="AV50">
        <v>155</v>
      </c>
      <c r="AW50" t="s">
        <v>74</v>
      </c>
      <c r="AX50" t="s">
        <v>74</v>
      </c>
      <c r="AY50" t="s">
        <v>74</v>
      </c>
      <c r="AZ50" t="s">
        <v>74</v>
      </c>
      <c r="BA50" t="s">
        <v>74</v>
      </c>
      <c r="BB50" t="s">
        <v>74</v>
      </c>
      <c r="BC50" t="s">
        <v>74</v>
      </c>
      <c r="BD50">
        <v>110069</v>
      </c>
      <c r="BE50" t="s">
        <v>1032</v>
      </c>
      <c r="BF50" t="str">
        <f>HYPERLINK("http://dx.doi.org/10.1016/j.foodcont.2023.110069","http://dx.doi.org/10.1016/j.foodcont.2023.110069")</f>
        <v>http://dx.doi.org/10.1016/j.foodcont.2023.110069</v>
      </c>
      <c r="BG50" t="s">
        <v>74</v>
      </c>
      <c r="BH50" t="s">
        <v>74</v>
      </c>
      <c r="BI50">
        <v>13</v>
      </c>
      <c r="BJ50" t="s">
        <v>1033</v>
      </c>
      <c r="BK50" t="s">
        <v>100</v>
      </c>
      <c r="BL50" t="s">
        <v>1033</v>
      </c>
      <c r="BM50" t="s">
        <v>1034</v>
      </c>
      <c r="BN50" t="s">
        <v>74</v>
      </c>
      <c r="BO50" t="s">
        <v>74</v>
      </c>
      <c r="BP50" t="s">
        <v>74</v>
      </c>
      <c r="BQ50" t="s">
        <v>74</v>
      </c>
      <c r="BR50" t="s">
        <v>104</v>
      </c>
      <c r="BS50" t="s">
        <v>1035</v>
      </c>
      <c r="BT50" t="str">
        <f>HYPERLINK("https%3A%2F%2Fwww.webofscience.com%2Fwos%2Fwoscc%2Ffull-record%2FWOS:001069405100001","View Full Record in Web of Science")</f>
        <v>View Full Record in Web of Science</v>
      </c>
    </row>
    <row r="51" spans="1:72" x14ac:dyDescent="0.15">
      <c r="A51" t="s">
        <v>72</v>
      </c>
      <c r="B51" t="s">
        <v>1036</v>
      </c>
      <c r="C51" t="s">
        <v>74</v>
      </c>
      <c r="D51" t="s">
        <v>74</v>
      </c>
      <c r="E51" t="s">
        <v>74</v>
      </c>
      <c r="F51" t="s">
        <v>1037</v>
      </c>
      <c r="G51" t="s">
        <v>74</v>
      </c>
      <c r="H51" t="s">
        <v>74</v>
      </c>
      <c r="I51" t="s">
        <v>1038</v>
      </c>
      <c r="J51" t="s">
        <v>1039</v>
      </c>
      <c r="K51" t="s">
        <v>74</v>
      </c>
      <c r="L51" t="s">
        <v>74</v>
      </c>
      <c r="M51" t="s">
        <v>78</v>
      </c>
      <c r="N51" t="s">
        <v>79</v>
      </c>
      <c r="O51" t="s">
        <v>74</v>
      </c>
      <c r="P51" t="s">
        <v>74</v>
      </c>
      <c r="Q51" t="s">
        <v>74</v>
      </c>
      <c r="R51" t="s">
        <v>74</v>
      </c>
      <c r="S51" t="s">
        <v>74</v>
      </c>
      <c r="T51" t="s">
        <v>1040</v>
      </c>
      <c r="U51" t="s">
        <v>74</v>
      </c>
      <c r="V51" t="s">
        <v>1041</v>
      </c>
      <c r="W51" t="s">
        <v>1042</v>
      </c>
      <c r="X51" t="s">
        <v>1043</v>
      </c>
      <c r="Y51" t="s">
        <v>1044</v>
      </c>
      <c r="Z51" t="s">
        <v>1045</v>
      </c>
      <c r="AA51" t="s">
        <v>74</v>
      </c>
      <c r="AB51" t="s">
        <v>1046</v>
      </c>
      <c r="AC51" t="s">
        <v>1047</v>
      </c>
      <c r="AD51" t="s">
        <v>1048</v>
      </c>
      <c r="AE51" t="s">
        <v>1049</v>
      </c>
      <c r="AF51" t="s">
        <v>74</v>
      </c>
      <c r="AG51">
        <v>42</v>
      </c>
      <c r="AH51">
        <v>0</v>
      </c>
      <c r="AI51">
        <v>0</v>
      </c>
      <c r="AJ51">
        <v>10</v>
      </c>
      <c r="AK51">
        <v>10</v>
      </c>
      <c r="AL51" t="s">
        <v>90</v>
      </c>
      <c r="AM51" t="s">
        <v>91</v>
      </c>
      <c r="AN51" t="s">
        <v>92</v>
      </c>
      <c r="AO51" t="s">
        <v>1050</v>
      </c>
      <c r="AP51" t="s">
        <v>1051</v>
      </c>
      <c r="AQ51" t="s">
        <v>74</v>
      </c>
      <c r="AR51" t="s">
        <v>1052</v>
      </c>
      <c r="AS51" t="s">
        <v>1053</v>
      </c>
      <c r="AT51" t="s">
        <v>416</v>
      </c>
      <c r="AU51">
        <v>2024</v>
      </c>
      <c r="AV51">
        <v>87</v>
      </c>
      <c r="AW51" t="s">
        <v>74</v>
      </c>
      <c r="AX51" t="s">
        <v>74</v>
      </c>
      <c r="AY51" t="s">
        <v>74</v>
      </c>
      <c r="AZ51" t="s">
        <v>74</v>
      </c>
      <c r="BA51" t="s">
        <v>74</v>
      </c>
      <c r="BB51" t="s">
        <v>74</v>
      </c>
      <c r="BC51" t="s">
        <v>74</v>
      </c>
      <c r="BD51">
        <v>103771</v>
      </c>
      <c r="BE51" t="s">
        <v>1054</v>
      </c>
      <c r="BF51" t="str">
        <f>HYPERLINK("http://dx.doi.org/10.1016/j.csi.2023.103771","http://dx.doi.org/10.1016/j.csi.2023.103771")</f>
        <v>http://dx.doi.org/10.1016/j.csi.2023.103771</v>
      </c>
      <c r="BG51" t="s">
        <v>74</v>
      </c>
      <c r="BH51" t="s">
        <v>74</v>
      </c>
      <c r="BI51">
        <v>9</v>
      </c>
      <c r="BJ51" t="s">
        <v>1055</v>
      </c>
      <c r="BK51" t="s">
        <v>100</v>
      </c>
      <c r="BL51" t="s">
        <v>563</v>
      </c>
      <c r="BM51" t="s">
        <v>1056</v>
      </c>
      <c r="BN51" t="s">
        <v>74</v>
      </c>
      <c r="BO51" t="s">
        <v>74</v>
      </c>
      <c r="BP51" t="s">
        <v>74</v>
      </c>
      <c r="BQ51" t="s">
        <v>74</v>
      </c>
      <c r="BR51" t="s">
        <v>104</v>
      </c>
      <c r="BS51" t="s">
        <v>1057</v>
      </c>
      <c r="BT51" t="str">
        <f>HYPERLINK("https%3A%2F%2Fwww.webofscience.com%2Fwos%2Fwoscc%2Ffull-record%2FWOS:001044236000001","View Full Record in Web of Science")</f>
        <v>View Full Record in Web of Science</v>
      </c>
    </row>
    <row r="52" spans="1:72" x14ac:dyDescent="0.15">
      <c r="A52" t="s">
        <v>72</v>
      </c>
      <c r="B52" t="s">
        <v>1058</v>
      </c>
      <c r="C52" t="s">
        <v>74</v>
      </c>
      <c r="D52" t="s">
        <v>74</v>
      </c>
      <c r="E52" t="s">
        <v>74</v>
      </c>
      <c r="F52" t="s">
        <v>1059</v>
      </c>
      <c r="G52" t="s">
        <v>74</v>
      </c>
      <c r="H52" t="s">
        <v>74</v>
      </c>
      <c r="I52" t="s">
        <v>1060</v>
      </c>
      <c r="J52" t="s">
        <v>261</v>
      </c>
      <c r="K52" t="s">
        <v>74</v>
      </c>
      <c r="L52" t="s">
        <v>74</v>
      </c>
      <c r="M52" t="s">
        <v>78</v>
      </c>
      <c r="N52" t="s">
        <v>241</v>
      </c>
      <c r="O52" t="s">
        <v>74</v>
      </c>
      <c r="P52" t="s">
        <v>74</v>
      </c>
      <c r="Q52" t="s">
        <v>74</v>
      </c>
      <c r="R52" t="s">
        <v>74</v>
      </c>
      <c r="S52" t="s">
        <v>74</v>
      </c>
      <c r="T52" t="s">
        <v>1061</v>
      </c>
      <c r="U52" t="s">
        <v>1062</v>
      </c>
      <c r="V52" t="s">
        <v>1063</v>
      </c>
      <c r="W52" t="s">
        <v>1064</v>
      </c>
      <c r="X52" t="s">
        <v>1065</v>
      </c>
      <c r="Y52" t="s">
        <v>1066</v>
      </c>
      <c r="Z52" t="s">
        <v>1067</v>
      </c>
      <c r="AA52" t="s">
        <v>74</v>
      </c>
      <c r="AB52" t="s">
        <v>74</v>
      </c>
      <c r="AC52" t="s">
        <v>1068</v>
      </c>
      <c r="AD52" t="s">
        <v>1069</v>
      </c>
      <c r="AE52" t="s">
        <v>1070</v>
      </c>
      <c r="AF52" t="s">
        <v>74</v>
      </c>
      <c r="AG52">
        <v>135</v>
      </c>
      <c r="AH52">
        <v>0</v>
      </c>
      <c r="AI52">
        <v>0</v>
      </c>
      <c r="AJ52">
        <v>3</v>
      </c>
      <c r="AK52">
        <v>3</v>
      </c>
      <c r="AL52" t="s">
        <v>120</v>
      </c>
      <c r="AM52" t="s">
        <v>121</v>
      </c>
      <c r="AN52" t="s">
        <v>122</v>
      </c>
      <c r="AO52" t="s">
        <v>272</v>
      </c>
      <c r="AP52" t="s">
        <v>273</v>
      </c>
      <c r="AQ52" t="s">
        <v>74</v>
      </c>
      <c r="AR52" t="s">
        <v>261</v>
      </c>
      <c r="AS52" t="s">
        <v>274</v>
      </c>
      <c r="AT52" t="s">
        <v>434</v>
      </c>
      <c r="AU52">
        <v>2024</v>
      </c>
      <c r="AV52">
        <v>355</v>
      </c>
      <c r="AW52" t="s">
        <v>74</v>
      </c>
      <c r="AX52" t="s">
        <v>74</v>
      </c>
      <c r="AY52" t="s">
        <v>74</v>
      </c>
      <c r="AZ52" t="s">
        <v>74</v>
      </c>
      <c r="BA52" t="s">
        <v>74</v>
      </c>
      <c r="BB52" t="s">
        <v>74</v>
      </c>
      <c r="BC52" t="s">
        <v>74</v>
      </c>
      <c r="BD52">
        <v>129439</v>
      </c>
      <c r="BE52" t="s">
        <v>1071</v>
      </c>
      <c r="BF52" t="str">
        <f>HYPERLINK("http://dx.doi.org/10.1016/j.fuel.2023.129439","http://dx.doi.org/10.1016/j.fuel.2023.129439")</f>
        <v>http://dx.doi.org/10.1016/j.fuel.2023.129439</v>
      </c>
      <c r="BG52" t="s">
        <v>74</v>
      </c>
      <c r="BH52" t="s">
        <v>74</v>
      </c>
      <c r="BI52">
        <v>24</v>
      </c>
      <c r="BJ52" t="s">
        <v>276</v>
      </c>
      <c r="BK52" t="s">
        <v>100</v>
      </c>
      <c r="BL52" t="s">
        <v>277</v>
      </c>
      <c r="BM52" t="s">
        <v>1072</v>
      </c>
      <c r="BN52" t="s">
        <v>74</v>
      </c>
      <c r="BO52" t="s">
        <v>504</v>
      </c>
      <c r="BP52" t="s">
        <v>74</v>
      </c>
      <c r="BQ52" t="s">
        <v>74</v>
      </c>
      <c r="BR52" t="s">
        <v>104</v>
      </c>
      <c r="BS52" t="s">
        <v>1073</v>
      </c>
      <c r="BT52" t="str">
        <f>HYPERLINK("https%3A%2F%2Fwww.webofscience.com%2Fwos%2Fwoscc%2Ffull-record%2FWOS:001064950500001","View Full Record in Web of Science")</f>
        <v>View Full Record in Web of Science</v>
      </c>
    </row>
    <row r="53" spans="1:72" x14ac:dyDescent="0.15">
      <c r="A53" t="s">
        <v>72</v>
      </c>
      <c r="B53" t="s">
        <v>1074</v>
      </c>
      <c r="C53" t="s">
        <v>74</v>
      </c>
      <c r="D53" t="s">
        <v>74</v>
      </c>
      <c r="E53" t="s">
        <v>74</v>
      </c>
      <c r="F53" t="s">
        <v>1075</v>
      </c>
      <c r="G53" t="s">
        <v>74</v>
      </c>
      <c r="H53" t="s">
        <v>74</v>
      </c>
      <c r="I53" t="s">
        <v>1076</v>
      </c>
      <c r="J53" t="s">
        <v>109</v>
      </c>
      <c r="K53" t="s">
        <v>74</v>
      </c>
      <c r="L53" t="s">
        <v>74</v>
      </c>
      <c r="M53" t="s">
        <v>78</v>
      </c>
      <c r="N53" t="s">
        <v>79</v>
      </c>
      <c r="O53" t="s">
        <v>74</v>
      </c>
      <c r="P53" t="s">
        <v>74</v>
      </c>
      <c r="Q53" t="s">
        <v>74</v>
      </c>
      <c r="R53" t="s">
        <v>74</v>
      </c>
      <c r="S53" t="s">
        <v>74</v>
      </c>
      <c r="T53" t="s">
        <v>1077</v>
      </c>
      <c r="U53" t="s">
        <v>1078</v>
      </c>
      <c r="V53" t="s">
        <v>1079</v>
      </c>
      <c r="W53" t="s">
        <v>1080</v>
      </c>
      <c r="X53" t="s">
        <v>1081</v>
      </c>
      <c r="Y53" t="s">
        <v>1082</v>
      </c>
      <c r="Z53" t="s">
        <v>1083</v>
      </c>
      <c r="AA53" t="s">
        <v>74</v>
      </c>
      <c r="AB53" t="s">
        <v>1084</v>
      </c>
      <c r="AC53" t="s">
        <v>1085</v>
      </c>
      <c r="AD53" t="s">
        <v>1086</v>
      </c>
      <c r="AE53" t="s">
        <v>1087</v>
      </c>
      <c r="AF53" t="s">
        <v>74</v>
      </c>
      <c r="AG53">
        <v>40</v>
      </c>
      <c r="AH53">
        <v>0</v>
      </c>
      <c r="AI53">
        <v>0</v>
      </c>
      <c r="AJ53">
        <v>14</v>
      </c>
      <c r="AK53">
        <v>14</v>
      </c>
      <c r="AL53" t="s">
        <v>120</v>
      </c>
      <c r="AM53" t="s">
        <v>121</v>
      </c>
      <c r="AN53" t="s">
        <v>122</v>
      </c>
      <c r="AO53" t="s">
        <v>123</v>
      </c>
      <c r="AP53" t="s">
        <v>124</v>
      </c>
      <c r="AQ53" t="s">
        <v>74</v>
      </c>
      <c r="AR53" t="s">
        <v>125</v>
      </c>
      <c r="AS53" t="s">
        <v>126</v>
      </c>
      <c r="AT53" t="s">
        <v>434</v>
      </c>
      <c r="AU53">
        <v>2024</v>
      </c>
      <c r="AV53">
        <v>430</v>
      </c>
      <c r="AW53" t="s">
        <v>74</v>
      </c>
      <c r="AX53" t="s">
        <v>74</v>
      </c>
      <c r="AY53" t="s">
        <v>74</v>
      </c>
      <c r="AZ53" t="s">
        <v>74</v>
      </c>
      <c r="BA53" t="s">
        <v>74</v>
      </c>
      <c r="BB53" t="s">
        <v>74</v>
      </c>
      <c r="BC53" t="s">
        <v>74</v>
      </c>
      <c r="BD53">
        <v>136932</v>
      </c>
      <c r="BE53" t="s">
        <v>1088</v>
      </c>
      <c r="BF53" t="str">
        <f>HYPERLINK("http://dx.doi.org/10.1016/j.foodchem.2023.136932","http://dx.doi.org/10.1016/j.foodchem.2023.136932")</f>
        <v>http://dx.doi.org/10.1016/j.foodchem.2023.136932</v>
      </c>
      <c r="BG53" t="s">
        <v>74</v>
      </c>
      <c r="BH53" t="s">
        <v>74</v>
      </c>
      <c r="BI53">
        <v>11</v>
      </c>
      <c r="BJ53" t="s">
        <v>129</v>
      </c>
      <c r="BK53" t="s">
        <v>100</v>
      </c>
      <c r="BL53" t="s">
        <v>130</v>
      </c>
      <c r="BM53" t="s">
        <v>1089</v>
      </c>
      <c r="BN53">
        <v>37572385</v>
      </c>
      <c r="BO53" t="s">
        <v>74</v>
      </c>
      <c r="BP53" t="s">
        <v>74</v>
      </c>
      <c r="BQ53" t="s">
        <v>74</v>
      </c>
      <c r="BR53" t="s">
        <v>104</v>
      </c>
      <c r="BS53" t="s">
        <v>1090</v>
      </c>
      <c r="BT53" t="str">
        <f>HYPERLINK("https%3A%2F%2Fwww.webofscience.com%2Fwos%2Fwoscc%2Ffull-record%2FWOS:001054808800001","View Full Record in Web of Science")</f>
        <v>View Full Record in Web of Science</v>
      </c>
    </row>
    <row r="54" spans="1:72" x14ac:dyDescent="0.15">
      <c r="A54" t="s">
        <v>72</v>
      </c>
      <c r="B54" t="s">
        <v>1091</v>
      </c>
      <c r="C54" t="s">
        <v>74</v>
      </c>
      <c r="D54" t="s">
        <v>74</v>
      </c>
      <c r="E54" t="s">
        <v>74</v>
      </c>
      <c r="F54" t="s">
        <v>1092</v>
      </c>
      <c r="G54" t="s">
        <v>74</v>
      </c>
      <c r="H54" t="s">
        <v>74</v>
      </c>
      <c r="I54" t="s">
        <v>1093</v>
      </c>
      <c r="J54" t="s">
        <v>1094</v>
      </c>
      <c r="K54" t="s">
        <v>74</v>
      </c>
      <c r="L54" t="s">
        <v>74</v>
      </c>
      <c r="M54" t="s">
        <v>78</v>
      </c>
      <c r="N54" t="s">
        <v>79</v>
      </c>
      <c r="O54" t="s">
        <v>74</v>
      </c>
      <c r="P54" t="s">
        <v>74</v>
      </c>
      <c r="Q54" t="s">
        <v>74</v>
      </c>
      <c r="R54" t="s">
        <v>74</v>
      </c>
      <c r="S54" t="s">
        <v>74</v>
      </c>
      <c r="T54" t="s">
        <v>1095</v>
      </c>
      <c r="U54" t="s">
        <v>1096</v>
      </c>
      <c r="V54" t="s">
        <v>1097</v>
      </c>
      <c r="W54" t="s">
        <v>1098</v>
      </c>
      <c r="X54" t="s">
        <v>1099</v>
      </c>
      <c r="Y54" t="s">
        <v>1100</v>
      </c>
      <c r="Z54" t="s">
        <v>1101</v>
      </c>
      <c r="AA54" t="s">
        <v>74</v>
      </c>
      <c r="AB54" t="s">
        <v>1102</v>
      </c>
      <c r="AC54" t="s">
        <v>1103</v>
      </c>
      <c r="AD54" t="s">
        <v>1104</v>
      </c>
      <c r="AE54" t="s">
        <v>1105</v>
      </c>
      <c r="AF54" t="s">
        <v>74</v>
      </c>
      <c r="AG54">
        <v>54</v>
      </c>
      <c r="AH54">
        <v>0</v>
      </c>
      <c r="AI54">
        <v>0</v>
      </c>
      <c r="AJ54">
        <v>1</v>
      </c>
      <c r="AK54">
        <v>1</v>
      </c>
      <c r="AL54" t="s">
        <v>173</v>
      </c>
      <c r="AM54" t="s">
        <v>121</v>
      </c>
      <c r="AN54" t="s">
        <v>174</v>
      </c>
      <c r="AO54" t="s">
        <v>1106</v>
      </c>
      <c r="AP54" t="s">
        <v>1107</v>
      </c>
      <c r="AQ54" t="s">
        <v>74</v>
      </c>
      <c r="AR54" t="s">
        <v>1108</v>
      </c>
      <c r="AS54" t="s">
        <v>1109</v>
      </c>
      <c r="AT54" t="s">
        <v>416</v>
      </c>
      <c r="AU54">
        <v>2024</v>
      </c>
      <c r="AV54">
        <v>169</v>
      </c>
      <c r="AW54" t="s">
        <v>74</v>
      </c>
      <c r="AX54" t="s">
        <v>74</v>
      </c>
      <c r="AY54" t="s">
        <v>74</v>
      </c>
      <c r="AZ54" t="s">
        <v>74</v>
      </c>
      <c r="BA54" t="s">
        <v>74</v>
      </c>
      <c r="BB54" t="s">
        <v>74</v>
      </c>
      <c r="BC54" t="s">
        <v>74</v>
      </c>
      <c r="BD54">
        <v>112501</v>
      </c>
      <c r="BE54" t="s">
        <v>1110</v>
      </c>
      <c r="BF54" t="str">
        <f>HYPERLINK("http://dx.doi.org/10.1016/j.materresbull.2023.112501","http://dx.doi.org/10.1016/j.materresbull.2023.112501")</f>
        <v>http://dx.doi.org/10.1016/j.materresbull.2023.112501</v>
      </c>
      <c r="BG54" t="s">
        <v>74</v>
      </c>
      <c r="BH54" t="s">
        <v>74</v>
      </c>
      <c r="BI54">
        <v>10</v>
      </c>
      <c r="BJ54" t="s">
        <v>1111</v>
      </c>
      <c r="BK54" t="s">
        <v>100</v>
      </c>
      <c r="BL54" t="s">
        <v>1112</v>
      </c>
      <c r="BM54" t="s">
        <v>1113</v>
      </c>
      <c r="BN54" t="s">
        <v>74</v>
      </c>
      <c r="BO54" t="s">
        <v>74</v>
      </c>
      <c r="BP54" t="s">
        <v>74</v>
      </c>
      <c r="BQ54" t="s">
        <v>74</v>
      </c>
      <c r="BR54" t="s">
        <v>104</v>
      </c>
      <c r="BS54" t="s">
        <v>1114</v>
      </c>
      <c r="BT54" t="str">
        <f>HYPERLINK("https%3A%2F%2Fwww.webofscience.com%2Fwos%2Fwoscc%2Ffull-record%2FWOS:001068792100001","View Full Record in Web of Science")</f>
        <v>View Full Record in Web of Science</v>
      </c>
    </row>
    <row r="55" spans="1:72" x14ac:dyDescent="0.15">
      <c r="A55" t="s">
        <v>72</v>
      </c>
      <c r="B55" t="s">
        <v>1115</v>
      </c>
      <c r="C55" t="s">
        <v>74</v>
      </c>
      <c r="D55" t="s">
        <v>74</v>
      </c>
      <c r="E55" t="s">
        <v>74</v>
      </c>
      <c r="F55" t="s">
        <v>1116</v>
      </c>
      <c r="G55" t="s">
        <v>74</v>
      </c>
      <c r="H55" t="s">
        <v>74</v>
      </c>
      <c r="I55" t="s">
        <v>1117</v>
      </c>
      <c r="J55" t="s">
        <v>527</v>
      </c>
      <c r="K55" t="s">
        <v>74</v>
      </c>
      <c r="L55" t="s">
        <v>74</v>
      </c>
      <c r="M55" t="s">
        <v>78</v>
      </c>
      <c r="N55" t="s">
        <v>79</v>
      </c>
      <c r="O55" t="s">
        <v>74</v>
      </c>
      <c r="P55" t="s">
        <v>74</v>
      </c>
      <c r="Q55" t="s">
        <v>74</v>
      </c>
      <c r="R55" t="s">
        <v>74</v>
      </c>
      <c r="S55" t="s">
        <v>74</v>
      </c>
      <c r="T55" t="s">
        <v>1118</v>
      </c>
      <c r="U55" t="s">
        <v>1119</v>
      </c>
      <c r="V55" t="s">
        <v>1120</v>
      </c>
      <c r="W55" t="s">
        <v>1121</v>
      </c>
      <c r="X55" t="s">
        <v>1122</v>
      </c>
      <c r="Y55" t="s">
        <v>1123</v>
      </c>
      <c r="Z55" t="s">
        <v>1124</v>
      </c>
      <c r="AA55" t="s">
        <v>74</v>
      </c>
      <c r="AB55" t="s">
        <v>1125</v>
      </c>
      <c r="AC55" t="s">
        <v>1126</v>
      </c>
      <c r="AD55" t="s">
        <v>1127</v>
      </c>
      <c r="AE55" t="s">
        <v>1128</v>
      </c>
      <c r="AF55" t="s">
        <v>74</v>
      </c>
      <c r="AG55">
        <v>42</v>
      </c>
      <c r="AH55">
        <v>0</v>
      </c>
      <c r="AI55">
        <v>0</v>
      </c>
      <c r="AJ55">
        <v>11</v>
      </c>
      <c r="AK55">
        <v>11</v>
      </c>
      <c r="AL55" t="s">
        <v>90</v>
      </c>
      <c r="AM55" t="s">
        <v>91</v>
      </c>
      <c r="AN55" t="s">
        <v>92</v>
      </c>
      <c r="AO55" t="s">
        <v>537</v>
      </c>
      <c r="AP55" t="s">
        <v>538</v>
      </c>
      <c r="AQ55" t="s">
        <v>74</v>
      </c>
      <c r="AR55" t="s">
        <v>527</v>
      </c>
      <c r="AS55" t="s">
        <v>539</v>
      </c>
      <c r="AT55" t="s">
        <v>434</v>
      </c>
      <c r="AU55">
        <v>2024</v>
      </c>
      <c r="AV55">
        <v>266</v>
      </c>
      <c r="AW55" t="s">
        <v>74</v>
      </c>
      <c r="AX55">
        <v>2</v>
      </c>
      <c r="AY55" t="s">
        <v>74</v>
      </c>
      <c r="AZ55" t="s">
        <v>74</v>
      </c>
      <c r="BA55" t="s">
        <v>74</v>
      </c>
      <c r="BB55" t="s">
        <v>74</v>
      </c>
      <c r="BC55" t="s">
        <v>74</v>
      </c>
      <c r="BD55">
        <v>125140</v>
      </c>
      <c r="BE55" t="s">
        <v>1129</v>
      </c>
      <c r="BF55" t="str">
        <f>HYPERLINK("http://dx.doi.org/10.1016/j.talanta.2023.125140","http://dx.doi.org/10.1016/j.talanta.2023.125140")</f>
        <v>http://dx.doi.org/10.1016/j.talanta.2023.125140</v>
      </c>
      <c r="BG55" t="s">
        <v>74</v>
      </c>
      <c r="BH55" t="s">
        <v>74</v>
      </c>
      <c r="BI55">
        <v>11</v>
      </c>
      <c r="BJ55" t="s">
        <v>541</v>
      </c>
      <c r="BK55" t="s">
        <v>100</v>
      </c>
      <c r="BL55" t="s">
        <v>395</v>
      </c>
      <c r="BM55" t="s">
        <v>1130</v>
      </c>
      <c r="BN55">
        <v>37659231</v>
      </c>
      <c r="BO55" t="s">
        <v>74</v>
      </c>
      <c r="BP55" t="s">
        <v>74</v>
      </c>
      <c r="BQ55" t="s">
        <v>74</v>
      </c>
      <c r="BR55" t="s">
        <v>104</v>
      </c>
      <c r="BS55" t="s">
        <v>1131</v>
      </c>
      <c r="BT55" t="str">
        <f>HYPERLINK("https%3A%2F%2Fwww.webofscience.com%2Fwos%2Fwoscc%2Ffull-record%2FWOS:001071947800001","View Full Record in Web of Science")</f>
        <v>View Full Record in Web of Science</v>
      </c>
    </row>
    <row r="56" spans="1:72" x14ac:dyDescent="0.15">
      <c r="A56" t="s">
        <v>72</v>
      </c>
      <c r="B56" t="s">
        <v>1132</v>
      </c>
      <c r="C56" t="s">
        <v>74</v>
      </c>
      <c r="D56" t="s">
        <v>74</v>
      </c>
      <c r="E56" t="s">
        <v>74</v>
      </c>
      <c r="F56" t="s">
        <v>1133</v>
      </c>
      <c r="G56" t="s">
        <v>74</v>
      </c>
      <c r="H56" t="s">
        <v>74</v>
      </c>
      <c r="I56" t="s">
        <v>1134</v>
      </c>
      <c r="J56" t="s">
        <v>162</v>
      </c>
      <c r="K56" t="s">
        <v>74</v>
      </c>
      <c r="L56" t="s">
        <v>74</v>
      </c>
      <c r="M56" t="s">
        <v>78</v>
      </c>
      <c r="N56" t="s">
        <v>79</v>
      </c>
      <c r="O56" t="s">
        <v>74</v>
      </c>
      <c r="P56" t="s">
        <v>74</v>
      </c>
      <c r="Q56" t="s">
        <v>74</v>
      </c>
      <c r="R56" t="s">
        <v>74</v>
      </c>
      <c r="S56" t="s">
        <v>74</v>
      </c>
      <c r="T56" t="s">
        <v>1135</v>
      </c>
      <c r="U56" t="s">
        <v>74</v>
      </c>
      <c r="V56" t="s">
        <v>1136</v>
      </c>
      <c r="W56" t="s">
        <v>1137</v>
      </c>
      <c r="X56" t="s">
        <v>1138</v>
      </c>
      <c r="Y56" t="s">
        <v>1139</v>
      </c>
      <c r="Z56" t="s">
        <v>1140</v>
      </c>
      <c r="AA56" t="s">
        <v>74</v>
      </c>
      <c r="AB56" t="s">
        <v>1141</v>
      </c>
      <c r="AC56" t="s">
        <v>1142</v>
      </c>
      <c r="AD56" t="s">
        <v>1143</v>
      </c>
      <c r="AE56" t="s">
        <v>1144</v>
      </c>
      <c r="AF56" t="s">
        <v>74</v>
      </c>
      <c r="AG56">
        <v>35</v>
      </c>
      <c r="AH56">
        <v>0</v>
      </c>
      <c r="AI56">
        <v>0</v>
      </c>
      <c r="AJ56">
        <v>3</v>
      </c>
      <c r="AK56">
        <v>3</v>
      </c>
      <c r="AL56" t="s">
        <v>173</v>
      </c>
      <c r="AM56" t="s">
        <v>121</v>
      </c>
      <c r="AN56" t="s">
        <v>174</v>
      </c>
      <c r="AO56" t="s">
        <v>175</v>
      </c>
      <c r="AP56" t="s">
        <v>176</v>
      </c>
      <c r="AQ56" t="s">
        <v>74</v>
      </c>
      <c r="AR56" t="s">
        <v>177</v>
      </c>
      <c r="AS56" t="s">
        <v>178</v>
      </c>
      <c r="AT56" t="s">
        <v>416</v>
      </c>
      <c r="AU56">
        <v>2024</v>
      </c>
      <c r="AV56">
        <v>235</v>
      </c>
      <c r="AW56" t="s">
        <v>74</v>
      </c>
      <c r="AX56" t="s">
        <v>74</v>
      </c>
      <c r="AY56" t="s">
        <v>74</v>
      </c>
      <c r="AZ56" t="s">
        <v>74</v>
      </c>
      <c r="BA56" t="s">
        <v>74</v>
      </c>
      <c r="BB56" t="s">
        <v>74</v>
      </c>
      <c r="BC56" t="s">
        <v>74</v>
      </c>
      <c r="BD56">
        <v>121065</v>
      </c>
      <c r="BE56" t="s">
        <v>1145</v>
      </c>
      <c r="BF56" t="str">
        <f>HYPERLINK("http://dx.doi.org/10.1016/j.eswa.2023.121065","http://dx.doi.org/10.1016/j.eswa.2023.121065")</f>
        <v>http://dx.doi.org/10.1016/j.eswa.2023.121065</v>
      </c>
      <c r="BG56" t="s">
        <v>74</v>
      </c>
      <c r="BH56" t="s">
        <v>74</v>
      </c>
      <c r="BI56">
        <v>12</v>
      </c>
      <c r="BJ56" t="s">
        <v>180</v>
      </c>
      <c r="BK56" t="s">
        <v>100</v>
      </c>
      <c r="BL56" t="s">
        <v>181</v>
      </c>
      <c r="BM56" t="s">
        <v>1146</v>
      </c>
      <c r="BN56" t="s">
        <v>74</v>
      </c>
      <c r="BO56" t="s">
        <v>74</v>
      </c>
      <c r="BP56" t="s">
        <v>74</v>
      </c>
      <c r="BQ56" t="s">
        <v>74</v>
      </c>
      <c r="BR56" t="s">
        <v>104</v>
      </c>
      <c r="BS56" t="s">
        <v>1147</v>
      </c>
      <c r="BT56" t="str">
        <f>HYPERLINK("https%3A%2F%2Fwww.webofscience.com%2Fwos%2Fwoscc%2Ffull-record%2FWOS:001058878100001","View Full Record in Web of Science")</f>
        <v>View Full Record in Web of Science</v>
      </c>
    </row>
    <row r="57" spans="1:72" x14ac:dyDescent="0.15">
      <c r="A57" t="s">
        <v>72</v>
      </c>
      <c r="B57" t="s">
        <v>1148</v>
      </c>
      <c r="C57" t="s">
        <v>74</v>
      </c>
      <c r="D57" t="s">
        <v>74</v>
      </c>
      <c r="E57" t="s">
        <v>74</v>
      </c>
      <c r="F57" t="s">
        <v>1149</v>
      </c>
      <c r="G57" t="s">
        <v>74</v>
      </c>
      <c r="H57" t="s">
        <v>74</v>
      </c>
      <c r="I57" t="s">
        <v>1150</v>
      </c>
      <c r="J57" t="s">
        <v>464</v>
      </c>
      <c r="K57" t="s">
        <v>74</v>
      </c>
      <c r="L57" t="s">
        <v>74</v>
      </c>
      <c r="M57" t="s">
        <v>78</v>
      </c>
      <c r="N57" t="s">
        <v>79</v>
      </c>
      <c r="O57" t="s">
        <v>74</v>
      </c>
      <c r="P57" t="s">
        <v>74</v>
      </c>
      <c r="Q57" t="s">
        <v>74</v>
      </c>
      <c r="R57" t="s">
        <v>74</v>
      </c>
      <c r="S57" t="s">
        <v>74</v>
      </c>
      <c r="T57" t="s">
        <v>1151</v>
      </c>
      <c r="U57" t="s">
        <v>1152</v>
      </c>
      <c r="V57" t="s">
        <v>1153</v>
      </c>
      <c r="W57" t="s">
        <v>1154</v>
      </c>
      <c r="X57" t="s">
        <v>1155</v>
      </c>
      <c r="Y57" t="s">
        <v>1156</v>
      </c>
      <c r="Z57" t="s">
        <v>1157</v>
      </c>
      <c r="AA57" t="s">
        <v>74</v>
      </c>
      <c r="AB57" t="s">
        <v>74</v>
      </c>
      <c r="AC57" t="s">
        <v>1158</v>
      </c>
      <c r="AD57" t="s">
        <v>252</v>
      </c>
      <c r="AE57" t="s">
        <v>1159</v>
      </c>
      <c r="AF57" t="s">
        <v>74</v>
      </c>
      <c r="AG57">
        <v>41</v>
      </c>
      <c r="AH57">
        <v>0</v>
      </c>
      <c r="AI57">
        <v>0</v>
      </c>
      <c r="AJ57">
        <v>8</v>
      </c>
      <c r="AK57">
        <v>8</v>
      </c>
      <c r="AL57" t="s">
        <v>475</v>
      </c>
      <c r="AM57" t="s">
        <v>476</v>
      </c>
      <c r="AN57" t="s">
        <v>477</v>
      </c>
      <c r="AO57" t="s">
        <v>478</v>
      </c>
      <c r="AP57" t="s">
        <v>479</v>
      </c>
      <c r="AQ57" t="s">
        <v>74</v>
      </c>
      <c r="AR57" t="s">
        <v>480</v>
      </c>
      <c r="AS57" t="s">
        <v>481</v>
      </c>
      <c r="AT57" t="s">
        <v>434</v>
      </c>
      <c r="AU57">
        <v>2024</v>
      </c>
      <c r="AV57">
        <v>529</v>
      </c>
      <c r="AW57">
        <v>1</v>
      </c>
      <c r="AX57" t="s">
        <v>74</v>
      </c>
      <c r="AY57" t="s">
        <v>74</v>
      </c>
      <c r="AZ57" t="s">
        <v>74</v>
      </c>
      <c r="BA57" t="s">
        <v>74</v>
      </c>
      <c r="BB57" t="s">
        <v>74</v>
      </c>
      <c r="BC57" t="s">
        <v>74</v>
      </c>
      <c r="BD57">
        <v>127569</v>
      </c>
      <c r="BE57" t="s">
        <v>1160</v>
      </c>
      <c r="BF57" t="str">
        <f>HYPERLINK("http://dx.doi.org/10.1016/j.jmaa.2023.127569","http://dx.doi.org/10.1016/j.jmaa.2023.127569")</f>
        <v>http://dx.doi.org/10.1016/j.jmaa.2023.127569</v>
      </c>
      <c r="BG57" t="s">
        <v>74</v>
      </c>
      <c r="BH57" t="s">
        <v>74</v>
      </c>
      <c r="BI57">
        <v>23</v>
      </c>
      <c r="BJ57" t="s">
        <v>99</v>
      </c>
      <c r="BK57" t="s">
        <v>100</v>
      </c>
      <c r="BL57" t="s">
        <v>101</v>
      </c>
      <c r="BM57" t="s">
        <v>1161</v>
      </c>
      <c r="BN57" t="s">
        <v>74</v>
      </c>
      <c r="BO57" t="s">
        <v>103</v>
      </c>
      <c r="BP57" t="s">
        <v>74</v>
      </c>
      <c r="BQ57" t="s">
        <v>74</v>
      </c>
      <c r="BR57" t="s">
        <v>104</v>
      </c>
      <c r="BS57" t="s">
        <v>1162</v>
      </c>
      <c r="BT57" t="str">
        <f>HYPERLINK("https%3A%2F%2Fwww.webofscience.com%2Fwos%2Fwoscc%2Ffull-record%2FWOS:001045139700001","View Full Record in Web of Science")</f>
        <v>View Full Record in Web of Science</v>
      </c>
    </row>
    <row r="58" spans="1:72" x14ac:dyDescent="0.15">
      <c r="A58" t="s">
        <v>72</v>
      </c>
      <c r="B58" t="s">
        <v>1163</v>
      </c>
      <c r="C58" t="s">
        <v>74</v>
      </c>
      <c r="D58" t="s">
        <v>74</v>
      </c>
      <c r="E58" t="s">
        <v>74</v>
      </c>
      <c r="F58" t="s">
        <v>1164</v>
      </c>
      <c r="G58" t="s">
        <v>74</v>
      </c>
      <c r="H58" t="s">
        <v>74</v>
      </c>
      <c r="I58" t="s">
        <v>1165</v>
      </c>
      <c r="J58" t="s">
        <v>488</v>
      </c>
      <c r="K58" t="s">
        <v>74</v>
      </c>
      <c r="L58" t="s">
        <v>74</v>
      </c>
      <c r="M58" t="s">
        <v>78</v>
      </c>
      <c r="N58" t="s">
        <v>79</v>
      </c>
      <c r="O58" t="s">
        <v>74</v>
      </c>
      <c r="P58" t="s">
        <v>74</v>
      </c>
      <c r="Q58" t="s">
        <v>74</v>
      </c>
      <c r="R58" t="s">
        <v>74</v>
      </c>
      <c r="S58" t="s">
        <v>74</v>
      </c>
      <c r="T58" t="s">
        <v>1166</v>
      </c>
      <c r="U58" t="s">
        <v>1167</v>
      </c>
      <c r="V58" t="s">
        <v>1168</v>
      </c>
      <c r="W58" t="s">
        <v>1169</v>
      </c>
      <c r="X58" t="s">
        <v>1170</v>
      </c>
      <c r="Y58" t="s">
        <v>1171</v>
      </c>
      <c r="Z58" t="s">
        <v>1172</v>
      </c>
      <c r="AA58" t="s">
        <v>74</v>
      </c>
      <c r="AB58" t="s">
        <v>74</v>
      </c>
      <c r="AC58" t="s">
        <v>1173</v>
      </c>
      <c r="AD58" t="s">
        <v>1174</v>
      </c>
      <c r="AE58" t="s">
        <v>1175</v>
      </c>
      <c r="AF58" t="s">
        <v>74</v>
      </c>
      <c r="AG58">
        <v>44</v>
      </c>
      <c r="AH58">
        <v>0</v>
      </c>
      <c r="AI58">
        <v>0</v>
      </c>
      <c r="AJ58">
        <v>3</v>
      </c>
      <c r="AK58">
        <v>3</v>
      </c>
      <c r="AL58" t="s">
        <v>120</v>
      </c>
      <c r="AM58" t="s">
        <v>121</v>
      </c>
      <c r="AN58" t="s">
        <v>122</v>
      </c>
      <c r="AO58" t="s">
        <v>496</v>
      </c>
      <c r="AP58" t="s">
        <v>497</v>
      </c>
      <c r="AQ58" t="s">
        <v>74</v>
      </c>
      <c r="AR58" t="s">
        <v>498</v>
      </c>
      <c r="AS58" t="s">
        <v>499</v>
      </c>
      <c r="AT58" t="s">
        <v>416</v>
      </c>
      <c r="AU58">
        <v>2024</v>
      </c>
      <c r="AV58">
        <v>168</v>
      </c>
      <c r="AW58" t="s">
        <v>74</v>
      </c>
      <c r="AX58" t="s">
        <v>74</v>
      </c>
      <c r="AY58" t="s">
        <v>74</v>
      </c>
      <c r="AZ58" t="s">
        <v>74</v>
      </c>
      <c r="BA58" t="s">
        <v>74</v>
      </c>
      <c r="BB58" t="s">
        <v>74</v>
      </c>
      <c r="BC58" t="s">
        <v>74</v>
      </c>
      <c r="BD58">
        <v>109768</v>
      </c>
      <c r="BE58" t="s">
        <v>1176</v>
      </c>
      <c r="BF58" t="str">
        <f>HYPERLINK("http://dx.doi.org/10.1016/j.optlastec.2023.109768","http://dx.doi.org/10.1016/j.optlastec.2023.109768")</f>
        <v>http://dx.doi.org/10.1016/j.optlastec.2023.109768</v>
      </c>
      <c r="BG58" t="s">
        <v>74</v>
      </c>
      <c r="BH58" t="s">
        <v>74</v>
      </c>
      <c r="BI58">
        <v>7</v>
      </c>
      <c r="BJ58" t="s">
        <v>501</v>
      </c>
      <c r="BK58" t="s">
        <v>100</v>
      </c>
      <c r="BL58" t="s">
        <v>502</v>
      </c>
      <c r="BM58" t="s">
        <v>1177</v>
      </c>
      <c r="BN58" t="s">
        <v>74</v>
      </c>
      <c r="BO58" t="s">
        <v>504</v>
      </c>
      <c r="BP58" t="s">
        <v>74</v>
      </c>
      <c r="BQ58" t="s">
        <v>74</v>
      </c>
      <c r="BR58" t="s">
        <v>104</v>
      </c>
      <c r="BS58" t="s">
        <v>1178</v>
      </c>
      <c r="BT58" t="str">
        <f>HYPERLINK("https%3A%2F%2Fwww.webofscience.com%2Fwos%2Fwoscc%2Ffull-record%2FWOS:001065929900001","View Full Record in Web of Science")</f>
        <v>View Full Record in Web of Science</v>
      </c>
    </row>
    <row r="59" spans="1:72" x14ac:dyDescent="0.15">
      <c r="A59" t="s">
        <v>72</v>
      </c>
      <c r="B59" t="s">
        <v>1179</v>
      </c>
      <c r="C59" t="s">
        <v>74</v>
      </c>
      <c r="D59" t="s">
        <v>74</v>
      </c>
      <c r="E59" t="s">
        <v>74</v>
      </c>
      <c r="F59" t="s">
        <v>1180</v>
      </c>
      <c r="G59" t="s">
        <v>74</v>
      </c>
      <c r="H59" t="s">
        <v>74</v>
      </c>
      <c r="I59" t="s">
        <v>1181</v>
      </c>
      <c r="J59" t="s">
        <v>109</v>
      </c>
      <c r="K59" t="s">
        <v>74</v>
      </c>
      <c r="L59" t="s">
        <v>74</v>
      </c>
      <c r="M59" t="s">
        <v>78</v>
      </c>
      <c r="N59" t="s">
        <v>79</v>
      </c>
      <c r="O59" t="s">
        <v>74</v>
      </c>
      <c r="P59" t="s">
        <v>74</v>
      </c>
      <c r="Q59" t="s">
        <v>74</v>
      </c>
      <c r="R59" t="s">
        <v>74</v>
      </c>
      <c r="S59" t="s">
        <v>74</v>
      </c>
      <c r="T59" t="s">
        <v>74</v>
      </c>
      <c r="U59" t="s">
        <v>1182</v>
      </c>
      <c r="V59" t="s">
        <v>1183</v>
      </c>
      <c r="W59" t="s">
        <v>1184</v>
      </c>
      <c r="X59" t="s">
        <v>1185</v>
      </c>
      <c r="Y59" t="s">
        <v>1186</v>
      </c>
      <c r="Z59" t="s">
        <v>1187</v>
      </c>
      <c r="AA59" t="s">
        <v>74</v>
      </c>
      <c r="AB59" t="s">
        <v>74</v>
      </c>
      <c r="AC59" t="s">
        <v>1188</v>
      </c>
      <c r="AD59" t="s">
        <v>1189</v>
      </c>
      <c r="AE59" t="s">
        <v>1190</v>
      </c>
      <c r="AF59" t="s">
        <v>74</v>
      </c>
      <c r="AG59">
        <v>40</v>
      </c>
      <c r="AH59">
        <v>0</v>
      </c>
      <c r="AI59">
        <v>0</v>
      </c>
      <c r="AJ59">
        <v>22</v>
      </c>
      <c r="AK59">
        <v>22</v>
      </c>
      <c r="AL59" t="s">
        <v>120</v>
      </c>
      <c r="AM59" t="s">
        <v>121</v>
      </c>
      <c r="AN59" t="s">
        <v>122</v>
      </c>
      <c r="AO59" t="s">
        <v>123</v>
      </c>
      <c r="AP59" t="s">
        <v>124</v>
      </c>
      <c r="AQ59" t="s">
        <v>74</v>
      </c>
      <c r="AR59" t="s">
        <v>125</v>
      </c>
      <c r="AS59" t="s">
        <v>126</v>
      </c>
      <c r="AT59" t="s">
        <v>434</v>
      </c>
      <c r="AU59">
        <v>2024</v>
      </c>
      <c r="AV59">
        <v>430</v>
      </c>
      <c r="AW59" t="s">
        <v>74</v>
      </c>
      <c r="AX59" t="s">
        <v>74</v>
      </c>
      <c r="AY59" t="s">
        <v>74</v>
      </c>
      <c r="AZ59" t="s">
        <v>74</v>
      </c>
      <c r="BA59" t="s">
        <v>74</v>
      </c>
      <c r="BB59" t="s">
        <v>74</v>
      </c>
      <c r="BC59" t="s">
        <v>74</v>
      </c>
      <c r="BD59">
        <v>136988</v>
      </c>
      <c r="BE59" t="s">
        <v>1191</v>
      </c>
      <c r="BF59" t="str">
        <f>HYPERLINK("http://dx.doi.org/10.1016/j.foodchem.2023.136988","http://dx.doi.org/10.1016/j.foodchem.2023.136988")</f>
        <v>http://dx.doi.org/10.1016/j.foodchem.2023.136988</v>
      </c>
      <c r="BG59" t="s">
        <v>74</v>
      </c>
      <c r="BH59" t="s">
        <v>74</v>
      </c>
      <c r="BI59">
        <v>10</v>
      </c>
      <c r="BJ59" t="s">
        <v>129</v>
      </c>
      <c r="BK59" t="s">
        <v>100</v>
      </c>
      <c r="BL59" t="s">
        <v>130</v>
      </c>
      <c r="BM59" t="s">
        <v>1192</v>
      </c>
      <c r="BN59">
        <v>37544154</v>
      </c>
      <c r="BO59" t="s">
        <v>74</v>
      </c>
      <c r="BP59" t="s">
        <v>74</v>
      </c>
      <c r="BQ59" t="s">
        <v>74</v>
      </c>
      <c r="BR59" t="s">
        <v>104</v>
      </c>
      <c r="BS59" t="s">
        <v>1193</v>
      </c>
      <c r="BT59" t="str">
        <f>HYPERLINK("https%3A%2F%2Fwww.webofscience.com%2Fwos%2Fwoscc%2Ffull-record%2FWOS:001053564000001","View Full Record in Web of Science")</f>
        <v>View Full Record in Web of Science</v>
      </c>
    </row>
    <row r="60" spans="1:72" x14ac:dyDescent="0.15">
      <c r="A60" t="s">
        <v>72</v>
      </c>
      <c r="B60" t="s">
        <v>1194</v>
      </c>
      <c r="C60" t="s">
        <v>74</v>
      </c>
      <c r="D60" t="s">
        <v>74</v>
      </c>
      <c r="E60" t="s">
        <v>74</v>
      </c>
      <c r="F60" t="s">
        <v>1195</v>
      </c>
      <c r="G60" t="s">
        <v>74</v>
      </c>
      <c r="H60" t="s">
        <v>74</v>
      </c>
      <c r="I60" t="s">
        <v>1196</v>
      </c>
      <c r="J60" t="s">
        <v>488</v>
      </c>
      <c r="K60" t="s">
        <v>74</v>
      </c>
      <c r="L60" t="s">
        <v>74</v>
      </c>
      <c r="M60" t="s">
        <v>78</v>
      </c>
      <c r="N60" t="s">
        <v>79</v>
      </c>
      <c r="O60" t="s">
        <v>74</v>
      </c>
      <c r="P60" t="s">
        <v>74</v>
      </c>
      <c r="Q60" t="s">
        <v>74</v>
      </c>
      <c r="R60" t="s">
        <v>74</v>
      </c>
      <c r="S60" t="s">
        <v>74</v>
      </c>
      <c r="T60" t="s">
        <v>1197</v>
      </c>
      <c r="U60" t="s">
        <v>1198</v>
      </c>
      <c r="V60" t="s">
        <v>1199</v>
      </c>
      <c r="W60" t="s">
        <v>1200</v>
      </c>
      <c r="X60" t="s">
        <v>1201</v>
      </c>
      <c r="Y60" t="s">
        <v>1202</v>
      </c>
      <c r="Z60" t="s">
        <v>1203</v>
      </c>
      <c r="AA60" t="s">
        <v>74</v>
      </c>
      <c r="AB60" t="s">
        <v>74</v>
      </c>
      <c r="AC60" t="s">
        <v>1204</v>
      </c>
      <c r="AD60" t="s">
        <v>1205</v>
      </c>
      <c r="AE60" t="s">
        <v>1206</v>
      </c>
      <c r="AF60" t="s">
        <v>74</v>
      </c>
      <c r="AG60">
        <v>43</v>
      </c>
      <c r="AH60">
        <v>0</v>
      </c>
      <c r="AI60">
        <v>0</v>
      </c>
      <c r="AJ60">
        <v>4</v>
      </c>
      <c r="AK60">
        <v>4</v>
      </c>
      <c r="AL60" t="s">
        <v>120</v>
      </c>
      <c r="AM60" t="s">
        <v>121</v>
      </c>
      <c r="AN60" t="s">
        <v>122</v>
      </c>
      <c r="AO60" t="s">
        <v>496</v>
      </c>
      <c r="AP60" t="s">
        <v>497</v>
      </c>
      <c r="AQ60" t="s">
        <v>74</v>
      </c>
      <c r="AR60" t="s">
        <v>498</v>
      </c>
      <c r="AS60" t="s">
        <v>499</v>
      </c>
      <c r="AT60" t="s">
        <v>416</v>
      </c>
      <c r="AU60">
        <v>2024</v>
      </c>
      <c r="AV60">
        <v>168</v>
      </c>
      <c r="AW60" t="s">
        <v>74</v>
      </c>
      <c r="AX60" t="s">
        <v>74</v>
      </c>
      <c r="AY60" t="s">
        <v>74</v>
      </c>
      <c r="AZ60" t="s">
        <v>74</v>
      </c>
      <c r="BA60" t="s">
        <v>74</v>
      </c>
      <c r="BB60" t="s">
        <v>74</v>
      </c>
      <c r="BC60" t="s">
        <v>74</v>
      </c>
      <c r="BD60">
        <v>109842</v>
      </c>
      <c r="BE60" t="s">
        <v>1207</v>
      </c>
      <c r="BF60" t="str">
        <f>HYPERLINK("http://dx.doi.org/10.1016/j.optlastec.2023.109842","http://dx.doi.org/10.1016/j.optlastec.2023.109842")</f>
        <v>http://dx.doi.org/10.1016/j.optlastec.2023.109842</v>
      </c>
      <c r="BG60" t="s">
        <v>74</v>
      </c>
      <c r="BH60" t="s">
        <v>74</v>
      </c>
      <c r="BI60">
        <v>14</v>
      </c>
      <c r="BJ60" t="s">
        <v>501</v>
      </c>
      <c r="BK60" t="s">
        <v>100</v>
      </c>
      <c r="BL60" t="s">
        <v>502</v>
      </c>
      <c r="BM60" t="s">
        <v>1208</v>
      </c>
      <c r="BN60" t="s">
        <v>74</v>
      </c>
      <c r="BO60" t="s">
        <v>504</v>
      </c>
      <c r="BP60" t="s">
        <v>74</v>
      </c>
      <c r="BQ60" t="s">
        <v>74</v>
      </c>
      <c r="BR60" t="s">
        <v>104</v>
      </c>
      <c r="BS60" t="s">
        <v>1209</v>
      </c>
      <c r="BT60" t="str">
        <f>HYPERLINK("https%3A%2F%2Fwww.webofscience.com%2Fwos%2Fwoscc%2Ffull-record%2FWOS:001054973400001","View Full Record in Web of Science")</f>
        <v>View Full Record in Web of Science</v>
      </c>
    </row>
    <row r="61" spans="1:72" x14ac:dyDescent="0.15">
      <c r="A61" t="s">
        <v>72</v>
      </c>
      <c r="B61" t="s">
        <v>1210</v>
      </c>
      <c r="C61" t="s">
        <v>74</v>
      </c>
      <c r="D61" t="s">
        <v>74</v>
      </c>
      <c r="E61" t="s">
        <v>74</v>
      </c>
      <c r="F61" t="s">
        <v>1211</v>
      </c>
      <c r="G61" t="s">
        <v>74</v>
      </c>
      <c r="H61" t="s">
        <v>74</v>
      </c>
      <c r="I61" t="s">
        <v>1212</v>
      </c>
      <c r="J61" t="s">
        <v>488</v>
      </c>
      <c r="K61" t="s">
        <v>74</v>
      </c>
      <c r="L61" t="s">
        <v>74</v>
      </c>
      <c r="M61" t="s">
        <v>78</v>
      </c>
      <c r="N61" t="s">
        <v>79</v>
      </c>
      <c r="O61" t="s">
        <v>74</v>
      </c>
      <c r="P61" t="s">
        <v>74</v>
      </c>
      <c r="Q61" t="s">
        <v>74</v>
      </c>
      <c r="R61" t="s">
        <v>74</v>
      </c>
      <c r="S61" t="s">
        <v>74</v>
      </c>
      <c r="T61" t="s">
        <v>1213</v>
      </c>
      <c r="U61" t="s">
        <v>1214</v>
      </c>
      <c r="V61" t="s">
        <v>1215</v>
      </c>
      <c r="W61" t="s">
        <v>1216</v>
      </c>
      <c r="X61" t="s">
        <v>1217</v>
      </c>
      <c r="Y61" t="s">
        <v>1218</v>
      </c>
      <c r="Z61" t="s">
        <v>1219</v>
      </c>
      <c r="AA61" t="s">
        <v>74</v>
      </c>
      <c r="AB61" t="s">
        <v>1220</v>
      </c>
      <c r="AC61" t="s">
        <v>1221</v>
      </c>
      <c r="AD61" t="s">
        <v>1222</v>
      </c>
      <c r="AE61" t="s">
        <v>1223</v>
      </c>
      <c r="AF61" t="s">
        <v>74</v>
      </c>
      <c r="AG61">
        <v>38</v>
      </c>
      <c r="AH61">
        <v>0</v>
      </c>
      <c r="AI61">
        <v>0</v>
      </c>
      <c r="AJ61">
        <v>16</v>
      </c>
      <c r="AK61">
        <v>16</v>
      </c>
      <c r="AL61" t="s">
        <v>120</v>
      </c>
      <c r="AM61" t="s">
        <v>121</v>
      </c>
      <c r="AN61" t="s">
        <v>122</v>
      </c>
      <c r="AO61" t="s">
        <v>496</v>
      </c>
      <c r="AP61" t="s">
        <v>497</v>
      </c>
      <c r="AQ61" t="s">
        <v>74</v>
      </c>
      <c r="AR61" t="s">
        <v>498</v>
      </c>
      <c r="AS61" t="s">
        <v>499</v>
      </c>
      <c r="AT61" t="s">
        <v>416</v>
      </c>
      <c r="AU61">
        <v>2024</v>
      </c>
      <c r="AV61">
        <v>168</v>
      </c>
      <c r="AW61" t="s">
        <v>74</v>
      </c>
      <c r="AX61" t="s">
        <v>74</v>
      </c>
      <c r="AY61" t="s">
        <v>74</v>
      </c>
      <c r="AZ61" t="s">
        <v>74</v>
      </c>
      <c r="BA61" t="s">
        <v>74</v>
      </c>
      <c r="BB61" t="s">
        <v>74</v>
      </c>
      <c r="BC61" t="s">
        <v>74</v>
      </c>
      <c r="BD61">
        <v>10993</v>
      </c>
      <c r="BE61" t="s">
        <v>1224</v>
      </c>
      <c r="BF61" t="str">
        <f>HYPERLINK("http://dx.doi.org/10.1016/j.optlastec.2023.109865","http://dx.doi.org/10.1016/j.optlastec.2023.109865")</f>
        <v>http://dx.doi.org/10.1016/j.optlastec.2023.109865</v>
      </c>
      <c r="BG61" t="s">
        <v>74</v>
      </c>
      <c r="BH61" t="s">
        <v>74</v>
      </c>
      <c r="BI61">
        <v>7</v>
      </c>
      <c r="BJ61" t="s">
        <v>501</v>
      </c>
      <c r="BK61" t="s">
        <v>100</v>
      </c>
      <c r="BL61" t="s">
        <v>502</v>
      </c>
      <c r="BM61" t="s">
        <v>1225</v>
      </c>
      <c r="BN61" t="s">
        <v>74</v>
      </c>
      <c r="BO61" t="s">
        <v>504</v>
      </c>
      <c r="BP61" t="s">
        <v>74</v>
      </c>
      <c r="BQ61" t="s">
        <v>74</v>
      </c>
      <c r="BR61" t="s">
        <v>104</v>
      </c>
      <c r="BS61" t="s">
        <v>1226</v>
      </c>
      <c r="BT61" t="str">
        <f>HYPERLINK("https%3A%2F%2Fwww.webofscience.com%2Fwos%2Fwoscc%2Ffull-record%2FWOS:001053936100001","View Full Record in Web of Science")</f>
        <v>View Full Record in Web of Science</v>
      </c>
    </row>
    <row r="62" spans="1:72" x14ac:dyDescent="0.15">
      <c r="A62" t="s">
        <v>72</v>
      </c>
      <c r="B62" t="s">
        <v>1227</v>
      </c>
      <c r="C62" t="s">
        <v>74</v>
      </c>
      <c r="D62" t="s">
        <v>74</v>
      </c>
      <c r="E62" t="s">
        <v>74</v>
      </c>
      <c r="F62" t="s">
        <v>1228</v>
      </c>
      <c r="G62" t="s">
        <v>74</v>
      </c>
      <c r="H62" t="s">
        <v>74</v>
      </c>
      <c r="I62" t="s">
        <v>1229</v>
      </c>
      <c r="J62" t="s">
        <v>261</v>
      </c>
      <c r="K62" t="s">
        <v>74</v>
      </c>
      <c r="L62" t="s">
        <v>74</v>
      </c>
      <c r="M62" t="s">
        <v>78</v>
      </c>
      <c r="N62" t="s">
        <v>79</v>
      </c>
      <c r="O62" t="s">
        <v>74</v>
      </c>
      <c r="P62" t="s">
        <v>74</v>
      </c>
      <c r="Q62" t="s">
        <v>74</v>
      </c>
      <c r="R62" t="s">
        <v>74</v>
      </c>
      <c r="S62" t="s">
        <v>74</v>
      </c>
      <c r="T62" t="s">
        <v>1230</v>
      </c>
      <c r="U62" t="s">
        <v>1231</v>
      </c>
      <c r="V62" t="s">
        <v>1232</v>
      </c>
      <c r="W62" t="s">
        <v>1233</v>
      </c>
      <c r="X62" t="s">
        <v>1234</v>
      </c>
      <c r="Y62" t="s">
        <v>1235</v>
      </c>
      <c r="Z62" t="s">
        <v>1236</v>
      </c>
      <c r="AA62" t="s">
        <v>74</v>
      </c>
      <c r="AB62" t="s">
        <v>1237</v>
      </c>
      <c r="AC62" t="s">
        <v>1238</v>
      </c>
      <c r="AD62" t="s">
        <v>1239</v>
      </c>
      <c r="AE62" t="s">
        <v>1240</v>
      </c>
      <c r="AF62" t="s">
        <v>74</v>
      </c>
      <c r="AG62">
        <v>53</v>
      </c>
      <c r="AH62">
        <v>0</v>
      </c>
      <c r="AI62">
        <v>0</v>
      </c>
      <c r="AJ62">
        <v>1</v>
      </c>
      <c r="AK62">
        <v>1</v>
      </c>
      <c r="AL62" t="s">
        <v>120</v>
      </c>
      <c r="AM62" t="s">
        <v>121</v>
      </c>
      <c r="AN62" t="s">
        <v>122</v>
      </c>
      <c r="AO62" t="s">
        <v>272</v>
      </c>
      <c r="AP62" t="s">
        <v>273</v>
      </c>
      <c r="AQ62" t="s">
        <v>74</v>
      </c>
      <c r="AR62" t="s">
        <v>261</v>
      </c>
      <c r="AS62" t="s">
        <v>274</v>
      </c>
      <c r="AT62" t="s">
        <v>434</v>
      </c>
      <c r="AU62">
        <v>2024</v>
      </c>
      <c r="AV62">
        <v>355</v>
      </c>
      <c r="AW62" t="s">
        <v>74</v>
      </c>
      <c r="AX62" t="s">
        <v>74</v>
      </c>
      <c r="AY62" t="s">
        <v>74</v>
      </c>
      <c r="AZ62" t="s">
        <v>74</v>
      </c>
      <c r="BA62" t="s">
        <v>74</v>
      </c>
      <c r="BB62" t="s">
        <v>74</v>
      </c>
      <c r="BC62" t="s">
        <v>74</v>
      </c>
      <c r="BD62">
        <v>129452</v>
      </c>
      <c r="BE62" t="s">
        <v>1241</v>
      </c>
      <c r="BF62" t="str">
        <f>HYPERLINK("http://dx.doi.org/10.1016/j.fuel.2023.129452","http://dx.doi.org/10.1016/j.fuel.2023.129452")</f>
        <v>http://dx.doi.org/10.1016/j.fuel.2023.129452</v>
      </c>
      <c r="BG62" t="s">
        <v>74</v>
      </c>
      <c r="BH62" t="s">
        <v>74</v>
      </c>
      <c r="BI62">
        <v>13</v>
      </c>
      <c r="BJ62" t="s">
        <v>276</v>
      </c>
      <c r="BK62" t="s">
        <v>100</v>
      </c>
      <c r="BL62" t="s">
        <v>277</v>
      </c>
      <c r="BM62" t="s">
        <v>1242</v>
      </c>
      <c r="BN62" t="s">
        <v>74</v>
      </c>
      <c r="BO62" t="s">
        <v>504</v>
      </c>
      <c r="BP62" t="s">
        <v>74</v>
      </c>
      <c r="BQ62" t="s">
        <v>74</v>
      </c>
      <c r="BR62" t="s">
        <v>104</v>
      </c>
      <c r="BS62" t="s">
        <v>1243</v>
      </c>
      <c r="BT62" t="str">
        <f>HYPERLINK("https%3A%2F%2Fwww.webofscience.com%2Fwos%2Fwoscc%2Ffull-record%2FWOS:001061638400001","View Full Record in Web of Science")</f>
        <v>View Full Record in Web of Science</v>
      </c>
    </row>
    <row r="63" spans="1:72" x14ac:dyDescent="0.15">
      <c r="A63" t="s">
        <v>72</v>
      </c>
      <c r="B63" t="s">
        <v>1244</v>
      </c>
      <c r="C63" t="s">
        <v>74</v>
      </c>
      <c r="D63" t="s">
        <v>74</v>
      </c>
      <c r="E63" t="s">
        <v>74</v>
      </c>
      <c r="F63" t="s">
        <v>1245</v>
      </c>
      <c r="G63" t="s">
        <v>74</v>
      </c>
      <c r="H63" t="s">
        <v>74</v>
      </c>
      <c r="I63" t="s">
        <v>1246</v>
      </c>
      <c r="J63" t="s">
        <v>162</v>
      </c>
      <c r="K63" t="s">
        <v>74</v>
      </c>
      <c r="L63" t="s">
        <v>74</v>
      </c>
      <c r="M63" t="s">
        <v>78</v>
      </c>
      <c r="N63" t="s">
        <v>79</v>
      </c>
      <c r="O63" t="s">
        <v>74</v>
      </c>
      <c r="P63" t="s">
        <v>74</v>
      </c>
      <c r="Q63" t="s">
        <v>74</v>
      </c>
      <c r="R63" t="s">
        <v>74</v>
      </c>
      <c r="S63" t="s">
        <v>74</v>
      </c>
      <c r="T63" t="s">
        <v>1247</v>
      </c>
      <c r="U63" t="s">
        <v>74</v>
      </c>
      <c r="V63" t="s">
        <v>1248</v>
      </c>
      <c r="W63" t="s">
        <v>1249</v>
      </c>
      <c r="X63" t="s">
        <v>1250</v>
      </c>
      <c r="Y63" t="s">
        <v>1251</v>
      </c>
      <c r="Z63" t="s">
        <v>1252</v>
      </c>
      <c r="AA63" t="s">
        <v>1253</v>
      </c>
      <c r="AB63" t="s">
        <v>1254</v>
      </c>
      <c r="AC63" t="s">
        <v>74</v>
      </c>
      <c r="AD63" t="s">
        <v>74</v>
      </c>
      <c r="AE63" t="s">
        <v>74</v>
      </c>
      <c r="AF63" t="s">
        <v>74</v>
      </c>
      <c r="AG63">
        <v>48</v>
      </c>
      <c r="AH63">
        <v>0</v>
      </c>
      <c r="AI63">
        <v>0</v>
      </c>
      <c r="AJ63">
        <v>9</v>
      </c>
      <c r="AK63">
        <v>9</v>
      </c>
      <c r="AL63" t="s">
        <v>173</v>
      </c>
      <c r="AM63" t="s">
        <v>121</v>
      </c>
      <c r="AN63" t="s">
        <v>174</v>
      </c>
      <c r="AO63" t="s">
        <v>175</v>
      </c>
      <c r="AP63" t="s">
        <v>176</v>
      </c>
      <c r="AQ63" t="s">
        <v>74</v>
      </c>
      <c r="AR63" t="s">
        <v>177</v>
      </c>
      <c r="AS63" t="s">
        <v>178</v>
      </c>
      <c r="AT63" t="s">
        <v>1255</v>
      </c>
      <c r="AU63">
        <v>2023</v>
      </c>
      <c r="AV63">
        <v>234</v>
      </c>
      <c r="AW63" t="s">
        <v>74</v>
      </c>
      <c r="AX63" t="s">
        <v>74</v>
      </c>
      <c r="AY63" t="s">
        <v>74</v>
      </c>
      <c r="AZ63" t="s">
        <v>74</v>
      </c>
      <c r="BA63" t="s">
        <v>74</v>
      </c>
      <c r="BB63" t="s">
        <v>74</v>
      </c>
      <c r="BC63" t="s">
        <v>74</v>
      </c>
      <c r="BD63">
        <v>121000</v>
      </c>
      <c r="BE63" t="s">
        <v>1256</v>
      </c>
      <c r="BF63" t="str">
        <f>HYPERLINK("http://dx.doi.org/10.1016/j.eswa.2023.121000","http://dx.doi.org/10.1016/j.eswa.2023.121000")</f>
        <v>http://dx.doi.org/10.1016/j.eswa.2023.121000</v>
      </c>
      <c r="BG63" t="s">
        <v>74</v>
      </c>
      <c r="BH63" t="s">
        <v>74</v>
      </c>
      <c r="BI63">
        <v>11</v>
      </c>
      <c r="BJ63" t="s">
        <v>180</v>
      </c>
      <c r="BK63" t="s">
        <v>100</v>
      </c>
      <c r="BL63" t="s">
        <v>181</v>
      </c>
      <c r="BM63" t="s">
        <v>1257</v>
      </c>
      <c r="BN63" t="s">
        <v>74</v>
      </c>
      <c r="BO63" t="s">
        <v>74</v>
      </c>
      <c r="BP63" t="s">
        <v>74</v>
      </c>
      <c r="BQ63" t="s">
        <v>74</v>
      </c>
      <c r="BR63" t="s">
        <v>104</v>
      </c>
      <c r="BS63" t="s">
        <v>1258</v>
      </c>
      <c r="BT63" t="str">
        <f>HYPERLINK("https%3A%2F%2Fwww.webofscience.com%2Fwos%2Fwoscc%2Ffull-record%2FWOS:001051719400001","View Full Record in Web of Science")</f>
        <v>View Full Record in Web of Science</v>
      </c>
    </row>
    <row r="64" spans="1:72" x14ac:dyDescent="0.15">
      <c r="A64" t="s">
        <v>72</v>
      </c>
      <c r="B64" t="s">
        <v>1259</v>
      </c>
      <c r="C64" t="s">
        <v>74</v>
      </c>
      <c r="D64" t="s">
        <v>74</v>
      </c>
      <c r="E64" t="s">
        <v>74</v>
      </c>
      <c r="F64" t="s">
        <v>1260</v>
      </c>
      <c r="G64" t="s">
        <v>74</v>
      </c>
      <c r="H64" t="s">
        <v>74</v>
      </c>
      <c r="I64" t="s">
        <v>1261</v>
      </c>
      <c r="J64" t="s">
        <v>162</v>
      </c>
      <c r="K64" t="s">
        <v>74</v>
      </c>
      <c r="L64" t="s">
        <v>74</v>
      </c>
      <c r="M64" t="s">
        <v>78</v>
      </c>
      <c r="N64" t="s">
        <v>79</v>
      </c>
      <c r="O64" t="s">
        <v>74</v>
      </c>
      <c r="P64" t="s">
        <v>74</v>
      </c>
      <c r="Q64" t="s">
        <v>74</v>
      </c>
      <c r="R64" t="s">
        <v>74</v>
      </c>
      <c r="S64" t="s">
        <v>74</v>
      </c>
      <c r="T64" t="s">
        <v>1262</v>
      </c>
      <c r="U64" t="s">
        <v>1263</v>
      </c>
      <c r="V64" t="s">
        <v>1264</v>
      </c>
      <c r="W64" t="s">
        <v>1265</v>
      </c>
      <c r="X64" t="s">
        <v>1266</v>
      </c>
      <c r="Y64" t="s">
        <v>1267</v>
      </c>
      <c r="Z64" t="s">
        <v>1268</v>
      </c>
      <c r="AA64" t="s">
        <v>74</v>
      </c>
      <c r="AB64" t="s">
        <v>1269</v>
      </c>
      <c r="AC64" t="s">
        <v>1270</v>
      </c>
      <c r="AD64" t="s">
        <v>1271</v>
      </c>
      <c r="AE64" t="s">
        <v>1272</v>
      </c>
      <c r="AF64" t="s">
        <v>74</v>
      </c>
      <c r="AG64">
        <v>34</v>
      </c>
      <c r="AH64">
        <v>0</v>
      </c>
      <c r="AI64">
        <v>0</v>
      </c>
      <c r="AJ64">
        <v>0</v>
      </c>
      <c r="AK64">
        <v>0</v>
      </c>
      <c r="AL64" t="s">
        <v>173</v>
      </c>
      <c r="AM64" t="s">
        <v>121</v>
      </c>
      <c r="AN64" t="s">
        <v>174</v>
      </c>
      <c r="AO64" t="s">
        <v>175</v>
      </c>
      <c r="AP64" t="s">
        <v>176</v>
      </c>
      <c r="AQ64" t="s">
        <v>74</v>
      </c>
      <c r="AR64" t="s">
        <v>177</v>
      </c>
      <c r="AS64" t="s">
        <v>178</v>
      </c>
      <c r="AT64" t="s">
        <v>1255</v>
      </c>
      <c r="AU64">
        <v>2023</v>
      </c>
      <c r="AV64">
        <v>234</v>
      </c>
      <c r="AW64" t="s">
        <v>74</v>
      </c>
      <c r="AX64" t="s">
        <v>74</v>
      </c>
      <c r="AY64" t="s">
        <v>74</v>
      </c>
      <c r="AZ64" t="s">
        <v>74</v>
      </c>
      <c r="BA64" t="s">
        <v>74</v>
      </c>
      <c r="BB64" t="s">
        <v>74</v>
      </c>
      <c r="BC64" t="s">
        <v>74</v>
      </c>
      <c r="BD64">
        <v>121017</v>
      </c>
      <c r="BE64" t="s">
        <v>1273</v>
      </c>
      <c r="BF64" t="str">
        <f>HYPERLINK("http://dx.doi.org/10.1016/j.eswa.2023.121017","http://dx.doi.org/10.1016/j.eswa.2023.121017")</f>
        <v>http://dx.doi.org/10.1016/j.eswa.2023.121017</v>
      </c>
      <c r="BG64" t="s">
        <v>74</v>
      </c>
      <c r="BH64" t="s">
        <v>74</v>
      </c>
      <c r="BI64">
        <v>13</v>
      </c>
      <c r="BJ64" t="s">
        <v>180</v>
      </c>
      <c r="BK64" t="s">
        <v>100</v>
      </c>
      <c r="BL64" t="s">
        <v>181</v>
      </c>
      <c r="BM64" t="s">
        <v>1274</v>
      </c>
      <c r="BN64" t="s">
        <v>74</v>
      </c>
      <c r="BO64" t="s">
        <v>74</v>
      </c>
      <c r="BP64" t="s">
        <v>74</v>
      </c>
      <c r="BQ64" t="s">
        <v>74</v>
      </c>
      <c r="BR64" t="s">
        <v>104</v>
      </c>
      <c r="BS64" t="s">
        <v>1275</v>
      </c>
      <c r="BT64" t="str">
        <f>HYPERLINK("https%3A%2F%2Fwww.webofscience.com%2Fwos%2Fwoscc%2Ffull-record%2FWOS:001059493800001","View Full Record in Web of Science")</f>
        <v>View Full Record in Web of Science</v>
      </c>
    </row>
    <row r="65" spans="1:72" x14ac:dyDescent="0.15">
      <c r="A65" t="s">
        <v>72</v>
      </c>
      <c r="B65" t="s">
        <v>1276</v>
      </c>
      <c r="C65" t="s">
        <v>74</v>
      </c>
      <c r="D65" t="s">
        <v>74</v>
      </c>
      <c r="E65" t="s">
        <v>74</v>
      </c>
      <c r="F65" t="s">
        <v>1277</v>
      </c>
      <c r="G65" t="s">
        <v>74</v>
      </c>
      <c r="H65" t="s">
        <v>74</v>
      </c>
      <c r="I65" t="s">
        <v>1278</v>
      </c>
      <c r="J65" t="s">
        <v>162</v>
      </c>
      <c r="K65" t="s">
        <v>74</v>
      </c>
      <c r="L65" t="s">
        <v>74</v>
      </c>
      <c r="M65" t="s">
        <v>78</v>
      </c>
      <c r="N65" t="s">
        <v>79</v>
      </c>
      <c r="O65" t="s">
        <v>74</v>
      </c>
      <c r="P65" t="s">
        <v>74</v>
      </c>
      <c r="Q65" t="s">
        <v>74</v>
      </c>
      <c r="R65" t="s">
        <v>74</v>
      </c>
      <c r="S65" t="s">
        <v>74</v>
      </c>
      <c r="T65" t="s">
        <v>1279</v>
      </c>
      <c r="U65" t="s">
        <v>1280</v>
      </c>
      <c r="V65" t="s">
        <v>1281</v>
      </c>
      <c r="W65" t="s">
        <v>1282</v>
      </c>
      <c r="X65" t="s">
        <v>1283</v>
      </c>
      <c r="Y65" t="s">
        <v>1284</v>
      </c>
      <c r="Z65" t="s">
        <v>1285</v>
      </c>
      <c r="AA65" t="s">
        <v>74</v>
      </c>
      <c r="AB65" t="s">
        <v>1286</v>
      </c>
      <c r="AC65" t="s">
        <v>1287</v>
      </c>
      <c r="AD65" t="s">
        <v>1288</v>
      </c>
      <c r="AE65" t="s">
        <v>1289</v>
      </c>
      <c r="AF65" t="s">
        <v>74</v>
      </c>
      <c r="AG65">
        <v>66</v>
      </c>
      <c r="AH65">
        <v>0</v>
      </c>
      <c r="AI65">
        <v>0</v>
      </c>
      <c r="AJ65">
        <v>4</v>
      </c>
      <c r="AK65">
        <v>4</v>
      </c>
      <c r="AL65" t="s">
        <v>173</v>
      </c>
      <c r="AM65" t="s">
        <v>121</v>
      </c>
      <c r="AN65" t="s">
        <v>174</v>
      </c>
      <c r="AO65" t="s">
        <v>175</v>
      </c>
      <c r="AP65" t="s">
        <v>176</v>
      </c>
      <c r="AQ65" t="s">
        <v>74</v>
      </c>
      <c r="AR65" t="s">
        <v>177</v>
      </c>
      <c r="AS65" t="s">
        <v>178</v>
      </c>
      <c r="AT65" t="s">
        <v>1255</v>
      </c>
      <c r="AU65">
        <v>2023</v>
      </c>
      <c r="AV65">
        <v>234</v>
      </c>
      <c r="AW65" t="s">
        <v>74</v>
      </c>
      <c r="AX65" t="s">
        <v>74</v>
      </c>
      <c r="AY65" t="s">
        <v>74</v>
      </c>
      <c r="AZ65" t="s">
        <v>74</v>
      </c>
      <c r="BA65" t="s">
        <v>74</v>
      </c>
      <c r="BB65" t="s">
        <v>74</v>
      </c>
      <c r="BC65" t="s">
        <v>74</v>
      </c>
      <c r="BD65">
        <v>121159</v>
      </c>
      <c r="BE65" t="s">
        <v>1290</v>
      </c>
      <c r="BF65" t="str">
        <f>HYPERLINK("http://dx.doi.org/10.1016/j.eswa.2023.121159","http://dx.doi.org/10.1016/j.eswa.2023.121159")</f>
        <v>http://dx.doi.org/10.1016/j.eswa.2023.121159</v>
      </c>
      <c r="BG65" t="s">
        <v>74</v>
      </c>
      <c r="BH65" t="s">
        <v>74</v>
      </c>
      <c r="BI65">
        <v>14</v>
      </c>
      <c r="BJ65" t="s">
        <v>180</v>
      </c>
      <c r="BK65" t="s">
        <v>100</v>
      </c>
      <c r="BL65" t="s">
        <v>181</v>
      </c>
      <c r="BM65" t="s">
        <v>1291</v>
      </c>
      <c r="BN65" t="s">
        <v>74</v>
      </c>
      <c r="BO65" t="s">
        <v>74</v>
      </c>
      <c r="BP65" t="s">
        <v>74</v>
      </c>
      <c r="BQ65" t="s">
        <v>74</v>
      </c>
      <c r="BR65" t="s">
        <v>104</v>
      </c>
      <c r="BS65" t="s">
        <v>1292</v>
      </c>
      <c r="BT65" t="str">
        <f>HYPERLINK("https%3A%2F%2Fwww.webofscience.com%2Fwos%2Fwoscc%2Ffull-record%2FWOS:001061141400001","View Full Record in Web of Science")</f>
        <v>View Full Record in Web of Science</v>
      </c>
    </row>
    <row r="66" spans="1:72" x14ac:dyDescent="0.15">
      <c r="A66" t="s">
        <v>72</v>
      </c>
      <c r="B66" t="s">
        <v>1293</v>
      </c>
      <c r="C66" t="s">
        <v>74</v>
      </c>
      <c r="D66" t="s">
        <v>74</v>
      </c>
      <c r="E66" t="s">
        <v>74</v>
      </c>
      <c r="F66" t="s">
        <v>1294</v>
      </c>
      <c r="G66" t="s">
        <v>74</v>
      </c>
      <c r="H66" t="s">
        <v>74</v>
      </c>
      <c r="I66" t="s">
        <v>1295</v>
      </c>
      <c r="J66" t="s">
        <v>162</v>
      </c>
      <c r="K66" t="s">
        <v>74</v>
      </c>
      <c r="L66" t="s">
        <v>74</v>
      </c>
      <c r="M66" t="s">
        <v>78</v>
      </c>
      <c r="N66" t="s">
        <v>79</v>
      </c>
      <c r="O66" t="s">
        <v>74</v>
      </c>
      <c r="P66" t="s">
        <v>74</v>
      </c>
      <c r="Q66" t="s">
        <v>74</v>
      </c>
      <c r="R66" t="s">
        <v>74</v>
      </c>
      <c r="S66" t="s">
        <v>74</v>
      </c>
      <c r="T66" t="s">
        <v>1296</v>
      </c>
      <c r="U66" t="s">
        <v>1297</v>
      </c>
      <c r="V66" t="s">
        <v>1298</v>
      </c>
      <c r="W66" t="s">
        <v>1299</v>
      </c>
      <c r="X66" t="s">
        <v>1300</v>
      </c>
      <c r="Y66" t="s">
        <v>1301</v>
      </c>
      <c r="Z66" t="s">
        <v>1302</v>
      </c>
      <c r="AA66" t="s">
        <v>1303</v>
      </c>
      <c r="AB66" t="s">
        <v>1304</v>
      </c>
      <c r="AC66" t="s">
        <v>74</v>
      </c>
      <c r="AD66" t="s">
        <v>74</v>
      </c>
      <c r="AE66" t="s">
        <v>74</v>
      </c>
      <c r="AF66" t="s">
        <v>74</v>
      </c>
      <c r="AG66">
        <v>41</v>
      </c>
      <c r="AH66">
        <v>0</v>
      </c>
      <c r="AI66">
        <v>0</v>
      </c>
      <c r="AJ66">
        <v>7</v>
      </c>
      <c r="AK66">
        <v>7</v>
      </c>
      <c r="AL66" t="s">
        <v>173</v>
      </c>
      <c r="AM66" t="s">
        <v>121</v>
      </c>
      <c r="AN66" t="s">
        <v>174</v>
      </c>
      <c r="AO66" t="s">
        <v>175</v>
      </c>
      <c r="AP66" t="s">
        <v>176</v>
      </c>
      <c r="AQ66" t="s">
        <v>74</v>
      </c>
      <c r="AR66" t="s">
        <v>177</v>
      </c>
      <c r="AS66" t="s">
        <v>178</v>
      </c>
      <c r="AT66" t="s">
        <v>1255</v>
      </c>
      <c r="AU66">
        <v>2023</v>
      </c>
      <c r="AV66">
        <v>234</v>
      </c>
      <c r="AW66" t="s">
        <v>74</v>
      </c>
      <c r="AX66" t="s">
        <v>74</v>
      </c>
      <c r="AY66" t="s">
        <v>74</v>
      </c>
      <c r="AZ66" t="s">
        <v>74</v>
      </c>
      <c r="BA66" t="s">
        <v>74</v>
      </c>
      <c r="BB66" t="s">
        <v>74</v>
      </c>
      <c r="BC66" t="s">
        <v>74</v>
      </c>
      <c r="BD66">
        <v>121048</v>
      </c>
      <c r="BE66" t="s">
        <v>1305</v>
      </c>
      <c r="BF66" t="str">
        <f>HYPERLINK("http://dx.doi.org/10.1016/j.eswa.2023.121048","http://dx.doi.org/10.1016/j.eswa.2023.121048")</f>
        <v>http://dx.doi.org/10.1016/j.eswa.2023.121048</v>
      </c>
      <c r="BG66" t="s">
        <v>74</v>
      </c>
      <c r="BH66" t="s">
        <v>74</v>
      </c>
      <c r="BI66">
        <v>17</v>
      </c>
      <c r="BJ66" t="s">
        <v>180</v>
      </c>
      <c r="BK66" t="s">
        <v>100</v>
      </c>
      <c r="BL66" t="s">
        <v>181</v>
      </c>
      <c r="BM66" t="s">
        <v>1306</v>
      </c>
      <c r="BN66" t="s">
        <v>74</v>
      </c>
      <c r="BO66" t="s">
        <v>74</v>
      </c>
      <c r="BP66" t="s">
        <v>74</v>
      </c>
      <c r="BQ66" t="s">
        <v>74</v>
      </c>
      <c r="BR66" t="s">
        <v>104</v>
      </c>
      <c r="BS66" t="s">
        <v>1307</v>
      </c>
      <c r="BT66" t="str">
        <f>HYPERLINK("https%3A%2F%2Fwww.webofscience.com%2Fwos%2Fwoscc%2Ffull-record%2FWOS:001052829800001","View Full Record in Web of Science")</f>
        <v>View Full Record in Web of Science</v>
      </c>
    </row>
    <row r="67" spans="1:72" x14ac:dyDescent="0.15">
      <c r="A67" t="s">
        <v>72</v>
      </c>
      <c r="B67" t="s">
        <v>1308</v>
      </c>
      <c r="C67" t="s">
        <v>74</v>
      </c>
      <c r="D67" t="s">
        <v>74</v>
      </c>
      <c r="E67" t="s">
        <v>74</v>
      </c>
      <c r="F67" t="s">
        <v>1309</v>
      </c>
      <c r="G67" t="s">
        <v>74</v>
      </c>
      <c r="H67" t="s">
        <v>74</v>
      </c>
      <c r="I67" t="s">
        <v>1310</v>
      </c>
      <c r="J67" t="s">
        <v>162</v>
      </c>
      <c r="K67" t="s">
        <v>74</v>
      </c>
      <c r="L67" t="s">
        <v>74</v>
      </c>
      <c r="M67" t="s">
        <v>78</v>
      </c>
      <c r="N67" t="s">
        <v>79</v>
      </c>
      <c r="O67" t="s">
        <v>74</v>
      </c>
      <c r="P67" t="s">
        <v>74</v>
      </c>
      <c r="Q67" t="s">
        <v>74</v>
      </c>
      <c r="R67" t="s">
        <v>74</v>
      </c>
      <c r="S67" t="s">
        <v>74</v>
      </c>
      <c r="T67" t="s">
        <v>1311</v>
      </c>
      <c r="U67" t="s">
        <v>1312</v>
      </c>
      <c r="V67" t="s">
        <v>1313</v>
      </c>
      <c r="W67" t="s">
        <v>1314</v>
      </c>
      <c r="X67" t="s">
        <v>1315</v>
      </c>
      <c r="Y67" t="s">
        <v>1316</v>
      </c>
      <c r="Z67" t="s">
        <v>1317</v>
      </c>
      <c r="AA67" t="s">
        <v>74</v>
      </c>
      <c r="AB67" t="s">
        <v>74</v>
      </c>
      <c r="AC67" t="s">
        <v>1318</v>
      </c>
      <c r="AD67" t="s">
        <v>1319</v>
      </c>
      <c r="AE67" t="s">
        <v>1320</v>
      </c>
      <c r="AF67" t="s">
        <v>74</v>
      </c>
      <c r="AG67">
        <v>38</v>
      </c>
      <c r="AH67">
        <v>0</v>
      </c>
      <c r="AI67">
        <v>0</v>
      </c>
      <c r="AJ67">
        <v>3</v>
      </c>
      <c r="AK67">
        <v>3</v>
      </c>
      <c r="AL67" t="s">
        <v>173</v>
      </c>
      <c r="AM67" t="s">
        <v>121</v>
      </c>
      <c r="AN67" t="s">
        <v>174</v>
      </c>
      <c r="AO67" t="s">
        <v>175</v>
      </c>
      <c r="AP67" t="s">
        <v>176</v>
      </c>
      <c r="AQ67" t="s">
        <v>74</v>
      </c>
      <c r="AR67" t="s">
        <v>177</v>
      </c>
      <c r="AS67" t="s">
        <v>178</v>
      </c>
      <c r="AT67" t="s">
        <v>1255</v>
      </c>
      <c r="AU67">
        <v>2023</v>
      </c>
      <c r="AV67">
        <v>234</v>
      </c>
      <c r="AW67" t="s">
        <v>74</v>
      </c>
      <c r="AX67" t="s">
        <v>74</v>
      </c>
      <c r="AY67" t="s">
        <v>74</v>
      </c>
      <c r="AZ67" t="s">
        <v>74</v>
      </c>
      <c r="BA67" t="s">
        <v>74</v>
      </c>
      <c r="BB67" t="s">
        <v>74</v>
      </c>
      <c r="BC67" t="s">
        <v>74</v>
      </c>
      <c r="BD67">
        <v>121106</v>
      </c>
      <c r="BE67" t="s">
        <v>1321</v>
      </c>
      <c r="BF67" t="str">
        <f>HYPERLINK("http://dx.doi.org/10.1016/j.eswa.2023.121106","http://dx.doi.org/10.1016/j.eswa.2023.121106")</f>
        <v>http://dx.doi.org/10.1016/j.eswa.2023.121106</v>
      </c>
      <c r="BG67" t="s">
        <v>74</v>
      </c>
      <c r="BH67" t="s">
        <v>74</v>
      </c>
      <c r="BI67">
        <v>10</v>
      </c>
      <c r="BJ67" t="s">
        <v>180</v>
      </c>
      <c r="BK67" t="s">
        <v>100</v>
      </c>
      <c r="BL67" t="s">
        <v>181</v>
      </c>
      <c r="BM67" t="s">
        <v>1322</v>
      </c>
      <c r="BN67" t="s">
        <v>74</v>
      </c>
      <c r="BO67" t="s">
        <v>74</v>
      </c>
      <c r="BP67" t="s">
        <v>74</v>
      </c>
      <c r="BQ67" t="s">
        <v>74</v>
      </c>
      <c r="BR67" t="s">
        <v>104</v>
      </c>
      <c r="BS67" t="s">
        <v>1323</v>
      </c>
      <c r="BT67" t="str">
        <f>HYPERLINK("https%3A%2F%2Fwww.webofscience.com%2Fwos%2Fwoscc%2Ffull-record%2FWOS:001053483400001","View Full Record in Web of Science")</f>
        <v>View Full Record in Web of Science</v>
      </c>
    </row>
    <row r="68" spans="1:72" x14ac:dyDescent="0.15">
      <c r="A68" t="s">
        <v>72</v>
      </c>
      <c r="B68" t="s">
        <v>1324</v>
      </c>
      <c r="C68" t="s">
        <v>74</v>
      </c>
      <c r="D68" t="s">
        <v>74</v>
      </c>
      <c r="E68" t="s">
        <v>74</v>
      </c>
      <c r="F68" t="s">
        <v>1325</v>
      </c>
      <c r="G68" t="s">
        <v>74</v>
      </c>
      <c r="H68" t="s">
        <v>74</v>
      </c>
      <c r="I68" t="s">
        <v>1326</v>
      </c>
      <c r="J68" t="s">
        <v>162</v>
      </c>
      <c r="K68" t="s">
        <v>74</v>
      </c>
      <c r="L68" t="s">
        <v>74</v>
      </c>
      <c r="M68" t="s">
        <v>78</v>
      </c>
      <c r="N68" t="s">
        <v>79</v>
      </c>
      <c r="O68" t="s">
        <v>74</v>
      </c>
      <c r="P68" t="s">
        <v>74</v>
      </c>
      <c r="Q68" t="s">
        <v>74</v>
      </c>
      <c r="R68" t="s">
        <v>74</v>
      </c>
      <c r="S68" t="s">
        <v>74</v>
      </c>
      <c r="T68" t="s">
        <v>1327</v>
      </c>
      <c r="U68" t="s">
        <v>74</v>
      </c>
      <c r="V68" t="s">
        <v>1328</v>
      </c>
      <c r="W68" t="s">
        <v>1329</v>
      </c>
      <c r="X68" t="s">
        <v>1330</v>
      </c>
      <c r="Y68" t="s">
        <v>1331</v>
      </c>
      <c r="Z68" t="s">
        <v>1332</v>
      </c>
      <c r="AA68" t="s">
        <v>74</v>
      </c>
      <c r="AB68" t="s">
        <v>74</v>
      </c>
      <c r="AC68" t="s">
        <v>1333</v>
      </c>
      <c r="AD68" t="s">
        <v>1334</v>
      </c>
      <c r="AE68" t="s">
        <v>1335</v>
      </c>
      <c r="AF68" t="s">
        <v>74</v>
      </c>
      <c r="AG68">
        <v>49</v>
      </c>
      <c r="AH68">
        <v>0</v>
      </c>
      <c r="AI68">
        <v>0</v>
      </c>
      <c r="AJ68">
        <v>7</v>
      </c>
      <c r="AK68">
        <v>7</v>
      </c>
      <c r="AL68" t="s">
        <v>173</v>
      </c>
      <c r="AM68" t="s">
        <v>121</v>
      </c>
      <c r="AN68" t="s">
        <v>174</v>
      </c>
      <c r="AO68" t="s">
        <v>175</v>
      </c>
      <c r="AP68" t="s">
        <v>176</v>
      </c>
      <c r="AQ68" t="s">
        <v>74</v>
      </c>
      <c r="AR68" t="s">
        <v>177</v>
      </c>
      <c r="AS68" t="s">
        <v>178</v>
      </c>
      <c r="AT68" t="s">
        <v>1255</v>
      </c>
      <c r="AU68">
        <v>2023</v>
      </c>
      <c r="AV68">
        <v>234</v>
      </c>
      <c r="AW68" t="s">
        <v>74</v>
      </c>
      <c r="AX68" t="s">
        <v>74</v>
      </c>
      <c r="AY68" t="s">
        <v>74</v>
      </c>
      <c r="AZ68" t="s">
        <v>74</v>
      </c>
      <c r="BA68" t="s">
        <v>74</v>
      </c>
      <c r="BB68" t="s">
        <v>74</v>
      </c>
      <c r="BC68" t="s">
        <v>74</v>
      </c>
      <c r="BD68">
        <v>121020</v>
      </c>
      <c r="BE68" t="s">
        <v>1336</v>
      </c>
      <c r="BF68" t="str">
        <f>HYPERLINK("http://dx.doi.org/10.1016/j.eswa.2023.121020","http://dx.doi.org/10.1016/j.eswa.2023.121020")</f>
        <v>http://dx.doi.org/10.1016/j.eswa.2023.121020</v>
      </c>
      <c r="BG68" t="s">
        <v>74</v>
      </c>
      <c r="BH68" t="s">
        <v>74</v>
      </c>
      <c r="BI68">
        <v>13</v>
      </c>
      <c r="BJ68" t="s">
        <v>180</v>
      </c>
      <c r="BK68" t="s">
        <v>100</v>
      </c>
      <c r="BL68" t="s">
        <v>181</v>
      </c>
      <c r="BM68" t="s">
        <v>1337</v>
      </c>
      <c r="BN68" t="s">
        <v>74</v>
      </c>
      <c r="BO68" t="s">
        <v>74</v>
      </c>
      <c r="BP68" t="s">
        <v>74</v>
      </c>
      <c r="BQ68" t="s">
        <v>74</v>
      </c>
      <c r="BR68" t="s">
        <v>104</v>
      </c>
      <c r="BS68" t="s">
        <v>1338</v>
      </c>
      <c r="BT68" t="str">
        <f>HYPERLINK("https%3A%2F%2Fwww.webofscience.com%2Fwos%2Fwoscc%2Ffull-record%2FWOS:001051330600001","View Full Record in Web of Science")</f>
        <v>View Full Record in Web of Science</v>
      </c>
    </row>
    <row r="69" spans="1:72" x14ac:dyDescent="0.15">
      <c r="A69" t="s">
        <v>72</v>
      </c>
      <c r="B69" t="s">
        <v>1339</v>
      </c>
      <c r="C69" t="s">
        <v>74</v>
      </c>
      <c r="D69" t="s">
        <v>74</v>
      </c>
      <c r="E69" t="s">
        <v>74</v>
      </c>
      <c r="F69" t="s">
        <v>1340</v>
      </c>
      <c r="G69" t="s">
        <v>74</v>
      </c>
      <c r="H69" t="s">
        <v>74</v>
      </c>
      <c r="I69" t="s">
        <v>1341</v>
      </c>
      <c r="J69" t="s">
        <v>1342</v>
      </c>
      <c r="K69" t="s">
        <v>74</v>
      </c>
      <c r="L69" t="s">
        <v>74</v>
      </c>
      <c r="M69" t="s">
        <v>78</v>
      </c>
      <c r="N69" t="s">
        <v>79</v>
      </c>
      <c r="O69" t="s">
        <v>74</v>
      </c>
      <c r="P69" t="s">
        <v>74</v>
      </c>
      <c r="Q69" t="s">
        <v>74</v>
      </c>
      <c r="R69" t="s">
        <v>74</v>
      </c>
      <c r="S69" t="s">
        <v>74</v>
      </c>
      <c r="T69" t="s">
        <v>1343</v>
      </c>
      <c r="U69" t="s">
        <v>1344</v>
      </c>
      <c r="V69" t="s">
        <v>1345</v>
      </c>
      <c r="W69" t="s">
        <v>1346</v>
      </c>
      <c r="X69" t="s">
        <v>1347</v>
      </c>
      <c r="Y69" t="s">
        <v>1348</v>
      </c>
      <c r="Z69" t="s">
        <v>1349</v>
      </c>
      <c r="AA69" t="s">
        <v>74</v>
      </c>
      <c r="AB69" t="s">
        <v>74</v>
      </c>
      <c r="AC69" t="s">
        <v>1350</v>
      </c>
      <c r="AD69" t="s">
        <v>1351</v>
      </c>
      <c r="AE69" t="s">
        <v>1352</v>
      </c>
      <c r="AF69" t="s">
        <v>74</v>
      </c>
      <c r="AG69">
        <v>145</v>
      </c>
      <c r="AH69">
        <v>0</v>
      </c>
      <c r="AI69">
        <v>0</v>
      </c>
      <c r="AJ69">
        <v>12</v>
      </c>
      <c r="AK69">
        <v>12</v>
      </c>
      <c r="AL69" t="s">
        <v>90</v>
      </c>
      <c r="AM69" t="s">
        <v>91</v>
      </c>
      <c r="AN69" t="s">
        <v>92</v>
      </c>
      <c r="AO69" t="s">
        <v>1353</v>
      </c>
      <c r="AP69" t="s">
        <v>1354</v>
      </c>
      <c r="AQ69" t="s">
        <v>74</v>
      </c>
      <c r="AR69" t="s">
        <v>1355</v>
      </c>
      <c r="AS69" t="s">
        <v>1356</v>
      </c>
      <c r="AT69" t="s">
        <v>1357</v>
      </c>
      <c r="AU69">
        <v>2023</v>
      </c>
      <c r="AV69">
        <v>311</v>
      </c>
      <c r="AW69">
        <v>3</v>
      </c>
      <c r="AX69" t="s">
        <v>74</v>
      </c>
      <c r="AY69" t="s">
        <v>74</v>
      </c>
      <c r="AZ69" t="s">
        <v>74</v>
      </c>
      <c r="BA69" t="s">
        <v>74</v>
      </c>
      <c r="BB69">
        <v>942</v>
      </c>
      <c r="BC69">
        <v>970</v>
      </c>
      <c r="BD69" t="s">
        <v>74</v>
      </c>
      <c r="BE69" t="s">
        <v>1358</v>
      </c>
      <c r="BF69" t="str">
        <f>HYPERLINK("http://dx.doi.org/10.1016/j.ejor.2023.06.006","http://dx.doi.org/10.1016/j.ejor.2023.06.006")</f>
        <v>http://dx.doi.org/10.1016/j.ejor.2023.06.006</v>
      </c>
      <c r="BG69" t="s">
        <v>74</v>
      </c>
      <c r="BH69" t="s">
        <v>74</v>
      </c>
      <c r="BI69">
        <v>29</v>
      </c>
      <c r="BJ69" t="s">
        <v>665</v>
      </c>
      <c r="BK69" t="s">
        <v>100</v>
      </c>
      <c r="BL69" t="s">
        <v>667</v>
      </c>
      <c r="BM69" t="s">
        <v>1359</v>
      </c>
      <c r="BN69" t="s">
        <v>74</v>
      </c>
      <c r="BO69" t="s">
        <v>74</v>
      </c>
      <c r="BP69" t="s">
        <v>74</v>
      </c>
      <c r="BQ69" t="s">
        <v>74</v>
      </c>
      <c r="BR69" t="s">
        <v>104</v>
      </c>
      <c r="BS69" t="s">
        <v>1360</v>
      </c>
      <c r="BT69" t="str">
        <f>HYPERLINK("https%3A%2F%2Fwww.webofscience.com%2Fwos%2Fwoscc%2Ffull-record%2FWOS:001049493600001","View Full Record in Web of Science")</f>
        <v>View Full Record in Web of Science</v>
      </c>
    </row>
    <row r="70" spans="1:72" x14ac:dyDescent="0.15">
      <c r="A70" t="s">
        <v>72</v>
      </c>
      <c r="B70" t="s">
        <v>1361</v>
      </c>
      <c r="C70" t="s">
        <v>74</v>
      </c>
      <c r="D70" t="s">
        <v>74</v>
      </c>
      <c r="E70" t="s">
        <v>74</v>
      </c>
      <c r="F70" t="s">
        <v>1362</v>
      </c>
      <c r="G70" t="s">
        <v>74</v>
      </c>
      <c r="H70" t="s">
        <v>74</v>
      </c>
      <c r="I70" t="s">
        <v>1363</v>
      </c>
      <c r="J70" t="s">
        <v>261</v>
      </c>
      <c r="K70" t="s">
        <v>74</v>
      </c>
      <c r="L70" t="s">
        <v>74</v>
      </c>
      <c r="M70" t="s">
        <v>78</v>
      </c>
      <c r="N70" t="s">
        <v>79</v>
      </c>
      <c r="O70" t="s">
        <v>74</v>
      </c>
      <c r="P70" t="s">
        <v>74</v>
      </c>
      <c r="Q70" t="s">
        <v>74</v>
      </c>
      <c r="R70" t="s">
        <v>74</v>
      </c>
      <c r="S70" t="s">
        <v>74</v>
      </c>
      <c r="T70" t="s">
        <v>1364</v>
      </c>
      <c r="U70" t="s">
        <v>1365</v>
      </c>
      <c r="V70" t="s">
        <v>1366</v>
      </c>
      <c r="W70" t="s">
        <v>1367</v>
      </c>
      <c r="X70" t="s">
        <v>1368</v>
      </c>
      <c r="Y70" t="s">
        <v>1369</v>
      </c>
      <c r="Z70" t="s">
        <v>1370</v>
      </c>
      <c r="AA70" t="s">
        <v>74</v>
      </c>
      <c r="AB70" t="s">
        <v>74</v>
      </c>
      <c r="AC70" t="s">
        <v>1371</v>
      </c>
      <c r="AD70" t="s">
        <v>1371</v>
      </c>
      <c r="AE70" t="s">
        <v>1372</v>
      </c>
      <c r="AF70" t="s">
        <v>74</v>
      </c>
      <c r="AG70">
        <v>64</v>
      </c>
      <c r="AH70">
        <v>0</v>
      </c>
      <c r="AI70">
        <v>0</v>
      </c>
      <c r="AJ70">
        <v>4</v>
      </c>
      <c r="AK70">
        <v>4</v>
      </c>
      <c r="AL70" t="s">
        <v>120</v>
      </c>
      <c r="AM70" t="s">
        <v>121</v>
      </c>
      <c r="AN70" t="s">
        <v>122</v>
      </c>
      <c r="AO70" t="s">
        <v>272</v>
      </c>
      <c r="AP70" t="s">
        <v>273</v>
      </c>
      <c r="AQ70" t="s">
        <v>74</v>
      </c>
      <c r="AR70" t="s">
        <v>261</v>
      </c>
      <c r="AS70" t="s">
        <v>274</v>
      </c>
      <c r="AT70" t="s">
        <v>1373</v>
      </c>
      <c r="AU70">
        <v>2023</v>
      </c>
      <c r="AV70">
        <v>354</v>
      </c>
      <c r="AW70" t="s">
        <v>74</v>
      </c>
      <c r="AX70" t="s">
        <v>74</v>
      </c>
      <c r="AY70" t="s">
        <v>74</v>
      </c>
      <c r="AZ70" t="s">
        <v>74</v>
      </c>
      <c r="BA70" t="s">
        <v>74</v>
      </c>
      <c r="BB70" t="s">
        <v>74</v>
      </c>
      <c r="BC70" t="s">
        <v>74</v>
      </c>
      <c r="BD70">
        <v>129414</v>
      </c>
      <c r="BE70" t="s">
        <v>1374</v>
      </c>
      <c r="BF70" t="str">
        <f>HYPERLINK("http://dx.doi.org/10.1016/j.fuel.2023.129414","http://dx.doi.org/10.1016/j.fuel.2023.129414")</f>
        <v>http://dx.doi.org/10.1016/j.fuel.2023.129414</v>
      </c>
      <c r="BG70" t="s">
        <v>74</v>
      </c>
      <c r="BH70" t="s">
        <v>74</v>
      </c>
      <c r="BI70">
        <v>18</v>
      </c>
      <c r="BJ70" t="s">
        <v>276</v>
      </c>
      <c r="BK70" t="s">
        <v>100</v>
      </c>
      <c r="BL70" t="s">
        <v>277</v>
      </c>
      <c r="BM70" t="s">
        <v>1375</v>
      </c>
      <c r="BN70" t="s">
        <v>74</v>
      </c>
      <c r="BO70" t="s">
        <v>74</v>
      </c>
      <c r="BP70" t="s">
        <v>74</v>
      </c>
      <c r="BQ70" t="s">
        <v>74</v>
      </c>
      <c r="BR70" t="s">
        <v>104</v>
      </c>
      <c r="BS70" t="s">
        <v>1376</v>
      </c>
      <c r="BT70" t="str">
        <f>HYPERLINK("https%3A%2F%2Fwww.webofscience.com%2Fwos%2Fwoscc%2Ffull-record%2FWOS:001064498800001","View Full Record in Web of Science")</f>
        <v>View Full Record in Web of Science</v>
      </c>
    </row>
    <row r="71" spans="1:72" x14ac:dyDescent="0.15">
      <c r="A71" t="s">
        <v>72</v>
      </c>
      <c r="B71" t="s">
        <v>1377</v>
      </c>
      <c r="C71" t="s">
        <v>74</v>
      </c>
      <c r="D71" t="s">
        <v>74</v>
      </c>
      <c r="E71" t="s">
        <v>74</v>
      </c>
      <c r="F71" t="s">
        <v>1378</v>
      </c>
      <c r="G71" t="s">
        <v>74</v>
      </c>
      <c r="H71" t="s">
        <v>74</v>
      </c>
      <c r="I71" t="s">
        <v>1379</v>
      </c>
      <c r="J71" t="s">
        <v>1380</v>
      </c>
      <c r="K71" t="s">
        <v>74</v>
      </c>
      <c r="L71" t="s">
        <v>74</v>
      </c>
      <c r="M71" t="s">
        <v>78</v>
      </c>
      <c r="N71" t="s">
        <v>79</v>
      </c>
      <c r="O71" t="s">
        <v>74</v>
      </c>
      <c r="P71" t="s">
        <v>74</v>
      </c>
      <c r="Q71" t="s">
        <v>74</v>
      </c>
      <c r="R71" t="s">
        <v>74</v>
      </c>
      <c r="S71" t="s">
        <v>74</v>
      </c>
      <c r="T71" t="s">
        <v>1381</v>
      </c>
      <c r="U71" t="s">
        <v>1382</v>
      </c>
      <c r="V71" t="s">
        <v>1383</v>
      </c>
      <c r="W71" t="s">
        <v>1384</v>
      </c>
      <c r="X71" t="s">
        <v>1385</v>
      </c>
      <c r="Y71" t="s">
        <v>1386</v>
      </c>
      <c r="Z71" t="s">
        <v>1387</v>
      </c>
      <c r="AA71" t="s">
        <v>74</v>
      </c>
      <c r="AB71" t="s">
        <v>74</v>
      </c>
      <c r="AC71" t="s">
        <v>1388</v>
      </c>
      <c r="AD71" t="s">
        <v>1388</v>
      </c>
      <c r="AE71" t="s">
        <v>1389</v>
      </c>
      <c r="AF71" t="s">
        <v>74</v>
      </c>
      <c r="AG71">
        <v>76</v>
      </c>
      <c r="AH71">
        <v>0</v>
      </c>
      <c r="AI71">
        <v>0</v>
      </c>
      <c r="AJ71">
        <v>0</v>
      </c>
      <c r="AK71">
        <v>0</v>
      </c>
      <c r="AL71" t="s">
        <v>90</v>
      </c>
      <c r="AM71" t="s">
        <v>91</v>
      </c>
      <c r="AN71" t="s">
        <v>92</v>
      </c>
      <c r="AO71" t="s">
        <v>1390</v>
      </c>
      <c r="AP71" t="s">
        <v>74</v>
      </c>
      <c r="AQ71" t="s">
        <v>74</v>
      </c>
      <c r="AR71" t="s">
        <v>1391</v>
      </c>
      <c r="AS71" t="s">
        <v>1392</v>
      </c>
      <c r="AT71" t="s">
        <v>1373</v>
      </c>
      <c r="AU71">
        <v>2023</v>
      </c>
      <c r="AV71">
        <v>66</v>
      </c>
      <c r="AW71" t="s">
        <v>74</v>
      </c>
      <c r="AX71" t="s">
        <v>74</v>
      </c>
      <c r="AY71" t="s">
        <v>74</v>
      </c>
      <c r="AZ71" t="s">
        <v>74</v>
      </c>
      <c r="BA71" t="s">
        <v>74</v>
      </c>
      <c r="BB71" t="s">
        <v>74</v>
      </c>
      <c r="BC71" t="s">
        <v>74</v>
      </c>
      <c r="BD71">
        <v>103139</v>
      </c>
      <c r="BE71" t="s">
        <v>1393</v>
      </c>
      <c r="BF71" t="str">
        <f>HYPERLINK("http://dx.doi.org/10.1016/j.rsma.2023.103139","http://dx.doi.org/10.1016/j.rsma.2023.103139")</f>
        <v>http://dx.doi.org/10.1016/j.rsma.2023.103139</v>
      </c>
      <c r="BG71" t="s">
        <v>74</v>
      </c>
      <c r="BH71" t="s">
        <v>74</v>
      </c>
      <c r="BI71">
        <v>10</v>
      </c>
      <c r="BJ71" t="s">
        <v>1394</v>
      </c>
      <c r="BK71" t="s">
        <v>100</v>
      </c>
      <c r="BL71" t="s">
        <v>1395</v>
      </c>
      <c r="BM71" t="s">
        <v>1396</v>
      </c>
      <c r="BN71" t="s">
        <v>74</v>
      </c>
      <c r="BO71" t="s">
        <v>74</v>
      </c>
      <c r="BP71" t="s">
        <v>74</v>
      </c>
      <c r="BQ71" t="s">
        <v>74</v>
      </c>
      <c r="BR71" t="s">
        <v>104</v>
      </c>
      <c r="BS71" t="s">
        <v>1397</v>
      </c>
      <c r="BT71" t="str">
        <f>HYPERLINK("https%3A%2F%2Fwww.webofscience.com%2Fwos%2Fwoscc%2Ffull-record%2FWOS:001064798500001","View Full Record in Web of Science")</f>
        <v>View Full Record in Web of Science</v>
      </c>
    </row>
    <row r="72" spans="1:72" x14ac:dyDescent="0.15">
      <c r="A72" t="s">
        <v>72</v>
      </c>
      <c r="B72" t="s">
        <v>1398</v>
      </c>
      <c r="C72" t="s">
        <v>74</v>
      </c>
      <c r="D72" t="s">
        <v>74</v>
      </c>
      <c r="E72" t="s">
        <v>74</v>
      </c>
      <c r="F72" t="s">
        <v>1399</v>
      </c>
      <c r="G72" t="s">
        <v>74</v>
      </c>
      <c r="H72" t="s">
        <v>74</v>
      </c>
      <c r="I72" t="s">
        <v>1400</v>
      </c>
      <c r="J72" t="s">
        <v>1401</v>
      </c>
      <c r="K72" t="s">
        <v>74</v>
      </c>
      <c r="L72" t="s">
        <v>74</v>
      </c>
      <c r="M72" t="s">
        <v>78</v>
      </c>
      <c r="N72" t="s">
        <v>79</v>
      </c>
      <c r="O72" t="s">
        <v>74</v>
      </c>
      <c r="P72" t="s">
        <v>74</v>
      </c>
      <c r="Q72" t="s">
        <v>74</v>
      </c>
      <c r="R72" t="s">
        <v>74</v>
      </c>
      <c r="S72" t="s">
        <v>74</v>
      </c>
      <c r="T72" t="s">
        <v>1402</v>
      </c>
      <c r="U72" t="s">
        <v>1403</v>
      </c>
      <c r="V72" t="s">
        <v>1404</v>
      </c>
      <c r="W72" t="s">
        <v>1405</v>
      </c>
      <c r="X72" t="s">
        <v>1406</v>
      </c>
      <c r="Y72" t="s">
        <v>1407</v>
      </c>
      <c r="Z72" t="s">
        <v>1408</v>
      </c>
      <c r="AA72" t="s">
        <v>74</v>
      </c>
      <c r="AB72" t="s">
        <v>74</v>
      </c>
      <c r="AC72" t="s">
        <v>1409</v>
      </c>
      <c r="AD72" t="s">
        <v>1410</v>
      </c>
      <c r="AE72" t="s">
        <v>1411</v>
      </c>
      <c r="AF72" t="s">
        <v>74</v>
      </c>
      <c r="AG72">
        <v>47</v>
      </c>
      <c r="AH72">
        <v>0</v>
      </c>
      <c r="AI72">
        <v>0</v>
      </c>
      <c r="AJ72">
        <v>4</v>
      </c>
      <c r="AK72">
        <v>4</v>
      </c>
      <c r="AL72" t="s">
        <v>475</v>
      </c>
      <c r="AM72" t="s">
        <v>476</v>
      </c>
      <c r="AN72" t="s">
        <v>477</v>
      </c>
      <c r="AO72" t="s">
        <v>1412</v>
      </c>
      <c r="AP72" t="s">
        <v>1413</v>
      </c>
      <c r="AQ72" t="s">
        <v>74</v>
      </c>
      <c r="AR72" t="s">
        <v>1414</v>
      </c>
      <c r="AS72" t="s">
        <v>1415</v>
      </c>
      <c r="AT72" t="s">
        <v>1373</v>
      </c>
      <c r="AU72">
        <v>2023</v>
      </c>
      <c r="AV72">
        <v>652</v>
      </c>
      <c r="AW72" t="s">
        <v>74</v>
      </c>
      <c r="AX72" t="s">
        <v>337</v>
      </c>
      <c r="AY72" t="s">
        <v>74</v>
      </c>
      <c r="AZ72" t="s">
        <v>74</v>
      </c>
      <c r="BA72" t="s">
        <v>74</v>
      </c>
      <c r="BB72">
        <v>619</v>
      </c>
      <c r="BC72">
        <v>626</v>
      </c>
      <c r="BD72" t="s">
        <v>74</v>
      </c>
      <c r="BE72" t="s">
        <v>1416</v>
      </c>
      <c r="BF72" t="str">
        <f>HYPERLINK("http://dx.doi.org/10.1016/j.jcis.2023.07.126","http://dx.doi.org/10.1016/j.jcis.2023.07.126")</f>
        <v>http://dx.doi.org/10.1016/j.jcis.2023.07.126</v>
      </c>
      <c r="BG72" t="s">
        <v>74</v>
      </c>
      <c r="BH72" t="s">
        <v>74</v>
      </c>
      <c r="BI72">
        <v>8</v>
      </c>
      <c r="BJ72" t="s">
        <v>394</v>
      </c>
      <c r="BK72" t="s">
        <v>100</v>
      </c>
      <c r="BL72" t="s">
        <v>395</v>
      </c>
      <c r="BM72" t="s">
        <v>1417</v>
      </c>
      <c r="BN72">
        <v>37532598</v>
      </c>
      <c r="BO72" t="s">
        <v>74</v>
      </c>
      <c r="BP72" t="s">
        <v>74</v>
      </c>
      <c r="BQ72" t="s">
        <v>74</v>
      </c>
      <c r="BR72" t="s">
        <v>104</v>
      </c>
      <c r="BS72" t="s">
        <v>1418</v>
      </c>
      <c r="BT72" t="str">
        <f>HYPERLINK("https%3A%2F%2Fwww.webofscience.com%2Fwos%2Fwoscc%2Ffull-record%2FWOS:001060865200001","View Full Record in Web of Science")</f>
        <v>View Full Record in Web of Science</v>
      </c>
    </row>
    <row r="73" spans="1:72" x14ac:dyDescent="0.15">
      <c r="A73" t="s">
        <v>72</v>
      </c>
      <c r="B73" t="s">
        <v>1419</v>
      </c>
      <c r="C73" t="s">
        <v>74</v>
      </c>
      <c r="D73" t="s">
        <v>74</v>
      </c>
      <c r="E73" t="s">
        <v>74</v>
      </c>
      <c r="F73" t="s">
        <v>1420</v>
      </c>
      <c r="G73" t="s">
        <v>74</v>
      </c>
      <c r="H73" t="s">
        <v>74</v>
      </c>
      <c r="I73" t="s">
        <v>1421</v>
      </c>
      <c r="J73" t="s">
        <v>1401</v>
      </c>
      <c r="K73" t="s">
        <v>74</v>
      </c>
      <c r="L73" t="s">
        <v>74</v>
      </c>
      <c r="M73" t="s">
        <v>78</v>
      </c>
      <c r="N73" t="s">
        <v>79</v>
      </c>
      <c r="O73" t="s">
        <v>74</v>
      </c>
      <c r="P73" t="s">
        <v>74</v>
      </c>
      <c r="Q73" t="s">
        <v>74</v>
      </c>
      <c r="R73" t="s">
        <v>74</v>
      </c>
      <c r="S73" t="s">
        <v>74</v>
      </c>
      <c r="T73" t="s">
        <v>1422</v>
      </c>
      <c r="U73" t="s">
        <v>1423</v>
      </c>
      <c r="V73" t="s">
        <v>1424</v>
      </c>
      <c r="W73" t="s">
        <v>1425</v>
      </c>
      <c r="X73" t="s">
        <v>1426</v>
      </c>
      <c r="Y73" t="s">
        <v>1427</v>
      </c>
      <c r="Z73" t="s">
        <v>1428</v>
      </c>
      <c r="AA73" t="s">
        <v>74</v>
      </c>
      <c r="AB73" t="s">
        <v>74</v>
      </c>
      <c r="AC73" t="s">
        <v>1429</v>
      </c>
      <c r="AD73" t="s">
        <v>1430</v>
      </c>
      <c r="AE73" t="s">
        <v>1431</v>
      </c>
      <c r="AF73" t="s">
        <v>74</v>
      </c>
      <c r="AG73">
        <v>81</v>
      </c>
      <c r="AH73">
        <v>0</v>
      </c>
      <c r="AI73">
        <v>0</v>
      </c>
      <c r="AJ73">
        <v>7</v>
      </c>
      <c r="AK73">
        <v>7</v>
      </c>
      <c r="AL73" t="s">
        <v>475</v>
      </c>
      <c r="AM73" t="s">
        <v>476</v>
      </c>
      <c r="AN73" t="s">
        <v>477</v>
      </c>
      <c r="AO73" t="s">
        <v>1412</v>
      </c>
      <c r="AP73" t="s">
        <v>1413</v>
      </c>
      <c r="AQ73" t="s">
        <v>74</v>
      </c>
      <c r="AR73" t="s">
        <v>1414</v>
      </c>
      <c r="AS73" t="s">
        <v>1415</v>
      </c>
      <c r="AT73" t="s">
        <v>1373</v>
      </c>
      <c r="AU73">
        <v>2023</v>
      </c>
      <c r="AV73">
        <v>652</v>
      </c>
      <c r="AW73" t="s">
        <v>74</v>
      </c>
      <c r="AX73" t="s">
        <v>337</v>
      </c>
      <c r="AY73" t="s">
        <v>74</v>
      </c>
      <c r="AZ73" t="s">
        <v>74</v>
      </c>
      <c r="BA73" t="s">
        <v>74</v>
      </c>
      <c r="BB73">
        <v>490</v>
      </c>
      <c r="BC73">
        <v>499</v>
      </c>
      <c r="BD73" t="s">
        <v>74</v>
      </c>
      <c r="BE73" t="s">
        <v>1432</v>
      </c>
      <c r="BF73" t="str">
        <f>HYPERLINK("http://dx.doi.org/10.1016/j.jcis.2023.08.075","http://dx.doi.org/10.1016/j.jcis.2023.08.075")</f>
        <v>http://dx.doi.org/10.1016/j.jcis.2023.08.075</v>
      </c>
      <c r="BG73" t="s">
        <v>74</v>
      </c>
      <c r="BH73" t="s">
        <v>74</v>
      </c>
      <c r="BI73">
        <v>10</v>
      </c>
      <c r="BJ73" t="s">
        <v>394</v>
      </c>
      <c r="BK73" t="s">
        <v>100</v>
      </c>
      <c r="BL73" t="s">
        <v>395</v>
      </c>
      <c r="BM73" t="s">
        <v>1433</v>
      </c>
      <c r="BN73">
        <v>37604060</v>
      </c>
      <c r="BO73" t="s">
        <v>74</v>
      </c>
      <c r="BP73" t="s">
        <v>74</v>
      </c>
      <c r="BQ73" t="s">
        <v>74</v>
      </c>
      <c r="BR73" t="s">
        <v>104</v>
      </c>
      <c r="BS73" t="s">
        <v>1434</v>
      </c>
      <c r="BT73" t="str">
        <f>HYPERLINK("https%3A%2F%2Fwww.webofscience.com%2Fwos%2Fwoscc%2Ffull-record%2FWOS:001069686800001","View Full Record in Web of Science")</f>
        <v>View Full Record in Web of Science</v>
      </c>
    </row>
    <row r="74" spans="1:72" x14ac:dyDescent="0.15">
      <c r="A74" t="s">
        <v>72</v>
      </c>
      <c r="B74" t="s">
        <v>1435</v>
      </c>
      <c r="C74" t="s">
        <v>74</v>
      </c>
      <c r="D74" t="s">
        <v>74</v>
      </c>
      <c r="E74" t="s">
        <v>74</v>
      </c>
      <c r="F74" t="s">
        <v>1436</v>
      </c>
      <c r="G74" t="s">
        <v>74</v>
      </c>
      <c r="H74" t="s">
        <v>74</v>
      </c>
      <c r="I74" t="s">
        <v>1437</v>
      </c>
      <c r="J74" t="s">
        <v>1438</v>
      </c>
      <c r="K74" t="s">
        <v>74</v>
      </c>
      <c r="L74" t="s">
        <v>74</v>
      </c>
      <c r="M74" t="s">
        <v>78</v>
      </c>
      <c r="N74" t="s">
        <v>79</v>
      </c>
      <c r="O74" t="s">
        <v>74</v>
      </c>
      <c r="P74" t="s">
        <v>74</v>
      </c>
      <c r="Q74" t="s">
        <v>74</v>
      </c>
      <c r="R74" t="s">
        <v>74</v>
      </c>
      <c r="S74" t="s">
        <v>74</v>
      </c>
      <c r="T74" t="s">
        <v>1439</v>
      </c>
      <c r="U74" t="s">
        <v>1440</v>
      </c>
      <c r="V74" t="s">
        <v>1441</v>
      </c>
      <c r="W74" t="s">
        <v>1442</v>
      </c>
      <c r="X74" t="s">
        <v>1443</v>
      </c>
      <c r="Y74" t="s">
        <v>1444</v>
      </c>
      <c r="Z74" t="s">
        <v>1445</v>
      </c>
      <c r="AA74" t="s">
        <v>74</v>
      </c>
      <c r="AB74" t="s">
        <v>74</v>
      </c>
      <c r="AC74" t="s">
        <v>1446</v>
      </c>
      <c r="AD74" t="s">
        <v>1446</v>
      </c>
      <c r="AE74" t="s">
        <v>1447</v>
      </c>
      <c r="AF74" t="s">
        <v>74</v>
      </c>
      <c r="AG74">
        <v>51</v>
      </c>
      <c r="AH74">
        <v>0</v>
      </c>
      <c r="AI74">
        <v>0</v>
      </c>
      <c r="AJ74">
        <v>2</v>
      </c>
      <c r="AK74">
        <v>2</v>
      </c>
      <c r="AL74" t="s">
        <v>90</v>
      </c>
      <c r="AM74" t="s">
        <v>91</v>
      </c>
      <c r="AN74" t="s">
        <v>92</v>
      </c>
      <c r="AO74" t="s">
        <v>1448</v>
      </c>
      <c r="AP74" t="s">
        <v>1449</v>
      </c>
      <c r="AQ74" t="s">
        <v>74</v>
      </c>
      <c r="AR74" t="s">
        <v>1438</v>
      </c>
      <c r="AS74" t="s">
        <v>1450</v>
      </c>
      <c r="AT74" t="s">
        <v>1373</v>
      </c>
      <c r="AU74">
        <v>2023</v>
      </c>
      <c r="AV74">
        <v>577</v>
      </c>
      <c r="AW74" t="s">
        <v>74</v>
      </c>
      <c r="AX74" t="s">
        <v>74</v>
      </c>
      <c r="AY74" t="s">
        <v>74</v>
      </c>
      <c r="AZ74" t="s">
        <v>74</v>
      </c>
      <c r="BA74" t="s">
        <v>74</v>
      </c>
      <c r="BB74" t="s">
        <v>74</v>
      </c>
      <c r="BC74" t="s">
        <v>74</v>
      </c>
      <c r="BD74">
        <v>739988</v>
      </c>
      <c r="BE74" t="s">
        <v>1451</v>
      </c>
      <c r="BF74" t="str">
        <f>HYPERLINK("http://dx.doi.org/10.1016/j.aquaculture.2023.739988","http://dx.doi.org/10.1016/j.aquaculture.2023.739988")</f>
        <v>http://dx.doi.org/10.1016/j.aquaculture.2023.739988</v>
      </c>
      <c r="BG74" t="s">
        <v>74</v>
      </c>
      <c r="BH74" t="s">
        <v>74</v>
      </c>
      <c r="BI74">
        <v>11</v>
      </c>
      <c r="BJ74" t="s">
        <v>1452</v>
      </c>
      <c r="BK74" t="s">
        <v>100</v>
      </c>
      <c r="BL74" t="s">
        <v>1452</v>
      </c>
      <c r="BM74" t="s">
        <v>1453</v>
      </c>
      <c r="BN74" t="s">
        <v>74</v>
      </c>
      <c r="BO74" t="s">
        <v>74</v>
      </c>
      <c r="BP74" t="s">
        <v>74</v>
      </c>
      <c r="BQ74" t="s">
        <v>74</v>
      </c>
      <c r="BR74" t="s">
        <v>104</v>
      </c>
      <c r="BS74" t="s">
        <v>1454</v>
      </c>
      <c r="BT74" t="str">
        <f>HYPERLINK("https%3A%2F%2Fwww.webofscience.com%2Fwos%2Fwoscc%2Ffull-record%2FWOS:001062284200001","View Full Record in Web of Science")</f>
        <v>View Full Record in Web of Science</v>
      </c>
    </row>
    <row r="75" spans="1:72" x14ac:dyDescent="0.15">
      <c r="A75" t="s">
        <v>72</v>
      </c>
      <c r="B75" t="s">
        <v>1455</v>
      </c>
      <c r="C75" t="s">
        <v>74</v>
      </c>
      <c r="D75" t="s">
        <v>74</v>
      </c>
      <c r="E75" t="s">
        <v>74</v>
      </c>
      <c r="F75" t="s">
        <v>1456</v>
      </c>
      <c r="G75" t="s">
        <v>74</v>
      </c>
      <c r="H75" t="s">
        <v>74</v>
      </c>
      <c r="I75" t="s">
        <v>1457</v>
      </c>
      <c r="J75" t="s">
        <v>1438</v>
      </c>
      <c r="K75" t="s">
        <v>74</v>
      </c>
      <c r="L75" t="s">
        <v>74</v>
      </c>
      <c r="M75" t="s">
        <v>78</v>
      </c>
      <c r="N75" t="s">
        <v>79</v>
      </c>
      <c r="O75" t="s">
        <v>74</v>
      </c>
      <c r="P75" t="s">
        <v>74</v>
      </c>
      <c r="Q75" t="s">
        <v>74</v>
      </c>
      <c r="R75" t="s">
        <v>74</v>
      </c>
      <c r="S75" t="s">
        <v>74</v>
      </c>
      <c r="T75" t="s">
        <v>1458</v>
      </c>
      <c r="U75" t="s">
        <v>1459</v>
      </c>
      <c r="V75" t="s">
        <v>1460</v>
      </c>
      <c r="W75" t="s">
        <v>1461</v>
      </c>
      <c r="X75" t="s">
        <v>1462</v>
      </c>
      <c r="Y75" t="s">
        <v>1463</v>
      </c>
      <c r="Z75" t="s">
        <v>1464</v>
      </c>
      <c r="AA75" t="s">
        <v>74</v>
      </c>
      <c r="AB75" t="s">
        <v>74</v>
      </c>
      <c r="AC75" t="s">
        <v>1465</v>
      </c>
      <c r="AD75" t="s">
        <v>1466</v>
      </c>
      <c r="AE75" t="s">
        <v>1467</v>
      </c>
      <c r="AF75" t="s">
        <v>74</v>
      </c>
      <c r="AG75">
        <v>82</v>
      </c>
      <c r="AH75">
        <v>0</v>
      </c>
      <c r="AI75">
        <v>0</v>
      </c>
      <c r="AJ75">
        <v>5</v>
      </c>
      <c r="AK75">
        <v>5</v>
      </c>
      <c r="AL75" t="s">
        <v>90</v>
      </c>
      <c r="AM75" t="s">
        <v>91</v>
      </c>
      <c r="AN75" t="s">
        <v>92</v>
      </c>
      <c r="AO75" t="s">
        <v>1448</v>
      </c>
      <c r="AP75" t="s">
        <v>1449</v>
      </c>
      <c r="AQ75" t="s">
        <v>74</v>
      </c>
      <c r="AR75" t="s">
        <v>1438</v>
      </c>
      <c r="AS75" t="s">
        <v>1450</v>
      </c>
      <c r="AT75" t="s">
        <v>1373</v>
      </c>
      <c r="AU75">
        <v>2023</v>
      </c>
      <c r="AV75">
        <v>577</v>
      </c>
      <c r="AW75" t="s">
        <v>74</v>
      </c>
      <c r="AX75" t="s">
        <v>74</v>
      </c>
      <c r="AY75" t="s">
        <v>74</v>
      </c>
      <c r="AZ75" t="s">
        <v>74</v>
      </c>
      <c r="BA75" t="s">
        <v>74</v>
      </c>
      <c r="BB75" t="s">
        <v>74</v>
      </c>
      <c r="BC75" t="s">
        <v>74</v>
      </c>
      <c r="BD75">
        <v>739922</v>
      </c>
      <c r="BE75" t="s">
        <v>1468</v>
      </c>
      <c r="BF75" t="str">
        <f>HYPERLINK("http://dx.doi.org/10.1016/j.aquaculture.2023.739922","http://dx.doi.org/10.1016/j.aquaculture.2023.739922")</f>
        <v>http://dx.doi.org/10.1016/j.aquaculture.2023.739922</v>
      </c>
      <c r="BG75" t="s">
        <v>74</v>
      </c>
      <c r="BH75" t="s">
        <v>74</v>
      </c>
      <c r="BI75">
        <v>16</v>
      </c>
      <c r="BJ75" t="s">
        <v>1452</v>
      </c>
      <c r="BK75" t="s">
        <v>100</v>
      </c>
      <c r="BL75" t="s">
        <v>1452</v>
      </c>
      <c r="BM75" t="s">
        <v>1469</v>
      </c>
      <c r="BN75" t="s">
        <v>74</v>
      </c>
      <c r="BO75" t="s">
        <v>74</v>
      </c>
      <c r="BP75" t="s">
        <v>74</v>
      </c>
      <c r="BQ75" t="s">
        <v>74</v>
      </c>
      <c r="BR75" t="s">
        <v>104</v>
      </c>
      <c r="BS75" t="s">
        <v>1470</v>
      </c>
      <c r="BT75" t="str">
        <f>HYPERLINK("https%3A%2F%2Fwww.webofscience.com%2Fwos%2Fwoscc%2Ffull-record%2FWOS:001050685400001","View Full Record in Web of Science")</f>
        <v>View Full Record in Web of Science</v>
      </c>
    </row>
    <row r="76" spans="1:72" x14ac:dyDescent="0.15">
      <c r="A76" t="s">
        <v>72</v>
      </c>
      <c r="B76" t="s">
        <v>1471</v>
      </c>
      <c r="C76" t="s">
        <v>74</v>
      </c>
      <c r="D76" t="s">
        <v>74</v>
      </c>
      <c r="E76" t="s">
        <v>74</v>
      </c>
      <c r="F76" t="s">
        <v>1472</v>
      </c>
      <c r="G76" t="s">
        <v>74</v>
      </c>
      <c r="H76" t="s">
        <v>74</v>
      </c>
      <c r="I76" t="s">
        <v>1473</v>
      </c>
      <c r="J76" t="s">
        <v>1438</v>
      </c>
      <c r="K76" t="s">
        <v>74</v>
      </c>
      <c r="L76" t="s">
        <v>74</v>
      </c>
      <c r="M76" t="s">
        <v>78</v>
      </c>
      <c r="N76" t="s">
        <v>79</v>
      </c>
      <c r="O76" t="s">
        <v>74</v>
      </c>
      <c r="P76" t="s">
        <v>74</v>
      </c>
      <c r="Q76" t="s">
        <v>74</v>
      </c>
      <c r="R76" t="s">
        <v>74</v>
      </c>
      <c r="S76" t="s">
        <v>74</v>
      </c>
      <c r="T76" t="s">
        <v>1474</v>
      </c>
      <c r="U76" t="s">
        <v>1475</v>
      </c>
      <c r="V76" t="s">
        <v>1476</v>
      </c>
      <c r="W76" t="s">
        <v>1477</v>
      </c>
      <c r="X76" t="s">
        <v>1478</v>
      </c>
      <c r="Y76" t="s">
        <v>1479</v>
      </c>
      <c r="Z76" t="s">
        <v>1480</v>
      </c>
      <c r="AA76" t="s">
        <v>74</v>
      </c>
      <c r="AB76" t="s">
        <v>74</v>
      </c>
      <c r="AC76" t="s">
        <v>1481</v>
      </c>
      <c r="AD76" t="s">
        <v>1482</v>
      </c>
      <c r="AE76" t="s">
        <v>1483</v>
      </c>
      <c r="AF76" t="s">
        <v>74</v>
      </c>
      <c r="AG76">
        <v>34</v>
      </c>
      <c r="AH76">
        <v>0</v>
      </c>
      <c r="AI76">
        <v>0</v>
      </c>
      <c r="AJ76">
        <v>2</v>
      </c>
      <c r="AK76">
        <v>2</v>
      </c>
      <c r="AL76" t="s">
        <v>90</v>
      </c>
      <c r="AM76" t="s">
        <v>91</v>
      </c>
      <c r="AN76" t="s">
        <v>92</v>
      </c>
      <c r="AO76" t="s">
        <v>1448</v>
      </c>
      <c r="AP76" t="s">
        <v>1449</v>
      </c>
      <c r="AQ76" t="s">
        <v>74</v>
      </c>
      <c r="AR76" t="s">
        <v>1438</v>
      </c>
      <c r="AS76" t="s">
        <v>1450</v>
      </c>
      <c r="AT76" t="s">
        <v>1373</v>
      </c>
      <c r="AU76">
        <v>2023</v>
      </c>
      <c r="AV76">
        <v>577</v>
      </c>
      <c r="AW76" t="s">
        <v>74</v>
      </c>
      <c r="AX76" t="s">
        <v>74</v>
      </c>
      <c r="AY76" t="s">
        <v>74</v>
      </c>
      <c r="AZ76" t="s">
        <v>74</v>
      </c>
      <c r="BA76" t="s">
        <v>74</v>
      </c>
      <c r="BB76" t="s">
        <v>74</v>
      </c>
      <c r="BC76" t="s">
        <v>74</v>
      </c>
      <c r="BD76">
        <v>739914</v>
      </c>
      <c r="BE76" t="s">
        <v>1484</v>
      </c>
      <c r="BF76" t="str">
        <f>HYPERLINK("http://dx.doi.org/10.1016/j.aquaculture.2023.739914","http://dx.doi.org/10.1016/j.aquaculture.2023.739914")</f>
        <v>http://dx.doi.org/10.1016/j.aquaculture.2023.739914</v>
      </c>
      <c r="BG76" t="s">
        <v>74</v>
      </c>
      <c r="BH76" t="s">
        <v>74</v>
      </c>
      <c r="BI76">
        <v>7</v>
      </c>
      <c r="BJ76" t="s">
        <v>1452</v>
      </c>
      <c r="BK76" t="s">
        <v>100</v>
      </c>
      <c r="BL76" t="s">
        <v>1452</v>
      </c>
      <c r="BM76" t="s">
        <v>1485</v>
      </c>
      <c r="BN76" t="s">
        <v>74</v>
      </c>
      <c r="BO76" t="s">
        <v>74</v>
      </c>
      <c r="BP76" t="s">
        <v>74</v>
      </c>
      <c r="BQ76" t="s">
        <v>74</v>
      </c>
      <c r="BR76" t="s">
        <v>104</v>
      </c>
      <c r="BS76" t="s">
        <v>1486</v>
      </c>
      <c r="BT76" t="str">
        <f>HYPERLINK("https%3A%2F%2Fwww.webofscience.com%2Fwos%2Fwoscc%2Ffull-record%2FWOS:001052681000001","View Full Record in Web of Science")</f>
        <v>View Full Record in Web of Science</v>
      </c>
    </row>
    <row r="77" spans="1:72" x14ac:dyDescent="0.15">
      <c r="A77" t="s">
        <v>72</v>
      </c>
      <c r="B77" t="s">
        <v>1487</v>
      </c>
      <c r="C77" t="s">
        <v>74</v>
      </c>
      <c r="D77" t="s">
        <v>74</v>
      </c>
      <c r="E77" t="s">
        <v>74</v>
      </c>
      <c r="F77" t="s">
        <v>1488</v>
      </c>
      <c r="G77" t="s">
        <v>74</v>
      </c>
      <c r="H77" t="s">
        <v>74</v>
      </c>
      <c r="I77" t="s">
        <v>1489</v>
      </c>
      <c r="J77" t="s">
        <v>1490</v>
      </c>
      <c r="K77" t="s">
        <v>74</v>
      </c>
      <c r="L77" t="s">
        <v>74</v>
      </c>
      <c r="M77" t="s">
        <v>78</v>
      </c>
      <c r="N77" t="s">
        <v>79</v>
      </c>
      <c r="O77" t="s">
        <v>74</v>
      </c>
      <c r="P77" t="s">
        <v>74</v>
      </c>
      <c r="Q77" t="s">
        <v>74</v>
      </c>
      <c r="R77" t="s">
        <v>74</v>
      </c>
      <c r="S77" t="s">
        <v>74</v>
      </c>
      <c r="T77" t="s">
        <v>1491</v>
      </c>
      <c r="U77" t="s">
        <v>74</v>
      </c>
      <c r="V77" t="s">
        <v>1492</v>
      </c>
      <c r="W77" t="s">
        <v>1493</v>
      </c>
      <c r="X77" t="s">
        <v>1494</v>
      </c>
      <c r="Y77" t="s">
        <v>1495</v>
      </c>
      <c r="Z77" t="s">
        <v>1496</v>
      </c>
      <c r="AA77" t="s">
        <v>74</v>
      </c>
      <c r="AB77" t="s">
        <v>74</v>
      </c>
      <c r="AC77" t="s">
        <v>1497</v>
      </c>
      <c r="AD77" t="s">
        <v>1498</v>
      </c>
      <c r="AE77" t="s">
        <v>1499</v>
      </c>
      <c r="AF77" t="s">
        <v>74</v>
      </c>
      <c r="AG77">
        <v>8</v>
      </c>
      <c r="AH77">
        <v>0</v>
      </c>
      <c r="AI77">
        <v>0</v>
      </c>
      <c r="AJ77">
        <v>1</v>
      </c>
      <c r="AK77">
        <v>1</v>
      </c>
      <c r="AL77" t="s">
        <v>147</v>
      </c>
      <c r="AM77" t="s">
        <v>148</v>
      </c>
      <c r="AN77" t="s">
        <v>149</v>
      </c>
      <c r="AO77" t="s">
        <v>1500</v>
      </c>
      <c r="AP77" t="s">
        <v>1501</v>
      </c>
      <c r="AQ77" t="s">
        <v>74</v>
      </c>
      <c r="AR77" t="s">
        <v>1502</v>
      </c>
      <c r="AS77" t="s">
        <v>1503</v>
      </c>
      <c r="AT77" t="s">
        <v>1373</v>
      </c>
      <c r="AU77">
        <v>2023</v>
      </c>
      <c r="AV77">
        <v>459</v>
      </c>
      <c r="AW77" t="s">
        <v>74</v>
      </c>
      <c r="AX77" t="s">
        <v>74</v>
      </c>
      <c r="AY77" t="s">
        <v>74</v>
      </c>
      <c r="AZ77" t="s">
        <v>74</v>
      </c>
      <c r="BA77" t="s">
        <v>74</v>
      </c>
      <c r="BB77" t="s">
        <v>74</v>
      </c>
      <c r="BC77" t="s">
        <v>74</v>
      </c>
      <c r="BD77">
        <v>128270</v>
      </c>
      <c r="BE77" t="s">
        <v>1504</v>
      </c>
      <c r="BF77" t="str">
        <f>HYPERLINK("http://dx.doi.org/10.1016/j.amc.2023.128270","http://dx.doi.org/10.1016/j.amc.2023.128270")</f>
        <v>http://dx.doi.org/10.1016/j.amc.2023.128270</v>
      </c>
      <c r="BG77" t="s">
        <v>74</v>
      </c>
      <c r="BH77" t="s">
        <v>74</v>
      </c>
      <c r="BI77">
        <v>14</v>
      </c>
      <c r="BJ77" t="s">
        <v>202</v>
      </c>
      <c r="BK77" t="s">
        <v>100</v>
      </c>
      <c r="BL77" t="s">
        <v>101</v>
      </c>
      <c r="BM77" t="s">
        <v>1505</v>
      </c>
      <c r="BN77" t="s">
        <v>74</v>
      </c>
      <c r="BO77" t="s">
        <v>74</v>
      </c>
      <c r="BP77" t="s">
        <v>74</v>
      </c>
      <c r="BQ77" t="s">
        <v>74</v>
      </c>
      <c r="BR77" t="s">
        <v>104</v>
      </c>
      <c r="BS77" t="s">
        <v>1506</v>
      </c>
      <c r="BT77" t="str">
        <f>HYPERLINK("https%3A%2F%2Fwww.webofscience.com%2Fwos%2Fwoscc%2Ffull-record%2FWOS:001063293600001","View Full Record in Web of Science")</f>
        <v>View Full Record in Web of Science</v>
      </c>
    </row>
    <row r="78" spans="1:72" x14ac:dyDescent="0.15">
      <c r="A78" t="s">
        <v>72</v>
      </c>
      <c r="B78" t="s">
        <v>1507</v>
      </c>
      <c r="C78" t="s">
        <v>74</v>
      </c>
      <c r="D78" t="s">
        <v>74</v>
      </c>
      <c r="E78" t="s">
        <v>74</v>
      </c>
      <c r="F78" t="s">
        <v>1508</v>
      </c>
      <c r="G78" t="s">
        <v>74</v>
      </c>
      <c r="H78" t="s">
        <v>74</v>
      </c>
      <c r="I78" t="s">
        <v>1509</v>
      </c>
      <c r="J78" t="s">
        <v>261</v>
      </c>
      <c r="K78" t="s">
        <v>74</v>
      </c>
      <c r="L78" t="s">
        <v>74</v>
      </c>
      <c r="M78" t="s">
        <v>78</v>
      </c>
      <c r="N78" t="s">
        <v>79</v>
      </c>
      <c r="O78" t="s">
        <v>74</v>
      </c>
      <c r="P78" t="s">
        <v>74</v>
      </c>
      <c r="Q78" t="s">
        <v>74</v>
      </c>
      <c r="R78" t="s">
        <v>74</v>
      </c>
      <c r="S78" t="s">
        <v>74</v>
      </c>
      <c r="T78" t="s">
        <v>1510</v>
      </c>
      <c r="U78" t="s">
        <v>1511</v>
      </c>
      <c r="V78" t="s">
        <v>1512</v>
      </c>
      <c r="W78" t="s">
        <v>1513</v>
      </c>
      <c r="X78" t="s">
        <v>1514</v>
      </c>
      <c r="Y78" t="s">
        <v>1515</v>
      </c>
      <c r="Z78" t="s">
        <v>1516</v>
      </c>
      <c r="AA78" t="s">
        <v>74</v>
      </c>
      <c r="AB78" t="s">
        <v>1517</v>
      </c>
      <c r="AC78" t="s">
        <v>74</v>
      </c>
      <c r="AD78" t="s">
        <v>74</v>
      </c>
      <c r="AE78" t="s">
        <v>74</v>
      </c>
      <c r="AF78" t="s">
        <v>74</v>
      </c>
      <c r="AG78">
        <v>38</v>
      </c>
      <c r="AH78">
        <v>0</v>
      </c>
      <c r="AI78">
        <v>0</v>
      </c>
      <c r="AJ78">
        <v>17</v>
      </c>
      <c r="AK78">
        <v>17</v>
      </c>
      <c r="AL78" t="s">
        <v>120</v>
      </c>
      <c r="AM78" t="s">
        <v>121</v>
      </c>
      <c r="AN78" t="s">
        <v>122</v>
      </c>
      <c r="AO78" t="s">
        <v>272</v>
      </c>
      <c r="AP78" t="s">
        <v>273</v>
      </c>
      <c r="AQ78" t="s">
        <v>74</v>
      </c>
      <c r="AR78" t="s">
        <v>261</v>
      </c>
      <c r="AS78" t="s">
        <v>274</v>
      </c>
      <c r="AT78" t="s">
        <v>1373</v>
      </c>
      <c r="AU78">
        <v>2023</v>
      </c>
      <c r="AV78">
        <v>354</v>
      </c>
      <c r="AW78" t="s">
        <v>74</v>
      </c>
      <c r="AX78" t="s">
        <v>74</v>
      </c>
      <c r="AY78" t="s">
        <v>74</v>
      </c>
      <c r="AZ78" t="s">
        <v>74</v>
      </c>
      <c r="BA78" t="s">
        <v>74</v>
      </c>
      <c r="BB78" t="s">
        <v>74</v>
      </c>
      <c r="BC78" t="s">
        <v>74</v>
      </c>
      <c r="BD78">
        <v>129301</v>
      </c>
      <c r="BE78" t="s">
        <v>1518</v>
      </c>
      <c r="BF78" t="str">
        <f>HYPERLINK("http://dx.doi.org/10.1016/j.fuel.2023.129301","http://dx.doi.org/10.1016/j.fuel.2023.129301")</f>
        <v>http://dx.doi.org/10.1016/j.fuel.2023.129301</v>
      </c>
      <c r="BG78" t="s">
        <v>74</v>
      </c>
      <c r="BH78" t="s">
        <v>74</v>
      </c>
      <c r="BI78">
        <v>12</v>
      </c>
      <c r="BJ78" t="s">
        <v>276</v>
      </c>
      <c r="BK78" t="s">
        <v>100</v>
      </c>
      <c r="BL78" t="s">
        <v>277</v>
      </c>
      <c r="BM78" t="s">
        <v>1519</v>
      </c>
      <c r="BN78" t="s">
        <v>74</v>
      </c>
      <c r="BO78" t="s">
        <v>74</v>
      </c>
      <c r="BP78" t="s">
        <v>74</v>
      </c>
      <c r="BQ78" t="s">
        <v>74</v>
      </c>
      <c r="BR78" t="s">
        <v>104</v>
      </c>
      <c r="BS78" t="s">
        <v>1520</v>
      </c>
      <c r="BT78" t="str">
        <f>HYPERLINK("https%3A%2F%2Fwww.webofscience.com%2Fwos%2Fwoscc%2Ffull-record%2FWOS:001048884300001","View Full Record in Web of Science")</f>
        <v>View Full Record in Web of Science</v>
      </c>
    </row>
    <row r="79" spans="1:72" x14ac:dyDescent="0.15">
      <c r="A79" t="s">
        <v>72</v>
      </c>
      <c r="B79" t="s">
        <v>1521</v>
      </c>
      <c r="C79" t="s">
        <v>74</v>
      </c>
      <c r="D79" t="s">
        <v>74</v>
      </c>
      <c r="E79" t="s">
        <v>74</v>
      </c>
      <c r="F79" t="s">
        <v>1522</v>
      </c>
      <c r="G79" t="s">
        <v>74</v>
      </c>
      <c r="H79" t="s">
        <v>74</v>
      </c>
      <c r="I79" t="s">
        <v>1523</v>
      </c>
      <c r="J79" t="s">
        <v>1524</v>
      </c>
      <c r="K79" t="s">
        <v>74</v>
      </c>
      <c r="L79" t="s">
        <v>74</v>
      </c>
      <c r="M79" t="s">
        <v>78</v>
      </c>
      <c r="N79" t="s">
        <v>79</v>
      </c>
      <c r="O79" t="s">
        <v>74</v>
      </c>
      <c r="P79" t="s">
        <v>74</v>
      </c>
      <c r="Q79" t="s">
        <v>74</v>
      </c>
      <c r="R79" t="s">
        <v>74</v>
      </c>
      <c r="S79" t="s">
        <v>74</v>
      </c>
      <c r="T79" t="s">
        <v>1525</v>
      </c>
      <c r="U79" t="s">
        <v>74</v>
      </c>
      <c r="V79" t="s">
        <v>1526</v>
      </c>
      <c r="W79" t="s">
        <v>1527</v>
      </c>
      <c r="X79" t="s">
        <v>1528</v>
      </c>
      <c r="Y79" t="s">
        <v>1529</v>
      </c>
      <c r="Z79" t="s">
        <v>1530</v>
      </c>
      <c r="AA79" t="s">
        <v>74</v>
      </c>
      <c r="AB79" t="s">
        <v>74</v>
      </c>
      <c r="AC79" t="s">
        <v>1531</v>
      </c>
      <c r="AD79" t="s">
        <v>1532</v>
      </c>
      <c r="AE79" t="s">
        <v>1533</v>
      </c>
      <c r="AF79" t="s">
        <v>74</v>
      </c>
      <c r="AG79">
        <v>21</v>
      </c>
      <c r="AH79">
        <v>0</v>
      </c>
      <c r="AI79">
        <v>0</v>
      </c>
      <c r="AJ79">
        <v>5</v>
      </c>
      <c r="AK79">
        <v>5</v>
      </c>
      <c r="AL79" t="s">
        <v>90</v>
      </c>
      <c r="AM79" t="s">
        <v>91</v>
      </c>
      <c r="AN79" t="s">
        <v>92</v>
      </c>
      <c r="AO79" t="s">
        <v>1534</v>
      </c>
      <c r="AP79" t="s">
        <v>1535</v>
      </c>
      <c r="AQ79" t="s">
        <v>74</v>
      </c>
      <c r="AR79" t="s">
        <v>1536</v>
      </c>
      <c r="AS79" t="s">
        <v>1537</v>
      </c>
      <c r="AT79" t="s">
        <v>1373</v>
      </c>
      <c r="AU79">
        <v>2023</v>
      </c>
      <c r="AV79">
        <v>904</v>
      </c>
      <c r="AW79" t="s">
        <v>74</v>
      </c>
      <c r="AX79" t="s">
        <v>74</v>
      </c>
      <c r="AY79" t="s">
        <v>74</v>
      </c>
      <c r="AZ79" t="s">
        <v>74</v>
      </c>
      <c r="BA79" t="s">
        <v>74</v>
      </c>
      <c r="BB79" t="s">
        <v>74</v>
      </c>
      <c r="BC79" t="s">
        <v>74</v>
      </c>
      <c r="BD79">
        <v>166235</v>
      </c>
      <c r="BE79" t="s">
        <v>1538</v>
      </c>
      <c r="BF79" t="str">
        <f>HYPERLINK("http://dx.doi.org/10.1016/j.scitotenv.2023.166235","http://dx.doi.org/10.1016/j.scitotenv.2023.166235")</f>
        <v>http://dx.doi.org/10.1016/j.scitotenv.2023.166235</v>
      </c>
      <c r="BG79" t="s">
        <v>74</v>
      </c>
      <c r="BH79" t="s">
        <v>74</v>
      </c>
      <c r="BI79">
        <v>9</v>
      </c>
      <c r="BJ79" t="s">
        <v>1539</v>
      </c>
      <c r="BK79" t="s">
        <v>100</v>
      </c>
      <c r="BL79" t="s">
        <v>1540</v>
      </c>
      <c r="BM79" t="s">
        <v>1541</v>
      </c>
      <c r="BN79">
        <v>37595907</v>
      </c>
      <c r="BO79" t="s">
        <v>74</v>
      </c>
      <c r="BP79" t="s">
        <v>74</v>
      </c>
      <c r="BQ79" t="s">
        <v>74</v>
      </c>
      <c r="BR79" t="s">
        <v>104</v>
      </c>
      <c r="BS79" t="s">
        <v>1542</v>
      </c>
      <c r="BT79" t="str">
        <f>HYPERLINK("https%3A%2F%2Fwww.webofscience.com%2Fwos%2Fwoscc%2Ffull-record%2FWOS:001066795600001","View Full Record in Web of Science")</f>
        <v>View Full Record in Web of Science</v>
      </c>
    </row>
    <row r="80" spans="1:72" x14ac:dyDescent="0.15">
      <c r="A80" t="s">
        <v>72</v>
      </c>
      <c r="B80" t="s">
        <v>1543</v>
      </c>
      <c r="C80" t="s">
        <v>74</v>
      </c>
      <c r="D80" t="s">
        <v>74</v>
      </c>
      <c r="E80" t="s">
        <v>74</v>
      </c>
      <c r="F80" t="s">
        <v>1544</v>
      </c>
      <c r="G80" t="s">
        <v>74</v>
      </c>
      <c r="H80" t="s">
        <v>74</v>
      </c>
      <c r="I80" t="s">
        <v>1545</v>
      </c>
      <c r="J80" t="s">
        <v>1438</v>
      </c>
      <c r="K80" t="s">
        <v>74</v>
      </c>
      <c r="L80" t="s">
        <v>74</v>
      </c>
      <c r="M80" t="s">
        <v>78</v>
      </c>
      <c r="N80" t="s">
        <v>79</v>
      </c>
      <c r="O80" t="s">
        <v>74</v>
      </c>
      <c r="P80" t="s">
        <v>74</v>
      </c>
      <c r="Q80" t="s">
        <v>74</v>
      </c>
      <c r="R80" t="s">
        <v>74</v>
      </c>
      <c r="S80" t="s">
        <v>74</v>
      </c>
      <c r="T80" t="s">
        <v>1546</v>
      </c>
      <c r="U80" t="s">
        <v>1547</v>
      </c>
      <c r="V80" t="s">
        <v>1548</v>
      </c>
      <c r="W80" t="s">
        <v>1549</v>
      </c>
      <c r="X80" t="s">
        <v>1550</v>
      </c>
      <c r="Y80" t="s">
        <v>1551</v>
      </c>
      <c r="Z80" t="s">
        <v>1552</v>
      </c>
      <c r="AA80" t="s">
        <v>1553</v>
      </c>
      <c r="AB80" t="s">
        <v>1554</v>
      </c>
      <c r="AC80" t="s">
        <v>1555</v>
      </c>
      <c r="AD80" t="s">
        <v>1556</v>
      </c>
      <c r="AE80" t="s">
        <v>1557</v>
      </c>
      <c r="AF80" t="s">
        <v>74</v>
      </c>
      <c r="AG80">
        <v>54</v>
      </c>
      <c r="AH80">
        <v>0</v>
      </c>
      <c r="AI80">
        <v>0</v>
      </c>
      <c r="AJ80">
        <v>0</v>
      </c>
      <c r="AK80">
        <v>0</v>
      </c>
      <c r="AL80" t="s">
        <v>90</v>
      </c>
      <c r="AM80" t="s">
        <v>91</v>
      </c>
      <c r="AN80" t="s">
        <v>92</v>
      </c>
      <c r="AO80" t="s">
        <v>1448</v>
      </c>
      <c r="AP80" t="s">
        <v>1449</v>
      </c>
      <c r="AQ80" t="s">
        <v>74</v>
      </c>
      <c r="AR80" t="s">
        <v>1438</v>
      </c>
      <c r="AS80" t="s">
        <v>1450</v>
      </c>
      <c r="AT80" t="s">
        <v>1373</v>
      </c>
      <c r="AU80">
        <v>2023</v>
      </c>
      <c r="AV80">
        <v>577</v>
      </c>
      <c r="AW80" t="s">
        <v>74</v>
      </c>
      <c r="AX80" t="s">
        <v>74</v>
      </c>
      <c r="AY80" t="s">
        <v>74</v>
      </c>
      <c r="AZ80" t="s">
        <v>74</v>
      </c>
      <c r="BA80" t="s">
        <v>74</v>
      </c>
      <c r="BB80" t="s">
        <v>74</v>
      </c>
      <c r="BC80" t="s">
        <v>74</v>
      </c>
      <c r="BD80">
        <v>739948</v>
      </c>
      <c r="BE80" t="s">
        <v>1558</v>
      </c>
      <c r="BF80" t="str">
        <f>HYPERLINK("http://dx.doi.org/10.1016/j.aquaculture.2023.739948","http://dx.doi.org/10.1016/j.aquaculture.2023.739948")</f>
        <v>http://dx.doi.org/10.1016/j.aquaculture.2023.739948</v>
      </c>
      <c r="BG80" t="s">
        <v>74</v>
      </c>
      <c r="BH80" t="s">
        <v>74</v>
      </c>
      <c r="BI80">
        <v>10</v>
      </c>
      <c r="BJ80" t="s">
        <v>1452</v>
      </c>
      <c r="BK80" t="s">
        <v>100</v>
      </c>
      <c r="BL80" t="s">
        <v>1452</v>
      </c>
      <c r="BM80" t="s">
        <v>1559</v>
      </c>
      <c r="BN80" t="s">
        <v>74</v>
      </c>
      <c r="BO80" t="s">
        <v>74</v>
      </c>
      <c r="BP80" t="s">
        <v>74</v>
      </c>
      <c r="BQ80" t="s">
        <v>74</v>
      </c>
      <c r="BR80" t="s">
        <v>104</v>
      </c>
      <c r="BS80" t="s">
        <v>1560</v>
      </c>
      <c r="BT80" t="str">
        <f>HYPERLINK("https%3A%2F%2Fwww.webofscience.com%2Fwos%2Fwoscc%2Ffull-record%2FWOS:001052739000001","View Full Record in Web of Science")</f>
        <v>View Full Record in Web of Science</v>
      </c>
    </row>
    <row r="81" spans="1:72" x14ac:dyDescent="0.15">
      <c r="A81" t="s">
        <v>72</v>
      </c>
      <c r="B81" t="s">
        <v>1561</v>
      </c>
      <c r="C81" t="s">
        <v>74</v>
      </c>
      <c r="D81" t="s">
        <v>74</v>
      </c>
      <c r="E81" t="s">
        <v>74</v>
      </c>
      <c r="F81" t="s">
        <v>1562</v>
      </c>
      <c r="G81" t="s">
        <v>74</v>
      </c>
      <c r="H81" t="s">
        <v>74</v>
      </c>
      <c r="I81" t="s">
        <v>1563</v>
      </c>
      <c r="J81" t="s">
        <v>1564</v>
      </c>
      <c r="K81" t="s">
        <v>74</v>
      </c>
      <c r="L81" t="s">
        <v>74</v>
      </c>
      <c r="M81" t="s">
        <v>78</v>
      </c>
      <c r="N81" t="s">
        <v>79</v>
      </c>
      <c r="O81" t="s">
        <v>74</v>
      </c>
      <c r="P81" t="s">
        <v>74</v>
      </c>
      <c r="Q81" t="s">
        <v>74</v>
      </c>
      <c r="R81" t="s">
        <v>74</v>
      </c>
      <c r="S81" t="s">
        <v>74</v>
      </c>
      <c r="T81" t="s">
        <v>1565</v>
      </c>
      <c r="U81" t="s">
        <v>1566</v>
      </c>
      <c r="V81" t="s">
        <v>1567</v>
      </c>
      <c r="W81" t="s">
        <v>1568</v>
      </c>
      <c r="X81" t="s">
        <v>1569</v>
      </c>
      <c r="Y81" t="s">
        <v>1570</v>
      </c>
      <c r="Z81" t="s">
        <v>1571</v>
      </c>
      <c r="AA81" t="s">
        <v>74</v>
      </c>
      <c r="AB81" t="s">
        <v>1572</v>
      </c>
      <c r="AC81" t="s">
        <v>1573</v>
      </c>
      <c r="AD81" t="s">
        <v>1574</v>
      </c>
      <c r="AE81" t="s">
        <v>1575</v>
      </c>
      <c r="AF81" t="s">
        <v>74</v>
      </c>
      <c r="AG81">
        <v>8</v>
      </c>
      <c r="AH81">
        <v>0</v>
      </c>
      <c r="AI81">
        <v>0</v>
      </c>
      <c r="AJ81">
        <v>0</v>
      </c>
      <c r="AK81">
        <v>0</v>
      </c>
      <c r="AL81" t="s">
        <v>90</v>
      </c>
      <c r="AM81" t="s">
        <v>91</v>
      </c>
      <c r="AN81" t="s">
        <v>92</v>
      </c>
      <c r="AO81" t="s">
        <v>1576</v>
      </c>
      <c r="AP81" t="s">
        <v>1577</v>
      </c>
      <c r="AQ81" t="s">
        <v>74</v>
      </c>
      <c r="AR81" t="s">
        <v>1578</v>
      </c>
      <c r="AS81" t="s">
        <v>1579</v>
      </c>
      <c r="AT81" t="s">
        <v>1373</v>
      </c>
      <c r="AU81">
        <v>2023</v>
      </c>
      <c r="AV81">
        <v>340</v>
      </c>
      <c r="AW81" t="s">
        <v>74</v>
      </c>
      <c r="AX81" t="s">
        <v>74</v>
      </c>
      <c r="AY81" t="s">
        <v>74</v>
      </c>
      <c r="AZ81" t="s">
        <v>74</v>
      </c>
      <c r="BA81" t="s">
        <v>74</v>
      </c>
      <c r="BB81">
        <v>79</v>
      </c>
      <c r="BC81">
        <v>84</v>
      </c>
      <c r="BD81" t="s">
        <v>74</v>
      </c>
      <c r="BE81" t="s">
        <v>1580</v>
      </c>
      <c r="BF81" t="str">
        <f>HYPERLINK("http://dx.doi.org/10.1016/j.dam.2023.06.033","http://dx.doi.org/10.1016/j.dam.2023.06.033")</f>
        <v>http://dx.doi.org/10.1016/j.dam.2023.06.033</v>
      </c>
      <c r="BG81" t="s">
        <v>74</v>
      </c>
      <c r="BH81" t="s">
        <v>74</v>
      </c>
      <c r="BI81">
        <v>6</v>
      </c>
      <c r="BJ81" t="s">
        <v>202</v>
      </c>
      <c r="BK81" t="s">
        <v>100</v>
      </c>
      <c r="BL81" t="s">
        <v>101</v>
      </c>
      <c r="BM81" t="s">
        <v>1581</v>
      </c>
      <c r="BN81" t="s">
        <v>74</v>
      </c>
      <c r="BO81" t="s">
        <v>1582</v>
      </c>
      <c r="BP81" t="s">
        <v>74</v>
      </c>
      <c r="BQ81" t="s">
        <v>74</v>
      </c>
      <c r="BR81" t="s">
        <v>104</v>
      </c>
      <c r="BS81" t="s">
        <v>1583</v>
      </c>
      <c r="BT81" t="str">
        <f>HYPERLINK("https%3A%2F%2Fwww.webofscience.com%2Fwos%2Fwoscc%2Ffull-record%2FWOS:001044846000001","View Full Record in Web of Science")</f>
        <v>View Full Record in Web of Science</v>
      </c>
    </row>
    <row r="82" spans="1:72" x14ac:dyDescent="0.15">
      <c r="A82" t="s">
        <v>72</v>
      </c>
      <c r="B82" t="s">
        <v>1584</v>
      </c>
      <c r="C82" t="s">
        <v>74</v>
      </c>
      <c r="D82" t="s">
        <v>74</v>
      </c>
      <c r="E82" t="s">
        <v>74</v>
      </c>
      <c r="F82" t="s">
        <v>1585</v>
      </c>
      <c r="G82" t="s">
        <v>74</v>
      </c>
      <c r="H82" t="s">
        <v>74</v>
      </c>
      <c r="I82" t="s">
        <v>1586</v>
      </c>
      <c r="J82" t="s">
        <v>1587</v>
      </c>
      <c r="K82" t="s">
        <v>74</v>
      </c>
      <c r="L82" t="s">
        <v>74</v>
      </c>
      <c r="M82" t="s">
        <v>78</v>
      </c>
      <c r="N82" t="s">
        <v>79</v>
      </c>
      <c r="O82" t="s">
        <v>74</v>
      </c>
      <c r="P82" t="s">
        <v>74</v>
      </c>
      <c r="Q82" t="s">
        <v>74</v>
      </c>
      <c r="R82" t="s">
        <v>74</v>
      </c>
      <c r="S82" t="s">
        <v>74</v>
      </c>
      <c r="T82" t="s">
        <v>1588</v>
      </c>
      <c r="U82" t="s">
        <v>1589</v>
      </c>
      <c r="V82" t="s">
        <v>1590</v>
      </c>
      <c r="W82" t="s">
        <v>1591</v>
      </c>
      <c r="X82" t="s">
        <v>1592</v>
      </c>
      <c r="Y82" t="s">
        <v>1593</v>
      </c>
      <c r="Z82" t="s">
        <v>1594</v>
      </c>
      <c r="AA82" t="s">
        <v>74</v>
      </c>
      <c r="AB82" t="s">
        <v>74</v>
      </c>
      <c r="AC82" t="s">
        <v>1595</v>
      </c>
      <c r="AD82" t="s">
        <v>1596</v>
      </c>
      <c r="AE82" t="s">
        <v>1597</v>
      </c>
      <c r="AF82" t="s">
        <v>74</v>
      </c>
      <c r="AG82">
        <v>54</v>
      </c>
      <c r="AH82">
        <v>0</v>
      </c>
      <c r="AI82">
        <v>0</v>
      </c>
      <c r="AJ82">
        <v>1</v>
      </c>
      <c r="AK82">
        <v>1</v>
      </c>
      <c r="AL82" t="s">
        <v>90</v>
      </c>
      <c r="AM82" t="s">
        <v>91</v>
      </c>
      <c r="AN82" t="s">
        <v>92</v>
      </c>
      <c r="AO82" t="s">
        <v>1598</v>
      </c>
      <c r="AP82" t="s">
        <v>1599</v>
      </c>
      <c r="AQ82" t="s">
        <v>74</v>
      </c>
      <c r="AR82" t="s">
        <v>1600</v>
      </c>
      <c r="AS82" t="s">
        <v>1601</v>
      </c>
      <c r="AT82" t="s">
        <v>1373</v>
      </c>
      <c r="AU82">
        <v>2023</v>
      </c>
      <c r="AV82">
        <v>327</v>
      </c>
      <c r="AW82" t="s">
        <v>74</v>
      </c>
      <c r="AX82" t="s">
        <v>74</v>
      </c>
      <c r="AY82" t="s">
        <v>74</v>
      </c>
      <c r="AZ82" t="s">
        <v>74</v>
      </c>
      <c r="BA82" t="s">
        <v>74</v>
      </c>
      <c r="BB82" t="s">
        <v>74</v>
      </c>
      <c r="BC82" t="s">
        <v>74</v>
      </c>
      <c r="BD82">
        <v>124936</v>
      </c>
      <c r="BE82" t="s">
        <v>1602</v>
      </c>
      <c r="BF82" t="str">
        <f>HYPERLINK("http://dx.doi.org/10.1016/j.seppur.2023.124936","http://dx.doi.org/10.1016/j.seppur.2023.124936")</f>
        <v>http://dx.doi.org/10.1016/j.seppur.2023.124936</v>
      </c>
      <c r="BG82" t="s">
        <v>74</v>
      </c>
      <c r="BH82" t="s">
        <v>74</v>
      </c>
      <c r="BI82">
        <v>11</v>
      </c>
      <c r="BJ82" t="s">
        <v>1603</v>
      </c>
      <c r="BK82" t="s">
        <v>100</v>
      </c>
      <c r="BL82" t="s">
        <v>873</v>
      </c>
      <c r="BM82" t="s">
        <v>1604</v>
      </c>
      <c r="BN82" t="s">
        <v>74</v>
      </c>
      <c r="BO82" t="s">
        <v>74</v>
      </c>
      <c r="BP82" t="s">
        <v>74</v>
      </c>
      <c r="BQ82" t="s">
        <v>74</v>
      </c>
      <c r="BR82" t="s">
        <v>104</v>
      </c>
      <c r="BS82" t="s">
        <v>1605</v>
      </c>
      <c r="BT82" t="str">
        <f>HYPERLINK("https%3A%2F%2Fwww.webofscience.com%2Fwos%2Fwoscc%2Ffull-record%2FWOS:001070642100001","View Full Record in Web of Science")</f>
        <v>View Full Record in Web of Science</v>
      </c>
    </row>
    <row r="83" spans="1:72" x14ac:dyDescent="0.15">
      <c r="A83" t="s">
        <v>72</v>
      </c>
      <c r="B83" t="s">
        <v>1606</v>
      </c>
      <c r="C83" t="s">
        <v>74</v>
      </c>
      <c r="D83" t="s">
        <v>74</v>
      </c>
      <c r="E83" t="s">
        <v>74</v>
      </c>
      <c r="F83" t="s">
        <v>1607</v>
      </c>
      <c r="G83" t="s">
        <v>74</v>
      </c>
      <c r="H83" t="s">
        <v>74</v>
      </c>
      <c r="I83" t="s">
        <v>1608</v>
      </c>
      <c r="J83" t="s">
        <v>1609</v>
      </c>
      <c r="K83" t="s">
        <v>74</v>
      </c>
      <c r="L83" t="s">
        <v>74</v>
      </c>
      <c r="M83" t="s">
        <v>78</v>
      </c>
      <c r="N83" t="s">
        <v>79</v>
      </c>
      <c r="O83" t="s">
        <v>74</v>
      </c>
      <c r="P83" t="s">
        <v>74</v>
      </c>
      <c r="Q83" t="s">
        <v>74</v>
      </c>
      <c r="R83" t="s">
        <v>74</v>
      </c>
      <c r="S83" t="s">
        <v>74</v>
      </c>
      <c r="T83" t="s">
        <v>1610</v>
      </c>
      <c r="U83" t="s">
        <v>74</v>
      </c>
      <c r="V83" t="s">
        <v>1611</v>
      </c>
      <c r="W83" t="s">
        <v>1612</v>
      </c>
      <c r="X83" t="s">
        <v>1613</v>
      </c>
      <c r="Y83" t="s">
        <v>1614</v>
      </c>
      <c r="Z83" t="s">
        <v>74</v>
      </c>
      <c r="AA83" t="s">
        <v>74</v>
      </c>
      <c r="AB83" t="s">
        <v>74</v>
      </c>
      <c r="AC83" t="s">
        <v>1615</v>
      </c>
      <c r="AD83" t="s">
        <v>1616</v>
      </c>
      <c r="AE83" t="s">
        <v>1617</v>
      </c>
      <c r="AF83" t="s">
        <v>74</v>
      </c>
      <c r="AG83">
        <v>10</v>
      </c>
      <c r="AH83">
        <v>0</v>
      </c>
      <c r="AI83">
        <v>0</v>
      </c>
      <c r="AJ83">
        <v>2</v>
      </c>
      <c r="AK83">
        <v>2</v>
      </c>
      <c r="AL83" t="s">
        <v>173</v>
      </c>
      <c r="AM83" t="s">
        <v>121</v>
      </c>
      <c r="AN83" t="s">
        <v>174</v>
      </c>
      <c r="AO83" t="s">
        <v>1618</v>
      </c>
      <c r="AP83" t="s">
        <v>1619</v>
      </c>
      <c r="AQ83" t="s">
        <v>74</v>
      </c>
      <c r="AR83" t="s">
        <v>1620</v>
      </c>
      <c r="AS83" t="s">
        <v>1621</v>
      </c>
      <c r="AT83" t="s">
        <v>1373</v>
      </c>
      <c r="AU83">
        <v>2023</v>
      </c>
      <c r="AV83">
        <v>194</v>
      </c>
      <c r="AW83" t="s">
        <v>74</v>
      </c>
      <c r="AX83" t="s">
        <v>74</v>
      </c>
      <c r="AY83" t="s">
        <v>74</v>
      </c>
      <c r="AZ83" t="s">
        <v>74</v>
      </c>
      <c r="BA83" t="s">
        <v>74</v>
      </c>
      <c r="BB83" t="s">
        <v>74</v>
      </c>
      <c r="BC83" t="s">
        <v>74</v>
      </c>
      <c r="BD83">
        <v>109996</v>
      </c>
      <c r="BE83" t="s">
        <v>1622</v>
      </c>
      <c r="BF83" t="str">
        <f>HYPERLINK("http://dx.doi.org/10.1016/j.anucene.2023.109996","http://dx.doi.org/10.1016/j.anucene.2023.109996")</f>
        <v>http://dx.doi.org/10.1016/j.anucene.2023.109996</v>
      </c>
      <c r="BG83" t="s">
        <v>74</v>
      </c>
      <c r="BH83" t="s">
        <v>74</v>
      </c>
      <c r="BI83">
        <v>12</v>
      </c>
      <c r="BJ83" t="s">
        <v>1623</v>
      </c>
      <c r="BK83" t="s">
        <v>100</v>
      </c>
      <c r="BL83" t="s">
        <v>1623</v>
      </c>
      <c r="BM83" t="s">
        <v>1624</v>
      </c>
      <c r="BN83" t="s">
        <v>74</v>
      </c>
      <c r="BO83" t="s">
        <v>74</v>
      </c>
      <c r="BP83" t="s">
        <v>74</v>
      </c>
      <c r="BQ83" t="s">
        <v>74</v>
      </c>
      <c r="BR83" t="s">
        <v>104</v>
      </c>
      <c r="BS83" t="s">
        <v>1625</v>
      </c>
      <c r="BT83" t="str">
        <f>HYPERLINK("https%3A%2F%2Fwww.webofscience.com%2Fwos%2Fwoscc%2Ffull-record%2FWOS:001061619400001","View Full Record in Web of Science")</f>
        <v>View Full Record in Web of Science</v>
      </c>
    </row>
    <row r="84" spans="1:72" x14ac:dyDescent="0.15">
      <c r="A84" t="s">
        <v>72</v>
      </c>
      <c r="B84" t="s">
        <v>1626</v>
      </c>
      <c r="C84" t="s">
        <v>74</v>
      </c>
      <c r="D84" t="s">
        <v>74</v>
      </c>
      <c r="E84" t="s">
        <v>74</v>
      </c>
      <c r="F84" t="s">
        <v>1627</v>
      </c>
      <c r="G84" t="s">
        <v>74</v>
      </c>
      <c r="H84" t="s">
        <v>74</v>
      </c>
      <c r="I84" t="s">
        <v>1628</v>
      </c>
      <c r="J84" t="s">
        <v>1524</v>
      </c>
      <c r="K84" t="s">
        <v>74</v>
      </c>
      <c r="L84" t="s">
        <v>74</v>
      </c>
      <c r="M84" t="s">
        <v>78</v>
      </c>
      <c r="N84" t="s">
        <v>79</v>
      </c>
      <c r="O84" t="s">
        <v>74</v>
      </c>
      <c r="P84" t="s">
        <v>74</v>
      </c>
      <c r="Q84" t="s">
        <v>74</v>
      </c>
      <c r="R84" t="s">
        <v>74</v>
      </c>
      <c r="S84" t="s">
        <v>74</v>
      </c>
      <c r="T84" t="s">
        <v>1629</v>
      </c>
      <c r="U84" t="s">
        <v>1630</v>
      </c>
      <c r="V84" t="s">
        <v>1631</v>
      </c>
      <c r="W84" t="s">
        <v>1632</v>
      </c>
      <c r="X84" t="s">
        <v>1633</v>
      </c>
      <c r="Y84" t="s">
        <v>1634</v>
      </c>
      <c r="Z84" t="s">
        <v>1635</v>
      </c>
      <c r="AA84" t="s">
        <v>74</v>
      </c>
      <c r="AB84" t="s">
        <v>74</v>
      </c>
      <c r="AC84" t="s">
        <v>1636</v>
      </c>
      <c r="AD84" t="s">
        <v>1637</v>
      </c>
      <c r="AE84" t="s">
        <v>1638</v>
      </c>
      <c r="AF84" t="s">
        <v>74</v>
      </c>
      <c r="AG84">
        <v>62</v>
      </c>
      <c r="AH84">
        <v>0</v>
      </c>
      <c r="AI84">
        <v>0</v>
      </c>
      <c r="AJ84">
        <v>11</v>
      </c>
      <c r="AK84">
        <v>11</v>
      </c>
      <c r="AL84" t="s">
        <v>90</v>
      </c>
      <c r="AM84" t="s">
        <v>91</v>
      </c>
      <c r="AN84" t="s">
        <v>92</v>
      </c>
      <c r="AO84" t="s">
        <v>1534</v>
      </c>
      <c r="AP84" t="s">
        <v>1535</v>
      </c>
      <c r="AQ84" t="s">
        <v>74</v>
      </c>
      <c r="AR84" t="s">
        <v>1536</v>
      </c>
      <c r="AS84" t="s">
        <v>1537</v>
      </c>
      <c r="AT84" t="s">
        <v>1373</v>
      </c>
      <c r="AU84">
        <v>2023</v>
      </c>
      <c r="AV84">
        <v>904</v>
      </c>
      <c r="AW84" t="s">
        <v>74</v>
      </c>
      <c r="AX84" t="s">
        <v>74</v>
      </c>
      <c r="AY84" t="s">
        <v>74</v>
      </c>
      <c r="AZ84" t="s">
        <v>74</v>
      </c>
      <c r="BA84" t="s">
        <v>74</v>
      </c>
      <c r="BB84" t="s">
        <v>74</v>
      </c>
      <c r="BC84" t="s">
        <v>74</v>
      </c>
      <c r="BD84">
        <v>166716</v>
      </c>
      <c r="BE84" t="s">
        <v>1639</v>
      </c>
      <c r="BF84" t="str">
        <f>HYPERLINK("http://dx.doi.org/10.1016/j.scitotenv.2023.166716","http://dx.doi.org/10.1016/j.scitotenv.2023.166716")</f>
        <v>http://dx.doi.org/10.1016/j.scitotenv.2023.166716</v>
      </c>
      <c r="BG84" t="s">
        <v>74</v>
      </c>
      <c r="BH84" t="s">
        <v>74</v>
      </c>
      <c r="BI84">
        <v>14</v>
      </c>
      <c r="BJ84" t="s">
        <v>1539</v>
      </c>
      <c r="BK84" t="s">
        <v>100</v>
      </c>
      <c r="BL84" t="s">
        <v>1540</v>
      </c>
      <c r="BM84" t="s">
        <v>1640</v>
      </c>
      <c r="BN84">
        <v>37659533</v>
      </c>
      <c r="BO84" t="s">
        <v>295</v>
      </c>
      <c r="BP84" t="s">
        <v>74</v>
      </c>
      <c r="BQ84" t="s">
        <v>74</v>
      </c>
      <c r="BR84" t="s">
        <v>104</v>
      </c>
      <c r="BS84" t="s">
        <v>1641</v>
      </c>
      <c r="BT84" t="str">
        <f>HYPERLINK("https%3A%2F%2Fwww.webofscience.com%2Fwos%2Fwoscc%2Ffull-record%2FWOS:001070772200001","View Full Record in Web of Science")</f>
        <v>View Full Record in Web of Science</v>
      </c>
    </row>
    <row r="85" spans="1:72" x14ac:dyDescent="0.15">
      <c r="A85" t="s">
        <v>72</v>
      </c>
      <c r="B85" t="s">
        <v>1642</v>
      </c>
      <c r="C85" t="s">
        <v>74</v>
      </c>
      <c r="D85" t="s">
        <v>74</v>
      </c>
      <c r="E85" t="s">
        <v>74</v>
      </c>
      <c r="F85" t="s">
        <v>1643</v>
      </c>
      <c r="G85" t="s">
        <v>74</v>
      </c>
      <c r="H85" t="s">
        <v>74</v>
      </c>
      <c r="I85" t="s">
        <v>1644</v>
      </c>
      <c r="J85" t="s">
        <v>261</v>
      </c>
      <c r="K85" t="s">
        <v>74</v>
      </c>
      <c r="L85" t="s">
        <v>74</v>
      </c>
      <c r="M85" t="s">
        <v>78</v>
      </c>
      <c r="N85" t="s">
        <v>79</v>
      </c>
      <c r="O85" t="s">
        <v>74</v>
      </c>
      <c r="P85" t="s">
        <v>74</v>
      </c>
      <c r="Q85" t="s">
        <v>74</v>
      </c>
      <c r="R85" t="s">
        <v>74</v>
      </c>
      <c r="S85" t="s">
        <v>74</v>
      </c>
      <c r="T85" t="s">
        <v>1645</v>
      </c>
      <c r="U85" t="s">
        <v>1646</v>
      </c>
      <c r="V85" t="s">
        <v>1647</v>
      </c>
      <c r="W85" t="s">
        <v>1648</v>
      </c>
      <c r="X85" t="s">
        <v>1649</v>
      </c>
      <c r="Y85" t="s">
        <v>1650</v>
      </c>
      <c r="Z85" t="s">
        <v>1651</v>
      </c>
      <c r="AA85" t="s">
        <v>1652</v>
      </c>
      <c r="AB85" t="s">
        <v>1653</v>
      </c>
      <c r="AC85" t="s">
        <v>1654</v>
      </c>
      <c r="AD85" t="s">
        <v>1655</v>
      </c>
      <c r="AE85" t="s">
        <v>1656</v>
      </c>
      <c r="AF85" t="s">
        <v>74</v>
      </c>
      <c r="AG85">
        <v>170</v>
      </c>
      <c r="AH85">
        <v>0</v>
      </c>
      <c r="AI85">
        <v>0</v>
      </c>
      <c r="AJ85">
        <v>4</v>
      </c>
      <c r="AK85">
        <v>4</v>
      </c>
      <c r="AL85" t="s">
        <v>120</v>
      </c>
      <c r="AM85" t="s">
        <v>121</v>
      </c>
      <c r="AN85" t="s">
        <v>122</v>
      </c>
      <c r="AO85" t="s">
        <v>272</v>
      </c>
      <c r="AP85" t="s">
        <v>273</v>
      </c>
      <c r="AQ85" t="s">
        <v>74</v>
      </c>
      <c r="AR85" t="s">
        <v>261</v>
      </c>
      <c r="AS85" t="s">
        <v>274</v>
      </c>
      <c r="AT85" t="s">
        <v>1373</v>
      </c>
      <c r="AU85">
        <v>2023</v>
      </c>
      <c r="AV85">
        <v>354</v>
      </c>
      <c r="AW85" t="s">
        <v>74</v>
      </c>
      <c r="AX85" t="s">
        <v>74</v>
      </c>
      <c r="AY85" t="s">
        <v>74</v>
      </c>
      <c r="AZ85" t="s">
        <v>74</v>
      </c>
      <c r="BA85" t="s">
        <v>74</v>
      </c>
      <c r="BB85" t="s">
        <v>74</v>
      </c>
      <c r="BC85" t="s">
        <v>74</v>
      </c>
      <c r="BD85">
        <v>129403</v>
      </c>
      <c r="BE85" t="s">
        <v>1657</v>
      </c>
      <c r="BF85" t="str">
        <f>HYPERLINK("http://dx.doi.org/10.1016/j.fuel.2023.129403","http://dx.doi.org/10.1016/j.fuel.2023.129403")</f>
        <v>http://dx.doi.org/10.1016/j.fuel.2023.129403</v>
      </c>
      <c r="BG85" t="s">
        <v>74</v>
      </c>
      <c r="BH85" t="s">
        <v>74</v>
      </c>
      <c r="BI85">
        <v>18</v>
      </c>
      <c r="BJ85" t="s">
        <v>276</v>
      </c>
      <c r="BK85" t="s">
        <v>100</v>
      </c>
      <c r="BL85" t="s">
        <v>277</v>
      </c>
      <c r="BM85" t="s">
        <v>1658</v>
      </c>
      <c r="BN85" t="s">
        <v>74</v>
      </c>
      <c r="BO85" t="s">
        <v>74</v>
      </c>
      <c r="BP85" t="s">
        <v>74</v>
      </c>
      <c r="BQ85" t="s">
        <v>74</v>
      </c>
      <c r="BR85" t="s">
        <v>104</v>
      </c>
      <c r="BS85" t="s">
        <v>1659</v>
      </c>
      <c r="BT85" t="str">
        <f>HYPERLINK("https%3A%2F%2Fwww.webofscience.com%2Fwos%2Fwoscc%2Ffull-record%2FWOS:001059413200001","View Full Record in Web of Science")</f>
        <v>View Full Record in Web of Science</v>
      </c>
    </row>
    <row r="86" spans="1:72" x14ac:dyDescent="0.15">
      <c r="A86" t="s">
        <v>72</v>
      </c>
      <c r="B86" t="s">
        <v>1660</v>
      </c>
      <c r="C86" t="s">
        <v>74</v>
      </c>
      <c r="D86" t="s">
        <v>74</v>
      </c>
      <c r="E86" t="s">
        <v>74</v>
      </c>
      <c r="F86" t="s">
        <v>1661</v>
      </c>
      <c r="G86" t="s">
        <v>74</v>
      </c>
      <c r="H86" t="s">
        <v>74</v>
      </c>
      <c r="I86" t="s">
        <v>1662</v>
      </c>
      <c r="J86" t="s">
        <v>109</v>
      </c>
      <c r="K86" t="s">
        <v>74</v>
      </c>
      <c r="L86" t="s">
        <v>74</v>
      </c>
      <c r="M86" t="s">
        <v>78</v>
      </c>
      <c r="N86" t="s">
        <v>79</v>
      </c>
      <c r="O86" t="s">
        <v>74</v>
      </c>
      <c r="P86" t="s">
        <v>74</v>
      </c>
      <c r="Q86" t="s">
        <v>74</v>
      </c>
      <c r="R86" t="s">
        <v>74</v>
      </c>
      <c r="S86" t="s">
        <v>74</v>
      </c>
      <c r="T86" t="s">
        <v>1663</v>
      </c>
      <c r="U86" t="s">
        <v>1664</v>
      </c>
      <c r="V86" t="s">
        <v>1665</v>
      </c>
      <c r="W86" t="s">
        <v>1666</v>
      </c>
      <c r="X86" t="s">
        <v>1667</v>
      </c>
      <c r="Y86" t="s">
        <v>1668</v>
      </c>
      <c r="Z86" t="s">
        <v>1669</v>
      </c>
      <c r="AA86" t="s">
        <v>74</v>
      </c>
      <c r="AB86" t="s">
        <v>74</v>
      </c>
      <c r="AC86" t="s">
        <v>1670</v>
      </c>
      <c r="AD86" t="s">
        <v>1671</v>
      </c>
      <c r="AE86" t="s">
        <v>1672</v>
      </c>
      <c r="AF86" t="s">
        <v>74</v>
      </c>
      <c r="AG86">
        <v>43</v>
      </c>
      <c r="AH86">
        <v>0</v>
      </c>
      <c r="AI86">
        <v>0</v>
      </c>
      <c r="AJ86">
        <v>9</v>
      </c>
      <c r="AK86">
        <v>9</v>
      </c>
      <c r="AL86" t="s">
        <v>120</v>
      </c>
      <c r="AM86" t="s">
        <v>121</v>
      </c>
      <c r="AN86" t="s">
        <v>122</v>
      </c>
      <c r="AO86" t="s">
        <v>123</v>
      </c>
      <c r="AP86" t="s">
        <v>124</v>
      </c>
      <c r="AQ86" t="s">
        <v>74</v>
      </c>
      <c r="AR86" t="s">
        <v>125</v>
      </c>
      <c r="AS86" t="s">
        <v>126</v>
      </c>
      <c r="AT86" t="s">
        <v>1373</v>
      </c>
      <c r="AU86">
        <v>2023</v>
      </c>
      <c r="AV86">
        <v>429</v>
      </c>
      <c r="AW86" t="s">
        <v>74</v>
      </c>
      <c r="AX86" t="s">
        <v>74</v>
      </c>
      <c r="AY86" t="s">
        <v>74</v>
      </c>
      <c r="AZ86" t="s">
        <v>74</v>
      </c>
      <c r="BA86" t="s">
        <v>74</v>
      </c>
      <c r="BB86" t="s">
        <v>74</v>
      </c>
      <c r="BC86" t="s">
        <v>74</v>
      </c>
      <c r="BD86">
        <v>136962</v>
      </c>
      <c r="BE86" t="s">
        <v>1673</v>
      </c>
      <c r="BF86" t="str">
        <f>HYPERLINK("http://dx.doi.org/10.1016/j.foodchem.2023.136962","http://dx.doi.org/10.1016/j.foodchem.2023.136962")</f>
        <v>http://dx.doi.org/10.1016/j.foodchem.2023.136962</v>
      </c>
      <c r="BG86" t="s">
        <v>74</v>
      </c>
      <c r="BH86" t="s">
        <v>74</v>
      </c>
      <c r="BI86">
        <v>9</v>
      </c>
      <c r="BJ86" t="s">
        <v>129</v>
      </c>
      <c r="BK86" t="s">
        <v>100</v>
      </c>
      <c r="BL86" t="s">
        <v>130</v>
      </c>
      <c r="BM86" t="s">
        <v>1674</v>
      </c>
      <c r="BN86">
        <v>37517229</v>
      </c>
      <c r="BO86" t="s">
        <v>74</v>
      </c>
      <c r="BP86" t="s">
        <v>74</v>
      </c>
      <c r="BQ86" t="s">
        <v>74</v>
      </c>
      <c r="BR86" t="s">
        <v>104</v>
      </c>
      <c r="BS86" t="s">
        <v>1675</v>
      </c>
      <c r="BT86" t="str">
        <f>HYPERLINK("https%3A%2F%2Fwww.webofscience.com%2Fwos%2Fwoscc%2Ffull-record%2FWOS:001056359600001","View Full Record in Web of Science")</f>
        <v>View Full Record in Web of Science</v>
      </c>
    </row>
    <row r="87" spans="1:72" x14ac:dyDescent="0.15">
      <c r="A87" t="s">
        <v>72</v>
      </c>
      <c r="B87" t="s">
        <v>1676</v>
      </c>
      <c r="C87" t="s">
        <v>74</v>
      </c>
      <c r="D87" t="s">
        <v>74</v>
      </c>
      <c r="E87" t="s">
        <v>74</v>
      </c>
      <c r="F87" t="s">
        <v>1677</v>
      </c>
      <c r="G87" t="s">
        <v>74</v>
      </c>
      <c r="H87" t="s">
        <v>74</v>
      </c>
      <c r="I87" t="s">
        <v>1678</v>
      </c>
      <c r="J87" t="s">
        <v>1401</v>
      </c>
      <c r="K87" t="s">
        <v>74</v>
      </c>
      <c r="L87" t="s">
        <v>74</v>
      </c>
      <c r="M87" t="s">
        <v>78</v>
      </c>
      <c r="N87" t="s">
        <v>79</v>
      </c>
      <c r="O87" t="s">
        <v>74</v>
      </c>
      <c r="P87" t="s">
        <v>74</v>
      </c>
      <c r="Q87" t="s">
        <v>74</v>
      </c>
      <c r="R87" t="s">
        <v>74</v>
      </c>
      <c r="S87" t="s">
        <v>74</v>
      </c>
      <c r="T87" t="s">
        <v>1679</v>
      </c>
      <c r="U87" t="s">
        <v>1680</v>
      </c>
      <c r="V87" t="s">
        <v>1681</v>
      </c>
      <c r="W87" t="s">
        <v>1682</v>
      </c>
      <c r="X87" t="s">
        <v>1683</v>
      </c>
      <c r="Y87" t="s">
        <v>1684</v>
      </c>
      <c r="Z87" t="s">
        <v>1685</v>
      </c>
      <c r="AA87" t="s">
        <v>74</v>
      </c>
      <c r="AB87" t="s">
        <v>74</v>
      </c>
      <c r="AC87" t="s">
        <v>1686</v>
      </c>
      <c r="AD87" t="s">
        <v>1687</v>
      </c>
      <c r="AE87" t="s">
        <v>1688</v>
      </c>
      <c r="AF87" t="s">
        <v>74</v>
      </c>
      <c r="AG87">
        <v>35</v>
      </c>
      <c r="AH87">
        <v>0</v>
      </c>
      <c r="AI87">
        <v>0</v>
      </c>
      <c r="AJ87">
        <v>6</v>
      </c>
      <c r="AK87">
        <v>6</v>
      </c>
      <c r="AL87" t="s">
        <v>475</v>
      </c>
      <c r="AM87" t="s">
        <v>476</v>
      </c>
      <c r="AN87" t="s">
        <v>477</v>
      </c>
      <c r="AO87" t="s">
        <v>1412</v>
      </c>
      <c r="AP87" t="s">
        <v>1413</v>
      </c>
      <c r="AQ87" t="s">
        <v>74</v>
      </c>
      <c r="AR87" t="s">
        <v>1414</v>
      </c>
      <c r="AS87" t="s">
        <v>1415</v>
      </c>
      <c r="AT87" t="s">
        <v>1373</v>
      </c>
      <c r="AU87">
        <v>2023</v>
      </c>
      <c r="AV87">
        <v>652</v>
      </c>
      <c r="AW87" t="s">
        <v>74</v>
      </c>
      <c r="AX87" t="s">
        <v>337</v>
      </c>
      <c r="AY87" t="s">
        <v>74</v>
      </c>
      <c r="AZ87" t="s">
        <v>74</v>
      </c>
      <c r="BA87" t="s">
        <v>74</v>
      </c>
      <c r="BB87">
        <v>758</v>
      </c>
      <c r="BC87">
        <v>769</v>
      </c>
      <c r="BD87" t="s">
        <v>74</v>
      </c>
      <c r="BE87" t="s">
        <v>1689</v>
      </c>
      <c r="BF87" t="str">
        <f>HYPERLINK("http://dx.doi.org/10.1016/j.jcis.2023.07.069","http://dx.doi.org/10.1016/j.jcis.2023.07.069")</f>
        <v>http://dx.doi.org/10.1016/j.jcis.2023.07.069</v>
      </c>
      <c r="BG87" t="s">
        <v>74</v>
      </c>
      <c r="BH87" t="s">
        <v>74</v>
      </c>
      <c r="BI87">
        <v>12</v>
      </c>
      <c r="BJ87" t="s">
        <v>394</v>
      </c>
      <c r="BK87" t="s">
        <v>100</v>
      </c>
      <c r="BL87" t="s">
        <v>395</v>
      </c>
      <c r="BM87" t="s">
        <v>1690</v>
      </c>
      <c r="BN87">
        <v>37507236</v>
      </c>
      <c r="BO87" t="s">
        <v>74</v>
      </c>
      <c r="BP87" t="s">
        <v>74</v>
      </c>
      <c r="BQ87" t="s">
        <v>74</v>
      </c>
      <c r="BR87" t="s">
        <v>104</v>
      </c>
      <c r="BS87" t="s">
        <v>1691</v>
      </c>
      <c r="BT87" t="str">
        <f>HYPERLINK("https%3A%2F%2Fwww.webofscience.com%2Fwos%2Fwoscc%2Ffull-record%2FWOS:001066129300001","View Full Record in Web of Science")</f>
        <v>View Full Record in Web of Science</v>
      </c>
    </row>
    <row r="88" spans="1:72" x14ac:dyDescent="0.15">
      <c r="A88" t="s">
        <v>72</v>
      </c>
      <c r="B88" t="s">
        <v>1692</v>
      </c>
      <c r="C88" t="s">
        <v>74</v>
      </c>
      <c r="D88" t="s">
        <v>74</v>
      </c>
      <c r="E88" t="s">
        <v>74</v>
      </c>
      <c r="F88" t="s">
        <v>1693</v>
      </c>
      <c r="G88" t="s">
        <v>74</v>
      </c>
      <c r="H88" t="s">
        <v>74</v>
      </c>
      <c r="I88" t="s">
        <v>1694</v>
      </c>
      <c r="J88" t="s">
        <v>261</v>
      </c>
      <c r="K88" t="s">
        <v>74</v>
      </c>
      <c r="L88" t="s">
        <v>74</v>
      </c>
      <c r="M88" t="s">
        <v>78</v>
      </c>
      <c r="N88" t="s">
        <v>79</v>
      </c>
      <c r="O88" t="s">
        <v>74</v>
      </c>
      <c r="P88" t="s">
        <v>74</v>
      </c>
      <c r="Q88" t="s">
        <v>74</v>
      </c>
      <c r="R88" t="s">
        <v>74</v>
      </c>
      <c r="S88" t="s">
        <v>74</v>
      </c>
      <c r="T88" t="s">
        <v>1695</v>
      </c>
      <c r="U88" t="s">
        <v>1696</v>
      </c>
      <c r="V88" t="s">
        <v>1697</v>
      </c>
      <c r="W88" t="s">
        <v>1698</v>
      </c>
      <c r="X88" t="s">
        <v>1699</v>
      </c>
      <c r="Y88" t="s">
        <v>1700</v>
      </c>
      <c r="Z88" t="s">
        <v>1701</v>
      </c>
      <c r="AA88" t="s">
        <v>74</v>
      </c>
      <c r="AB88" t="s">
        <v>74</v>
      </c>
      <c r="AC88" t="s">
        <v>1702</v>
      </c>
      <c r="AD88" t="s">
        <v>1703</v>
      </c>
      <c r="AE88" t="s">
        <v>1704</v>
      </c>
      <c r="AF88" t="s">
        <v>74</v>
      </c>
      <c r="AG88">
        <v>40</v>
      </c>
      <c r="AH88">
        <v>0</v>
      </c>
      <c r="AI88">
        <v>0</v>
      </c>
      <c r="AJ88">
        <v>17</v>
      </c>
      <c r="AK88">
        <v>17</v>
      </c>
      <c r="AL88" t="s">
        <v>120</v>
      </c>
      <c r="AM88" t="s">
        <v>121</v>
      </c>
      <c r="AN88" t="s">
        <v>122</v>
      </c>
      <c r="AO88" t="s">
        <v>272</v>
      </c>
      <c r="AP88" t="s">
        <v>273</v>
      </c>
      <c r="AQ88" t="s">
        <v>74</v>
      </c>
      <c r="AR88" t="s">
        <v>261</v>
      </c>
      <c r="AS88" t="s">
        <v>274</v>
      </c>
      <c r="AT88" t="s">
        <v>1373</v>
      </c>
      <c r="AU88">
        <v>2023</v>
      </c>
      <c r="AV88">
        <v>354</v>
      </c>
      <c r="AW88" t="s">
        <v>74</v>
      </c>
      <c r="AX88" t="s">
        <v>74</v>
      </c>
      <c r="AY88" t="s">
        <v>74</v>
      </c>
      <c r="AZ88" t="s">
        <v>74</v>
      </c>
      <c r="BA88" t="s">
        <v>74</v>
      </c>
      <c r="BB88" t="s">
        <v>74</v>
      </c>
      <c r="BC88" t="s">
        <v>74</v>
      </c>
      <c r="BD88">
        <v>129332</v>
      </c>
      <c r="BE88" t="s">
        <v>1705</v>
      </c>
      <c r="BF88" t="str">
        <f>HYPERLINK("http://dx.doi.org/10.1016/j.fuel.2023.129332","http://dx.doi.org/10.1016/j.fuel.2023.129332")</f>
        <v>http://dx.doi.org/10.1016/j.fuel.2023.129332</v>
      </c>
      <c r="BG88" t="s">
        <v>74</v>
      </c>
      <c r="BH88" t="s">
        <v>74</v>
      </c>
      <c r="BI88">
        <v>8</v>
      </c>
      <c r="BJ88" t="s">
        <v>276</v>
      </c>
      <c r="BK88" t="s">
        <v>100</v>
      </c>
      <c r="BL88" t="s">
        <v>277</v>
      </c>
      <c r="BM88" t="s">
        <v>1706</v>
      </c>
      <c r="BN88" t="s">
        <v>74</v>
      </c>
      <c r="BO88" t="s">
        <v>74</v>
      </c>
      <c r="BP88" t="s">
        <v>74</v>
      </c>
      <c r="BQ88" t="s">
        <v>74</v>
      </c>
      <c r="BR88" t="s">
        <v>104</v>
      </c>
      <c r="BS88" t="s">
        <v>1707</v>
      </c>
      <c r="BT88" t="str">
        <f>HYPERLINK("https%3A%2F%2Fwww.webofscience.com%2Fwos%2Fwoscc%2Ffull-record%2FWOS:001048905900001","View Full Record in Web of Science")</f>
        <v>View Full Record in Web of Science</v>
      </c>
    </row>
    <row r="89" spans="1:72" x14ac:dyDescent="0.15">
      <c r="A89" t="s">
        <v>72</v>
      </c>
      <c r="B89" t="s">
        <v>1708</v>
      </c>
      <c r="C89" t="s">
        <v>74</v>
      </c>
      <c r="D89" t="s">
        <v>74</v>
      </c>
      <c r="E89" t="s">
        <v>74</v>
      </c>
      <c r="F89" t="s">
        <v>1709</v>
      </c>
      <c r="G89" t="s">
        <v>74</v>
      </c>
      <c r="H89" t="s">
        <v>74</v>
      </c>
      <c r="I89" t="s">
        <v>1710</v>
      </c>
      <c r="J89" t="s">
        <v>441</v>
      </c>
      <c r="K89" t="s">
        <v>74</v>
      </c>
      <c r="L89" t="s">
        <v>74</v>
      </c>
      <c r="M89" t="s">
        <v>78</v>
      </c>
      <c r="N89" t="s">
        <v>79</v>
      </c>
      <c r="O89" t="s">
        <v>74</v>
      </c>
      <c r="P89" t="s">
        <v>74</v>
      </c>
      <c r="Q89" t="s">
        <v>74</v>
      </c>
      <c r="R89" t="s">
        <v>74</v>
      </c>
      <c r="S89" t="s">
        <v>74</v>
      </c>
      <c r="T89" t="s">
        <v>1711</v>
      </c>
      <c r="U89" t="s">
        <v>1712</v>
      </c>
      <c r="V89" t="s">
        <v>1713</v>
      </c>
      <c r="W89" t="s">
        <v>1714</v>
      </c>
      <c r="X89" t="s">
        <v>1715</v>
      </c>
      <c r="Y89" t="s">
        <v>1716</v>
      </c>
      <c r="Z89" t="s">
        <v>1717</v>
      </c>
      <c r="AA89" t="s">
        <v>74</v>
      </c>
      <c r="AB89" t="s">
        <v>1718</v>
      </c>
      <c r="AC89" t="s">
        <v>1719</v>
      </c>
      <c r="AD89" t="s">
        <v>1720</v>
      </c>
      <c r="AE89" t="s">
        <v>1721</v>
      </c>
      <c r="AF89" t="s">
        <v>74</v>
      </c>
      <c r="AG89">
        <v>58</v>
      </c>
      <c r="AH89">
        <v>0</v>
      </c>
      <c r="AI89">
        <v>0</v>
      </c>
      <c r="AJ89">
        <v>28</v>
      </c>
      <c r="AK89">
        <v>28</v>
      </c>
      <c r="AL89" t="s">
        <v>90</v>
      </c>
      <c r="AM89" t="s">
        <v>91</v>
      </c>
      <c r="AN89" t="s">
        <v>92</v>
      </c>
      <c r="AO89" t="s">
        <v>452</v>
      </c>
      <c r="AP89" t="s">
        <v>453</v>
      </c>
      <c r="AQ89" t="s">
        <v>74</v>
      </c>
      <c r="AR89" t="s">
        <v>454</v>
      </c>
      <c r="AS89" t="s">
        <v>455</v>
      </c>
      <c r="AT89" t="s">
        <v>1373</v>
      </c>
      <c r="AU89">
        <v>2023</v>
      </c>
      <c r="AV89">
        <v>339</v>
      </c>
      <c r="AW89" t="s">
        <v>74</v>
      </c>
      <c r="AX89" t="s">
        <v>74</v>
      </c>
      <c r="AY89" t="s">
        <v>74</v>
      </c>
      <c r="AZ89" t="s">
        <v>74</v>
      </c>
      <c r="BA89" t="s">
        <v>74</v>
      </c>
      <c r="BB89" t="s">
        <v>74</v>
      </c>
      <c r="BC89" t="s">
        <v>74</v>
      </c>
      <c r="BD89">
        <v>123131</v>
      </c>
      <c r="BE89" t="s">
        <v>1722</v>
      </c>
      <c r="BF89" t="str">
        <f>HYPERLINK("http://dx.doi.org/10.1016/j.apcatb.2023.123131","http://dx.doi.org/10.1016/j.apcatb.2023.123131")</f>
        <v>http://dx.doi.org/10.1016/j.apcatb.2023.123131</v>
      </c>
      <c r="BG89" t="s">
        <v>74</v>
      </c>
      <c r="BH89" t="s">
        <v>74</v>
      </c>
      <c r="BI89">
        <v>13</v>
      </c>
      <c r="BJ89" t="s">
        <v>457</v>
      </c>
      <c r="BK89" t="s">
        <v>100</v>
      </c>
      <c r="BL89" t="s">
        <v>458</v>
      </c>
      <c r="BM89" t="s">
        <v>1723</v>
      </c>
      <c r="BN89" t="s">
        <v>74</v>
      </c>
      <c r="BO89" t="s">
        <v>74</v>
      </c>
      <c r="BP89" t="s">
        <v>74</v>
      </c>
      <c r="BQ89" t="s">
        <v>74</v>
      </c>
      <c r="BR89" t="s">
        <v>104</v>
      </c>
      <c r="BS89" t="s">
        <v>1724</v>
      </c>
      <c r="BT89" t="str">
        <f>HYPERLINK("https%3A%2F%2Fwww.webofscience.com%2Fwos%2Fwoscc%2Ffull-record%2FWOS:001051010400001","View Full Record in Web of Science")</f>
        <v>View Full Record in Web of Science</v>
      </c>
    </row>
    <row r="90" spans="1:72" x14ac:dyDescent="0.15">
      <c r="A90" t="s">
        <v>72</v>
      </c>
      <c r="B90" t="s">
        <v>1725</v>
      </c>
      <c r="C90" t="s">
        <v>74</v>
      </c>
      <c r="D90" t="s">
        <v>74</v>
      </c>
      <c r="E90" t="s">
        <v>74</v>
      </c>
      <c r="F90" t="s">
        <v>1726</v>
      </c>
      <c r="G90" t="s">
        <v>74</v>
      </c>
      <c r="H90" t="s">
        <v>74</v>
      </c>
      <c r="I90" t="s">
        <v>1727</v>
      </c>
      <c r="J90" t="s">
        <v>261</v>
      </c>
      <c r="K90" t="s">
        <v>74</v>
      </c>
      <c r="L90" t="s">
        <v>74</v>
      </c>
      <c r="M90" t="s">
        <v>78</v>
      </c>
      <c r="N90" t="s">
        <v>79</v>
      </c>
      <c r="O90" t="s">
        <v>74</v>
      </c>
      <c r="P90" t="s">
        <v>74</v>
      </c>
      <c r="Q90" t="s">
        <v>74</v>
      </c>
      <c r="R90" t="s">
        <v>74</v>
      </c>
      <c r="S90" t="s">
        <v>74</v>
      </c>
      <c r="T90" t="s">
        <v>1728</v>
      </c>
      <c r="U90" t="s">
        <v>1729</v>
      </c>
      <c r="V90" t="s">
        <v>1730</v>
      </c>
      <c r="W90" t="s">
        <v>1731</v>
      </c>
      <c r="X90" t="s">
        <v>266</v>
      </c>
      <c r="Y90" t="s">
        <v>1732</v>
      </c>
      <c r="Z90" t="s">
        <v>1733</v>
      </c>
      <c r="AA90" t="s">
        <v>74</v>
      </c>
      <c r="AB90" t="s">
        <v>74</v>
      </c>
      <c r="AC90" t="s">
        <v>1734</v>
      </c>
      <c r="AD90" t="s">
        <v>252</v>
      </c>
      <c r="AE90" t="s">
        <v>1735</v>
      </c>
      <c r="AF90" t="s">
        <v>74</v>
      </c>
      <c r="AG90">
        <v>35</v>
      </c>
      <c r="AH90">
        <v>0</v>
      </c>
      <c r="AI90">
        <v>0</v>
      </c>
      <c r="AJ90">
        <v>3</v>
      </c>
      <c r="AK90">
        <v>3</v>
      </c>
      <c r="AL90" t="s">
        <v>120</v>
      </c>
      <c r="AM90" t="s">
        <v>121</v>
      </c>
      <c r="AN90" t="s">
        <v>122</v>
      </c>
      <c r="AO90" t="s">
        <v>272</v>
      </c>
      <c r="AP90" t="s">
        <v>273</v>
      </c>
      <c r="AQ90" t="s">
        <v>74</v>
      </c>
      <c r="AR90" t="s">
        <v>261</v>
      </c>
      <c r="AS90" t="s">
        <v>274</v>
      </c>
      <c r="AT90" t="s">
        <v>1373</v>
      </c>
      <c r="AU90">
        <v>2023</v>
      </c>
      <c r="AV90">
        <v>354</v>
      </c>
      <c r="AW90" t="s">
        <v>74</v>
      </c>
      <c r="AX90" t="s">
        <v>74</v>
      </c>
      <c r="AY90" t="s">
        <v>74</v>
      </c>
      <c r="AZ90" t="s">
        <v>74</v>
      </c>
      <c r="BA90" t="s">
        <v>74</v>
      </c>
      <c r="BB90" t="s">
        <v>74</v>
      </c>
      <c r="BC90" t="s">
        <v>74</v>
      </c>
      <c r="BD90">
        <v>129359</v>
      </c>
      <c r="BE90" t="s">
        <v>1736</v>
      </c>
      <c r="BF90" t="str">
        <f>HYPERLINK("http://dx.doi.org/10.1016/j.fuel.2023.129359","http://dx.doi.org/10.1016/j.fuel.2023.129359")</f>
        <v>http://dx.doi.org/10.1016/j.fuel.2023.129359</v>
      </c>
      <c r="BG90" t="s">
        <v>74</v>
      </c>
      <c r="BH90" t="s">
        <v>74</v>
      </c>
      <c r="BI90">
        <v>14</v>
      </c>
      <c r="BJ90" t="s">
        <v>276</v>
      </c>
      <c r="BK90" t="s">
        <v>100</v>
      </c>
      <c r="BL90" t="s">
        <v>277</v>
      </c>
      <c r="BM90" t="s">
        <v>1737</v>
      </c>
      <c r="BN90" t="s">
        <v>74</v>
      </c>
      <c r="BO90" t="s">
        <v>74</v>
      </c>
      <c r="BP90" t="s">
        <v>74</v>
      </c>
      <c r="BQ90" t="s">
        <v>74</v>
      </c>
      <c r="BR90" t="s">
        <v>104</v>
      </c>
      <c r="BS90" t="s">
        <v>1738</v>
      </c>
      <c r="BT90" t="str">
        <f>HYPERLINK("https%3A%2F%2Fwww.webofscience.com%2Fwos%2Fwoscc%2Ffull-record%2FWOS:001060437100001","View Full Record in Web of Science")</f>
        <v>View Full Record in Web of Science</v>
      </c>
    </row>
    <row r="91" spans="1:72" x14ac:dyDescent="0.15">
      <c r="A91" t="s">
        <v>72</v>
      </c>
      <c r="B91" t="s">
        <v>1739</v>
      </c>
      <c r="C91" t="s">
        <v>74</v>
      </c>
      <c r="D91" t="s">
        <v>74</v>
      </c>
      <c r="E91" t="s">
        <v>74</v>
      </c>
      <c r="F91" t="s">
        <v>1740</v>
      </c>
      <c r="G91" t="s">
        <v>74</v>
      </c>
      <c r="H91" t="s">
        <v>74</v>
      </c>
      <c r="I91" t="s">
        <v>1741</v>
      </c>
      <c r="J91" t="s">
        <v>441</v>
      </c>
      <c r="K91" t="s">
        <v>74</v>
      </c>
      <c r="L91" t="s">
        <v>74</v>
      </c>
      <c r="M91" t="s">
        <v>78</v>
      </c>
      <c r="N91" t="s">
        <v>79</v>
      </c>
      <c r="O91" t="s">
        <v>74</v>
      </c>
      <c r="P91" t="s">
        <v>74</v>
      </c>
      <c r="Q91" t="s">
        <v>74</v>
      </c>
      <c r="R91" t="s">
        <v>74</v>
      </c>
      <c r="S91" t="s">
        <v>74</v>
      </c>
      <c r="T91" t="s">
        <v>1742</v>
      </c>
      <c r="U91" t="s">
        <v>1743</v>
      </c>
      <c r="V91" t="s">
        <v>1744</v>
      </c>
      <c r="W91" t="s">
        <v>1745</v>
      </c>
      <c r="X91" t="s">
        <v>1746</v>
      </c>
      <c r="Y91" t="s">
        <v>1747</v>
      </c>
      <c r="Z91" t="s">
        <v>1748</v>
      </c>
      <c r="AA91" t="s">
        <v>1749</v>
      </c>
      <c r="AB91" t="s">
        <v>1750</v>
      </c>
      <c r="AC91" t="s">
        <v>1751</v>
      </c>
      <c r="AD91" t="s">
        <v>1752</v>
      </c>
      <c r="AE91" t="s">
        <v>1753</v>
      </c>
      <c r="AF91" t="s">
        <v>74</v>
      </c>
      <c r="AG91">
        <v>50</v>
      </c>
      <c r="AH91">
        <v>0</v>
      </c>
      <c r="AI91">
        <v>0</v>
      </c>
      <c r="AJ91">
        <v>26</v>
      </c>
      <c r="AK91">
        <v>26</v>
      </c>
      <c r="AL91" t="s">
        <v>90</v>
      </c>
      <c r="AM91" t="s">
        <v>91</v>
      </c>
      <c r="AN91" t="s">
        <v>92</v>
      </c>
      <c r="AO91" t="s">
        <v>452</v>
      </c>
      <c r="AP91" t="s">
        <v>453</v>
      </c>
      <c r="AQ91" t="s">
        <v>74</v>
      </c>
      <c r="AR91" t="s">
        <v>454</v>
      </c>
      <c r="AS91" t="s">
        <v>455</v>
      </c>
      <c r="AT91" t="s">
        <v>1373</v>
      </c>
      <c r="AU91">
        <v>2023</v>
      </c>
      <c r="AV91">
        <v>339</v>
      </c>
      <c r="AW91" t="s">
        <v>74</v>
      </c>
      <c r="AX91" t="s">
        <v>74</v>
      </c>
      <c r="AY91" t="s">
        <v>74</v>
      </c>
      <c r="AZ91" t="s">
        <v>74</v>
      </c>
      <c r="BA91" t="s">
        <v>74</v>
      </c>
      <c r="BB91" t="s">
        <v>74</v>
      </c>
      <c r="BC91" t="s">
        <v>74</v>
      </c>
      <c r="BD91">
        <v>123137</v>
      </c>
      <c r="BE91" t="s">
        <v>1754</v>
      </c>
      <c r="BF91" t="str">
        <f>HYPERLINK("http://dx.doi.org/10.1016/j.apcatb.2023.123137","http://dx.doi.org/10.1016/j.apcatb.2023.123137")</f>
        <v>http://dx.doi.org/10.1016/j.apcatb.2023.123137</v>
      </c>
      <c r="BG91" t="s">
        <v>74</v>
      </c>
      <c r="BH91" t="s">
        <v>74</v>
      </c>
      <c r="BI91">
        <v>9</v>
      </c>
      <c r="BJ91" t="s">
        <v>457</v>
      </c>
      <c r="BK91" t="s">
        <v>100</v>
      </c>
      <c r="BL91" t="s">
        <v>458</v>
      </c>
      <c r="BM91" t="s">
        <v>1755</v>
      </c>
      <c r="BN91" t="s">
        <v>74</v>
      </c>
      <c r="BO91" t="s">
        <v>74</v>
      </c>
      <c r="BP91" t="s">
        <v>74</v>
      </c>
      <c r="BQ91" t="s">
        <v>74</v>
      </c>
      <c r="BR91" t="s">
        <v>104</v>
      </c>
      <c r="BS91" t="s">
        <v>1756</v>
      </c>
      <c r="BT91" t="str">
        <f>HYPERLINK("https%3A%2F%2Fwww.webofscience.com%2Fwos%2Fwoscc%2Ffull-record%2FWOS:001051250300001","View Full Record in Web of Science")</f>
        <v>View Full Record in Web of Science</v>
      </c>
    </row>
    <row r="92" spans="1:72" x14ac:dyDescent="0.15">
      <c r="A92" t="s">
        <v>72</v>
      </c>
      <c r="B92" t="s">
        <v>1757</v>
      </c>
      <c r="C92" t="s">
        <v>74</v>
      </c>
      <c r="D92" t="s">
        <v>74</v>
      </c>
      <c r="E92" t="s">
        <v>74</v>
      </c>
      <c r="F92" t="s">
        <v>1758</v>
      </c>
      <c r="G92" t="s">
        <v>74</v>
      </c>
      <c r="H92" t="s">
        <v>74</v>
      </c>
      <c r="I92" t="s">
        <v>1759</v>
      </c>
      <c r="J92" t="s">
        <v>1490</v>
      </c>
      <c r="K92" t="s">
        <v>74</v>
      </c>
      <c r="L92" t="s">
        <v>74</v>
      </c>
      <c r="M92" t="s">
        <v>78</v>
      </c>
      <c r="N92" t="s">
        <v>79</v>
      </c>
      <c r="O92" t="s">
        <v>74</v>
      </c>
      <c r="P92" t="s">
        <v>74</v>
      </c>
      <c r="Q92" t="s">
        <v>74</v>
      </c>
      <c r="R92" t="s">
        <v>74</v>
      </c>
      <c r="S92" t="s">
        <v>74</v>
      </c>
      <c r="T92" t="s">
        <v>1760</v>
      </c>
      <c r="U92" t="s">
        <v>1761</v>
      </c>
      <c r="V92" t="s">
        <v>1762</v>
      </c>
      <c r="W92" t="s">
        <v>1763</v>
      </c>
      <c r="X92" t="s">
        <v>1764</v>
      </c>
      <c r="Y92" t="s">
        <v>1765</v>
      </c>
      <c r="Z92" t="s">
        <v>1766</v>
      </c>
      <c r="AA92" t="s">
        <v>1767</v>
      </c>
      <c r="AB92" t="s">
        <v>1768</v>
      </c>
      <c r="AC92" t="s">
        <v>1769</v>
      </c>
      <c r="AD92" t="s">
        <v>1770</v>
      </c>
      <c r="AE92" t="s">
        <v>1771</v>
      </c>
      <c r="AF92" t="s">
        <v>74</v>
      </c>
      <c r="AG92">
        <v>43</v>
      </c>
      <c r="AH92">
        <v>0</v>
      </c>
      <c r="AI92">
        <v>0</v>
      </c>
      <c r="AJ92">
        <v>2</v>
      </c>
      <c r="AK92">
        <v>2</v>
      </c>
      <c r="AL92" t="s">
        <v>147</v>
      </c>
      <c r="AM92" t="s">
        <v>148</v>
      </c>
      <c r="AN92" t="s">
        <v>149</v>
      </c>
      <c r="AO92" t="s">
        <v>1500</v>
      </c>
      <c r="AP92" t="s">
        <v>1501</v>
      </c>
      <c r="AQ92" t="s">
        <v>74</v>
      </c>
      <c r="AR92" t="s">
        <v>1502</v>
      </c>
      <c r="AS92" t="s">
        <v>1503</v>
      </c>
      <c r="AT92" t="s">
        <v>1373</v>
      </c>
      <c r="AU92">
        <v>2023</v>
      </c>
      <c r="AV92">
        <v>459</v>
      </c>
      <c r="AW92" t="s">
        <v>74</v>
      </c>
      <c r="AX92" t="s">
        <v>74</v>
      </c>
      <c r="AY92" t="s">
        <v>74</v>
      </c>
      <c r="AZ92" t="s">
        <v>74</v>
      </c>
      <c r="BA92" t="s">
        <v>74</v>
      </c>
      <c r="BB92" t="s">
        <v>74</v>
      </c>
      <c r="BC92" t="s">
        <v>74</v>
      </c>
      <c r="BD92">
        <v>128222</v>
      </c>
      <c r="BE92" t="s">
        <v>1772</v>
      </c>
      <c r="BF92" t="str">
        <f>HYPERLINK("http://dx.doi.org/10.1016/j.amc.2023.128222","http://dx.doi.org/10.1016/j.amc.2023.128222")</f>
        <v>http://dx.doi.org/10.1016/j.amc.2023.128222</v>
      </c>
      <c r="BG92" t="s">
        <v>74</v>
      </c>
      <c r="BH92" t="s">
        <v>74</v>
      </c>
      <c r="BI92">
        <v>20</v>
      </c>
      <c r="BJ92" t="s">
        <v>202</v>
      </c>
      <c r="BK92" t="s">
        <v>100</v>
      </c>
      <c r="BL92" t="s">
        <v>101</v>
      </c>
      <c r="BM92" t="s">
        <v>1773</v>
      </c>
      <c r="BN92" t="s">
        <v>74</v>
      </c>
      <c r="BO92" t="s">
        <v>295</v>
      </c>
      <c r="BP92" t="s">
        <v>74</v>
      </c>
      <c r="BQ92" t="s">
        <v>74</v>
      </c>
      <c r="BR92" t="s">
        <v>104</v>
      </c>
      <c r="BS92" t="s">
        <v>1774</v>
      </c>
      <c r="BT92" t="str">
        <f>HYPERLINK("https%3A%2F%2Fwww.webofscience.com%2Fwos%2Fwoscc%2Ffull-record%2FWOS:001052206200001","View Full Record in Web of Science")</f>
        <v>View Full Record in Web of Science</v>
      </c>
    </row>
    <row r="93" spans="1:72" x14ac:dyDescent="0.15">
      <c r="A93" t="s">
        <v>72</v>
      </c>
      <c r="B93" t="s">
        <v>1775</v>
      </c>
      <c r="C93" t="s">
        <v>74</v>
      </c>
      <c r="D93" t="s">
        <v>74</v>
      </c>
      <c r="E93" t="s">
        <v>74</v>
      </c>
      <c r="F93" t="s">
        <v>1776</v>
      </c>
      <c r="G93" t="s">
        <v>74</v>
      </c>
      <c r="H93" t="s">
        <v>74</v>
      </c>
      <c r="I93" t="s">
        <v>1777</v>
      </c>
      <c r="J93" t="s">
        <v>162</v>
      </c>
      <c r="K93" t="s">
        <v>74</v>
      </c>
      <c r="L93" t="s">
        <v>74</v>
      </c>
      <c r="M93" t="s">
        <v>78</v>
      </c>
      <c r="N93" t="s">
        <v>79</v>
      </c>
      <c r="O93" t="s">
        <v>74</v>
      </c>
      <c r="P93" t="s">
        <v>74</v>
      </c>
      <c r="Q93" t="s">
        <v>74</v>
      </c>
      <c r="R93" t="s">
        <v>74</v>
      </c>
      <c r="S93" t="s">
        <v>74</v>
      </c>
      <c r="T93" t="s">
        <v>1778</v>
      </c>
      <c r="U93" t="s">
        <v>1779</v>
      </c>
      <c r="V93" t="s">
        <v>1780</v>
      </c>
      <c r="W93" t="s">
        <v>1781</v>
      </c>
      <c r="X93" t="s">
        <v>1782</v>
      </c>
      <c r="Y93" t="s">
        <v>1783</v>
      </c>
      <c r="Z93" t="s">
        <v>1784</v>
      </c>
      <c r="AA93" t="s">
        <v>1785</v>
      </c>
      <c r="AB93" t="s">
        <v>1786</v>
      </c>
      <c r="AC93" t="s">
        <v>74</v>
      </c>
      <c r="AD93" t="s">
        <v>74</v>
      </c>
      <c r="AE93" t="s">
        <v>74</v>
      </c>
      <c r="AF93" t="s">
        <v>74</v>
      </c>
      <c r="AG93">
        <v>53</v>
      </c>
      <c r="AH93">
        <v>0</v>
      </c>
      <c r="AI93">
        <v>0</v>
      </c>
      <c r="AJ93">
        <v>3</v>
      </c>
      <c r="AK93">
        <v>3</v>
      </c>
      <c r="AL93" t="s">
        <v>173</v>
      </c>
      <c r="AM93" t="s">
        <v>121</v>
      </c>
      <c r="AN93" t="s">
        <v>174</v>
      </c>
      <c r="AO93" t="s">
        <v>175</v>
      </c>
      <c r="AP93" t="s">
        <v>176</v>
      </c>
      <c r="AQ93" t="s">
        <v>74</v>
      </c>
      <c r="AR93" t="s">
        <v>177</v>
      </c>
      <c r="AS93" t="s">
        <v>178</v>
      </c>
      <c r="AT93" t="s">
        <v>1373</v>
      </c>
      <c r="AU93">
        <v>2023</v>
      </c>
      <c r="AV93">
        <v>233</v>
      </c>
      <c r="AW93" t="s">
        <v>74</v>
      </c>
      <c r="AX93" t="s">
        <v>74</v>
      </c>
      <c r="AY93" t="s">
        <v>74</v>
      </c>
      <c r="AZ93" t="s">
        <v>74</v>
      </c>
      <c r="BA93" t="s">
        <v>74</v>
      </c>
      <c r="BB93" t="s">
        <v>74</v>
      </c>
      <c r="BC93" t="s">
        <v>74</v>
      </c>
      <c r="BD93">
        <v>120983</v>
      </c>
      <c r="BE93" t="s">
        <v>1787</v>
      </c>
      <c r="BF93" t="str">
        <f>HYPERLINK("http://dx.doi.org/10.1016/j.eswa.2023.120983","http://dx.doi.org/10.1016/j.eswa.2023.120983")</f>
        <v>http://dx.doi.org/10.1016/j.eswa.2023.120983</v>
      </c>
      <c r="BG93" t="s">
        <v>74</v>
      </c>
      <c r="BH93" t="s">
        <v>74</v>
      </c>
      <c r="BI93">
        <v>22</v>
      </c>
      <c r="BJ93" t="s">
        <v>180</v>
      </c>
      <c r="BK93" t="s">
        <v>100</v>
      </c>
      <c r="BL93" t="s">
        <v>181</v>
      </c>
      <c r="BM93" t="s">
        <v>1788</v>
      </c>
      <c r="BN93" t="s">
        <v>74</v>
      </c>
      <c r="BO93" t="s">
        <v>74</v>
      </c>
      <c r="BP93" t="s">
        <v>74</v>
      </c>
      <c r="BQ93" t="s">
        <v>74</v>
      </c>
      <c r="BR93" t="s">
        <v>104</v>
      </c>
      <c r="BS93" t="s">
        <v>1789</v>
      </c>
      <c r="BT93" t="str">
        <f>HYPERLINK("https%3A%2F%2Fwww.webofscience.com%2Fwos%2Fwoscc%2Ffull-record%2FWOS:001049027700001","View Full Record in Web of Science")</f>
        <v>View Full Record in Web of Science</v>
      </c>
    </row>
    <row r="94" spans="1:72" x14ac:dyDescent="0.15">
      <c r="A94" t="s">
        <v>72</v>
      </c>
      <c r="B94" t="s">
        <v>1790</v>
      </c>
      <c r="C94" t="s">
        <v>74</v>
      </c>
      <c r="D94" t="s">
        <v>74</v>
      </c>
      <c r="E94" t="s">
        <v>74</v>
      </c>
      <c r="F94" t="s">
        <v>1791</v>
      </c>
      <c r="G94" t="s">
        <v>74</v>
      </c>
      <c r="H94" t="s">
        <v>74</v>
      </c>
      <c r="I94" t="s">
        <v>1792</v>
      </c>
      <c r="J94" t="s">
        <v>1793</v>
      </c>
      <c r="K94" t="s">
        <v>74</v>
      </c>
      <c r="L94" t="s">
        <v>74</v>
      </c>
      <c r="M94" t="s">
        <v>78</v>
      </c>
      <c r="N94" t="s">
        <v>79</v>
      </c>
      <c r="O94" t="s">
        <v>74</v>
      </c>
      <c r="P94" t="s">
        <v>74</v>
      </c>
      <c r="Q94" t="s">
        <v>74</v>
      </c>
      <c r="R94" t="s">
        <v>74</v>
      </c>
      <c r="S94" t="s">
        <v>74</v>
      </c>
      <c r="T94" t="s">
        <v>1794</v>
      </c>
      <c r="U94" t="s">
        <v>1795</v>
      </c>
      <c r="V94" t="s">
        <v>1796</v>
      </c>
      <c r="W94" t="s">
        <v>1797</v>
      </c>
      <c r="X94" t="s">
        <v>1798</v>
      </c>
      <c r="Y94" t="s">
        <v>1799</v>
      </c>
      <c r="Z94" t="s">
        <v>1800</v>
      </c>
      <c r="AA94" t="s">
        <v>74</v>
      </c>
      <c r="AB94" t="s">
        <v>1801</v>
      </c>
      <c r="AC94" t="s">
        <v>1802</v>
      </c>
      <c r="AD94" t="s">
        <v>1803</v>
      </c>
      <c r="AE94" t="s">
        <v>1804</v>
      </c>
      <c r="AF94" t="s">
        <v>74</v>
      </c>
      <c r="AG94">
        <v>52</v>
      </c>
      <c r="AH94">
        <v>0</v>
      </c>
      <c r="AI94">
        <v>0</v>
      </c>
      <c r="AJ94">
        <v>3</v>
      </c>
      <c r="AK94">
        <v>3</v>
      </c>
      <c r="AL94" t="s">
        <v>173</v>
      </c>
      <c r="AM94" t="s">
        <v>121</v>
      </c>
      <c r="AN94" t="s">
        <v>174</v>
      </c>
      <c r="AO94" t="s">
        <v>1805</v>
      </c>
      <c r="AP94" t="s">
        <v>1806</v>
      </c>
      <c r="AQ94" t="s">
        <v>74</v>
      </c>
      <c r="AR94" t="s">
        <v>1807</v>
      </c>
      <c r="AS94" t="s">
        <v>1808</v>
      </c>
      <c r="AT94" t="s">
        <v>1373</v>
      </c>
      <c r="AU94">
        <v>2023</v>
      </c>
      <c r="AV94">
        <v>303</v>
      </c>
      <c r="AW94" t="s">
        <v>74</v>
      </c>
      <c r="AX94" t="s">
        <v>74</v>
      </c>
      <c r="AY94" t="s">
        <v>74</v>
      </c>
      <c r="AZ94" t="s">
        <v>74</v>
      </c>
      <c r="BA94" t="s">
        <v>74</v>
      </c>
      <c r="BB94" t="s">
        <v>74</v>
      </c>
      <c r="BC94" t="s">
        <v>74</v>
      </c>
      <c r="BD94">
        <v>123119</v>
      </c>
      <c r="BE94" t="s">
        <v>1809</v>
      </c>
      <c r="BF94" t="str">
        <f>HYPERLINK("http://dx.doi.org/10.1016/j.saa.2023.123119","http://dx.doi.org/10.1016/j.saa.2023.123119")</f>
        <v>http://dx.doi.org/10.1016/j.saa.2023.123119</v>
      </c>
      <c r="BG94" t="s">
        <v>74</v>
      </c>
      <c r="BH94" t="s">
        <v>74</v>
      </c>
      <c r="BI94">
        <v>13</v>
      </c>
      <c r="BJ94" t="s">
        <v>1810</v>
      </c>
      <c r="BK94" t="s">
        <v>100</v>
      </c>
      <c r="BL94" t="s">
        <v>1810</v>
      </c>
      <c r="BM94" t="s">
        <v>1811</v>
      </c>
      <c r="BN94">
        <v>37478708</v>
      </c>
      <c r="BO94" t="s">
        <v>74</v>
      </c>
      <c r="BP94" t="s">
        <v>74</v>
      </c>
      <c r="BQ94" t="s">
        <v>74</v>
      </c>
      <c r="BR94" t="s">
        <v>104</v>
      </c>
      <c r="BS94" t="s">
        <v>1812</v>
      </c>
      <c r="BT94" t="str">
        <f>HYPERLINK("https%3A%2F%2Fwww.webofscience.com%2Fwos%2Fwoscc%2Ffull-record%2FWOS:001058600000001","View Full Record in Web of Science")</f>
        <v>View Full Record in Web of Science</v>
      </c>
    </row>
    <row r="95" spans="1:72" x14ac:dyDescent="0.15">
      <c r="A95" t="s">
        <v>72</v>
      </c>
      <c r="B95" t="s">
        <v>1813</v>
      </c>
      <c r="C95" t="s">
        <v>74</v>
      </c>
      <c r="D95" t="s">
        <v>74</v>
      </c>
      <c r="E95" t="s">
        <v>74</v>
      </c>
      <c r="F95" t="s">
        <v>1814</v>
      </c>
      <c r="G95" t="s">
        <v>74</v>
      </c>
      <c r="H95" t="s">
        <v>74</v>
      </c>
      <c r="I95" t="s">
        <v>1815</v>
      </c>
      <c r="J95" t="s">
        <v>1793</v>
      </c>
      <c r="K95" t="s">
        <v>74</v>
      </c>
      <c r="L95" t="s">
        <v>74</v>
      </c>
      <c r="M95" t="s">
        <v>78</v>
      </c>
      <c r="N95" t="s">
        <v>79</v>
      </c>
      <c r="O95" t="s">
        <v>74</v>
      </c>
      <c r="P95" t="s">
        <v>74</v>
      </c>
      <c r="Q95" t="s">
        <v>74</v>
      </c>
      <c r="R95" t="s">
        <v>74</v>
      </c>
      <c r="S95" t="s">
        <v>74</v>
      </c>
      <c r="T95" t="s">
        <v>1816</v>
      </c>
      <c r="U95" t="s">
        <v>1817</v>
      </c>
      <c r="V95" t="s">
        <v>1818</v>
      </c>
      <c r="W95" t="s">
        <v>1819</v>
      </c>
      <c r="X95" t="s">
        <v>1820</v>
      </c>
      <c r="Y95" t="s">
        <v>1821</v>
      </c>
      <c r="Z95" t="s">
        <v>1822</v>
      </c>
      <c r="AA95" t="s">
        <v>1823</v>
      </c>
      <c r="AB95" t="s">
        <v>1824</v>
      </c>
      <c r="AC95" t="s">
        <v>1825</v>
      </c>
      <c r="AD95" t="s">
        <v>1826</v>
      </c>
      <c r="AE95" t="s">
        <v>1827</v>
      </c>
      <c r="AF95" t="s">
        <v>74</v>
      </c>
      <c r="AG95">
        <v>45</v>
      </c>
      <c r="AH95">
        <v>0</v>
      </c>
      <c r="AI95">
        <v>0</v>
      </c>
      <c r="AJ95">
        <v>0</v>
      </c>
      <c r="AK95">
        <v>0</v>
      </c>
      <c r="AL95" t="s">
        <v>173</v>
      </c>
      <c r="AM95" t="s">
        <v>121</v>
      </c>
      <c r="AN95" t="s">
        <v>174</v>
      </c>
      <c r="AO95" t="s">
        <v>1805</v>
      </c>
      <c r="AP95" t="s">
        <v>1806</v>
      </c>
      <c r="AQ95" t="s">
        <v>74</v>
      </c>
      <c r="AR95" t="s">
        <v>1807</v>
      </c>
      <c r="AS95" t="s">
        <v>1808</v>
      </c>
      <c r="AT95" t="s">
        <v>1373</v>
      </c>
      <c r="AU95">
        <v>2023</v>
      </c>
      <c r="AV95">
        <v>303</v>
      </c>
      <c r="AW95" t="s">
        <v>74</v>
      </c>
      <c r="AX95" t="s">
        <v>74</v>
      </c>
      <c r="AY95" t="s">
        <v>74</v>
      </c>
      <c r="AZ95" t="s">
        <v>74</v>
      </c>
      <c r="BA95" t="s">
        <v>74</v>
      </c>
      <c r="BB95" t="s">
        <v>74</v>
      </c>
      <c r="BC95" t="s">
        <v>74</v>
      </c>
      <c r="BD95">
        <v>123129</v>
      </c>
      <c r="BE95" t="s">
        <v>1828</v>
      </c>
      <c r="BF95" t="str">
        <f>HYPERLINK("http://dx.doi.org/10.1016/j.saa.2023.123129","http://dx.doi.org/10.1016/j.saa.2023.123129")</f>
        <v>http://dx.doi.org/10.1016/j.saa.2023.123129</v>
      </c>
      <c r="BG95" t="s">
        <v>74</v>
      </c>
      <c r="BH95" t="s">
        <v>74</v>
      </c>
      <c r="BI95">
        <v>12</v>
      </c>
      <c r="BJ95" t="s">
        <v>1810</v>
      </c>
      <c r="BK95" t="s">
        <v>100</v>
      </c>
      <c r="BL95" t="s">
        <v>1810</v>
      </c>
      <c r="BM95" t="s">
        <v>1829</v>
      </c>
      <c r="BN95">
        <v>37473665</v>
      </c>
      <c r="BO95" t="s">
        <v>74</v>
      </c>
      <c r="BP95" t="s">
        <v>74</v>
      </c>
      <c r="BQ95" t="s">
        <v>74</v>
      </c>
      <c r="BR95" t="s">
        <v>104</v>
      </c>
      <c r="BS95" t="s">
        <v>1830</v>
      </c>
      <c r="BT95" t="str">
        <f>HYPERLINK("https%3A%2F%2Fwww.webofscience.com%2Fwos%2Fwoscc%2Ffull-record%2FWOS:001058501600001","View Full Record in Web of Science")</f>
        <v>View Full Record in Web of Science</v>
      </c>
    </row>
    <row r="96" spans="1:72" x14ac:dyDescent="0.15">
      <c r="A96" t="s">
        <v>72</v>
      </c>
      <c r="B96" t="s">
        <v>1831</v>
      </c>
      <c r="C96" t="s">
        <v>74</v>
      </c>
      <c r="D96" t="s">
        <v>74</v>
      </c>
      <c r="E96" t="s">
        <v>74</v>
      </c>
      <c r="F96" t="s">
        <v>1832</v>
      </c>
      <c r="G96" t="s">
        <v>74</v>
      </c>
      <c r="H96" t="s">
        <v>74</v>
      </c>
      <c r="I96" t="s">
        <v>1833</v>
      </c>
      <c r="J96" t="s">
        <v>1834</v>
      </c>
      <c r="K96" t="s">
        <v>74</v>
      </c>
      <c r="L96" t="s">
        <v>74</v>
      </c>
      <c r="M96" t="s">
        <v>78</v>
      </c>
      <c r="N96" t="s">
        <v>79</v>
      </c>
      <c r="O96" t="s">
        <v>74</v>
      </c>
      <c r="P96" t="s">
        <v>74</v>
      </c>
      <c r="Q96" t="s">
        <v>74</v>
      </c>
      <c r="R96" t="s">
        <v>74</v>
      </c>
      <c r="S96" t="s">
        <v>74</v>
      </c>
      <c r="T96" t="s">
        <v>1835</v>
      </c>
      <c r="U96" t="s">
        <v>1836</v>
      </c>
      <c r="V96" t="s">
        <v>1837</v>
      </c>
      <c r="W96" t="s">
        <v>1838</v>
      </c>
      <c r="X96" t="s">
        <v>1839</v>
      </c>
      <c r="Y96" t="s">
        <v>1840</v>
      </c>
      <c r="Z96" t="s">
        <v>1841</v>
      </c>
      <c r="AA96" t="s">
        <v>74</v>
      </c>
      <c r="AB96" t="s">
        <v>74</v>
      </c>
      <c r="AC96" t="s">
        <v>1842</v>
      </c>
      <c r="AD96" t="s">
        <v>1843</v>
      </c>
      <c r="AE96" t="s">
        <v>1844</v>
      </c>
      <c r="AF96" t="s">
        <v>74</v>
      </c>
      <c r="AG96">
        <v>36</v>
      </c>
      <c r="AH96">
        <v>0</v>
      </c>
      <c r="AI96">
        <v>0</v>
      </c>
      <c r="AJ96">
        <v>1</v>
      </c>
      <c r="AK96">
        <v>1</v>
      </c>
      <c r="AL96" t="s">
        <v>90</v>
      </c>
      <c r="AM96" t="s">
        <v>91</v>
      </c>
      <c r="AN96" t="s">
        <v>92</v>
      </c>
      <c r="AO96" t="s">
        <v>1845</v>
      </c>
      <c r="AP96" t="s">
        <v>74</v>
      </c>
      <c r="AQ96" t="s">
        <v>74</v>
      </c>
      <c r="AR96" t="s">
        <v>1846</v>
      </c>
      <c r="AS96" t="s">
        <v>1847</v>
      </c>
      <c r="AT96" t="s">
        <v>1373</v>
      </c>
      <c r="AU96">
        <v>2023</v>
      </c>
      <c r="AV96">
        <v>4</v>
      </c>
      <c r="AW96" t="s">
        <v>74</v>
      </c>
      <c r="AX96" t="s">
        <v>74</v>
      </c>
      <c r="AY96" t="s">
        <v>74</v>
      </c>
      <c r="AZ96" t="s">
        <v>74</v>
      </c>
      <c r="BA96" t="s">
        <v>74</v>
      </c>
      <c r="BB96" t="s">
        <v>74</v>
      </c>
      <c r="BC96" t="s">
        <v>74</v>
      </c>
      <c r="BD96">
        <v>100145</v>
      </c>
      <c r="BE96" t="s">
        <v>1848</v>
      </c>
      <c r="BF96" t="str">
        <f>HYPERLINK("http://dx.doi.org/10.1016/j.fhfh.2023.100145","http://dx.doi.org/10.1016/j.fhfh.2023.100145")</f>
        <v>http://dx.doi.org/10.1016/j.fhfh.2023.100145</v>
      </c>
      <c r="BG96" t="s">
        <v>74</v>
      </c>
      <c r="BH96" t="s">
        <v>74</v>
      </c>
      <c r="BI96">
        <v>9</v>
      </c>
      <c r="BJ96" t="s">
        <v>1849</v>
      </c>
      <c r="BK96" t="s">
        <v>1850</v>
      </c>
      <c r="BL96" t="s">
        <v>1851</v>
      </c>
      <c r="BM96" t="s">
        <v>1852</v>
      </c>
      <c r="BN96" t="s">
        <v>74</v>
      </c>
      <c r="BO96" t="s">
        <v>295</v>
      </c>
      <c r="BP96" t="s">
        <v>74</v>
      </c>
      <c r="BQ96" t="s">
        <v>74</v>
      </c>
      <c r="BR96" t="s">
        <v>104</v>
      </c>
      <c r="BS96" t="s">
        <v>1853</v>
      </c>
      <c r="BT96" t="str">
        <f>HYPERLINK("https%3A%2F%2Fwww.webofscience.com%2Fwos%2Fwoscc%2Ffull-record%2FWOS:001051510900001","View Full Record in Web of Science")</f>
        <v>View Full Record in Web of Science</v>
      </c>
    </row>
    <row r="97" spans="1:72" x14ac:dyDescent="0.15">
      <c r="A97" t="s">
        <v>72</v>
      </c>
      <c r="B97" t="s">
        <v>1854</v>
      </c>
      <c r="C97" t="s">
        <v>74</v>
      </c>
      <c r="D97" t="s">
        <v>74</v>
      </c>
      <c r="E97" t="s">
        <v>74</v>
      </c>
      <c r="F97" t="s">
        <v>1855</v>
      </c>
      <c r="G97" t="s">
        <v>74</v>
      </c>
      <c r="H97" t="s">
        <v>74</v>
      </c>
      <c r="I97" t="s">
        <v>1856</v>
      </c>
      <c r="J97" t="s">
        <v>380</v>
      </c>
      <c r="K97" t="s">
        <v>74</v>
      </c>
      <c r="L97" t="s">
        <v>74</v>
      </c>
      <c r="M97" t="s">
        <v>78</v>
      </c>
      <c r="N97" t="s">
        <v>79</v>
      </c>
      <c r="O97" t="s">
        <v>74</v>
      </c>
      <c r="P97" t="s">
        <v>74</v>
      </c>
      <c r="Q97" t="s">
        <v>74</v>
      </c>
      <c r="R97" t="s">
        <v>74</v>
      </c>
      <c r="S97" t="s">
        <v>74</v>
      </c>
      <c r="T97" t="s">
        <v>1857</v>
      </c>
      <c r="U97" t="s">
        <v>1858</v>
      </c>
      <c r="V97" t="s">
        <v>1859</v>
      </c>
      <c r="W97" t="s">
        <v>1860</v>
      </c>
      <c r="X97" t="s">
        <v>1861</v>
      </c>
      <c r="Y97" t="s">
        <v>1862</v>
      </c>
      <c r="Z97" t="s">
        <v>1863</v>
      </c>
      <c r="AA97" t="s">
        <v>74</v>
      </c>
      <c r="AB97" t="s">
        <v>74</v>
      </c>
      <c r="AC97" t="s">
        <v>74</v>
      </c>
      <c r="AD97" t="s">
        <v>74</v>
      </c>
      <c r="AE97" t="s">
        <v>74</v>
      </c>
      <c r="AF97" t="s">
        <v>74</v>
      </c>
      <c r="AG97">
        <v>77</v>
      </c>
      <c r="AH97">
        <v>0</v>
      </c>
      <c r="AI97">
        <v>0</v>
      </c>
      <c r="AJ97">
        <v>0</v>
      </c>
      <c r="AK97">
        <v>0</v>
      </c>
      <c r="AL97" t="s">
        <v>90</v>
      </c>
      <c r="AM97" t="s">
        <v>91</v>
      </c>
      <c r="AN97" t="s">
        <v>92</v>
      </c>
      <c r="AO97" t="s">
        <v>388</v>
      </c>
      <c r="AP97" t="s">
        <v>389</v>
      </c>
      <c r="AQ97" t="s">
        <v>74</v>
      </c>
      <c r="AR97" t="s">
        <v>390</v>
      </c>
      <c r="AS97" t="s">
        <v>391</v>
      </c>
      <c r="AT97" t="s">
        <v>1373</v>
      </c>
      <c r="AU97">
        <v>2023</v>
      </c>
      <c r="AV97">
        <v>1294</v>
      </c>
      <c r="AW97" t="s">
        <v>74</v>
      </c>
      <c r="AX97">
        <v>2</v>
      </c>
      <c r="AY97" t="s">
        <v>74</v>
      </c>
      <c r="AZ97" t="s">
        <v>74</v>
      </c>
      <c r="BA97" t="s">
        <v>74</v>
      </c>
      <c r="BB97" t="s">
        <v>74</v>
      </c>
      <c r="BC97" t="s">
        <v>74</v>
      </c>
      <c r="BD97">
        <v>136480</v>
      </c>
      <c r="BE97" t="s">
        <v>1864</v>
      </c>
      <c r="BF97" t="str">
        <f>HYPERLINK("http://dx.doi.org/10.1016/j.molstruc.2023.136480","http://dx.doi.org/10.1016/j.molstruc.2023.136480")</f>
        <v>http://dx.doi.org/10.1016/j.molstruc.2023.136480</v>
      </c>
      <c r="BG97" t="s">
        <v>74</v>
      </c>
      <c r="BH97" t="s">
        <v>74</v>
      </c>
      <c r="BI97">
        <v>15</v>
      </c>
      <c r="BJ97" t="s">
        <v>394</v>
      </c>
      <c r="BK97" t="s">
        <v>100</v>
      </c>
      <c r="BL97" t="s">
        <v>395</v>
      </c>
      <c r="BM97" t="s">
        <v>1865</v>
      </c>
      <c r="BN97" t="s">
        <v>74</v>
      </c>
      <c r="BO97" t="s">
        <v>74</v>
      </c>
      <c r="BP97" t="s">
        <v>74</v>
      </c>
      <c r="BQ97" t="s">
        <v>74</v>
      </c>
      <c r="BR97" t="s">
        <v>104</v>
      </c>
      <c r="BS97" t="s">
        <v>1866</v>
      </c>
      <c r="BT97" t="str">
        <f>HYPERLINK("https%3A%2F%2Fwww.webofscience.com%2Fwos%2Fwoscc%2Ffull-record%2FWOS:001073649800001","View Full Record in Web of Science")</f>
        <v>View Full Record in Web of Science</v>
      </c>
    </row>
    <row r="98" spans="1:72" x14ac:dyDescent="0.15">
      <c r="A98" t="s">
        <v>72</v>
      </c>
      <c r="B98" t="s">
        <v>1867</v>
      </c>
      <c r="C98" t="s">
        <v>74</v>
      </c>
      <c r="D98" t="s">
        <v>74</v>
      </c>
      <c r="E98" t="s">
        <v>74</v>
      </c>
      <c r="F98" t="s">
        <v>1868</v>
      </c>
      <c r="G98" t="s">
        <v>74</v>
      </c>
      <c r="H98" t="s">
        <v>74</v>
      </c>
      <c r="I98" t="s">
        <v>1869</v>
      </c>
      <c r="J98" t="s">
        <v>109</v>
      </c>
      <c r="K98" t="s">
        <v>74</v>
      </c>
      <c r="L98" t="s">
        <v>74</v>
      </c>
      <c r="M98" t="s">
        <v>78</v>
      </c>
      <c r="N98" t="s">
        <v>79</v>
      </c>
      <c r="O98" t="s">
        <v>74</v>
      </c>
      <c r="P98" t="s">
        <v>74</v>
      </c>
      <c r="Q98" t="s">
        <v>74</v>
      </c>
      <c r="R98" t="s">
        <v>74</v>
      </c>
      <c r="S98" t="s">
        <v>74</v>
      </c>
      <c r="T98" t="s">
        <v>1870</v>
      </c>
      <c r="U98" t="s">
        <v>1871</v>
      </c>
      <c r="V98" t="s">
        <v>1872</v>
      </c>
      <c r="W98" t="s">
        <v>1873</v>
      </c>
      <c r="X98" t="s">
        <v>1874</v>
      </c>
      <c r="Y98" t="s">
        <v>1875</v>
      </c>
      <c r="Z98" t="s">
        <v>1876</v>
      </c>
      <c r="AA98" t="s">
        <v>74</v>
      </c>
      <c r="AB98" t="s">
        <v>74</v>
      </c>
      <c r="AC98" t="s">
        <v>1877</v>
      </c>
      <c r="AD98" t="s">
        <v>1878</v>
      </c>
      <c r="AE98" t="s">
        <v>1879</v>
      </c>
      <c r="AF98" t="s">
        <v>74</v>
      </c>
      <c r="AG98">
        <v>37</v>
      </c>
      <c r="AH98">
        <v>0</v>
      </c>
      <c r="AI98">
        <v>0</v>
      </c>
      <c r="AJ98">
        <v>25</v>
      </c>
      <c r="AK98">
        <v>25</v>
      </c>
      <c r="AL98" t="s">
        <v>120</v>
      </c>
      <c r="AM98" t="s">
        <v>121</v>
      </c>
      <c r="AN98" t="s">
        <v>122</v>
      </c>
      <c r="AO98" t="s">
        <v>123</v>
      </c>
      <c r="AP98" t="s">
        <v>124</v>
      </c>
      <c r="AQ98" t="s">
        <v>74</v>
      </c>
      <c r="AR98" t="s">
        <v>125</v>
      </c>
      <c r="AS98" t="s">
        <v>126</v>
      </c>
      <c r="AT98" t="s">
        <v>1373</v>
      </c>
      <c r="AU98">
        <v>2023</v>
      </c>
      <c r="AV98">
        <v>429</v>
      </c>
      <c r="AW98" t="s">
        <v>74</v>
      </c>
      <c r="AX98" t="s">
        <v>74</v>
      </c>
      <c r="AY98" t="s">
        <v>74</v>
      </c>
      <c r="AZ98" t="s">
        <v>74</v>
      </c>
      <c r="BA98" t="s">
        <v>74</v>
      </c>
      <c r="BB98" t="s">
        <v>74</v>
      </c>
      <c r="BC98" t="s">
        <v>74</v>
      </c>
      <c r="BD98">
        <v>136810</v>
      </c>
      <c r="BE98" t="s">
        <v>1880</v>
      </c>
      <c r="BF98" t="str">
        <f>HYPERLINK("http://dx.doi.org/10.1016/j.foodchem.2023.136810","http://dx.doi.org/10.1016/j.foodchem.2023.136810")</f>
        <v>http://dx.doi.org/10.1016/j.foodchem.2023.136810</v>
      </c>
      <c r="BG98" t="s">
        <v>74</v>
      </c>
      <c r="BH98" t="s">
        <v>74</v>
      </c>
      <c r="BI98">
        <v>9</v>
      </c>
      <c r="BJ98" t="s">
        <v>129</v>
      </c>
      <c r="BK98" t="s">
        <v>100</v>
      </c>
      <c r="BL98" t="s">
        <v>130</v>
      </c>
      <c r="BM98" t="s">
        <v>1881</v>
      </c>
      <c r="BN98">
        <v>37442086</v>
      </c>
      <c r="BO98" t="s">
        <v>74</v>
      </c>
      <c r="BP98" t="s">
        <v>74</v>
      </c>
      <c r="BQ98" t="s">
        <v>74</v>
      </c>
      <c r="BR98" t="s">
        <v>104</v>
      </c>
      <c r="BS98" t="s">
        <v>1882</v>
      </c>
      <c r="BT98" t="str">
        <f>HYPERLINK("https%3A%2F%2Fwww.webofscience.com%2Fwos%2Fwoscc%2Ffull-record%2FWOS:001047033700001","View Full Record in Web of Science")</f>
        <v>View Full Record in Web of Science</v>
      </c>
    </row>
    <row r="99" spans="1:72" x14ac:dyDescent="0.15">
      <c r="A99" t="s">
        <v>72</v>
      </c>
      <c r="B99" t="s">
        <v>1883</v>
      </c>
      <c r="C99" t="s">
        <v>74</v>
      </c>
      <c r="D99" t="s">
        <v>74</v>
      </c>
      <c r="E99" t="s">
        <v>74</v>
      </c>
      <c r="F99" t="s">
        <v>1884</v>
      </c>
      <c r="G99" t="s">
        <v>74</v>
      </c>
      <c r="H99" t="s">
        <v>74</v>
      </c>
      <c r="I99" t="s">
        <v>1885</v>
      </c>
      <c r="J99" t="s">
        <v>261</v>
      </c>
      <c r="K99" t="s">
        <v>74</v>
      </c>
      <c r="L99" t="s">
        <v>74</v>
      </c>
      <c r="M99" t="s">
        <v>78</v>
      </c>
      <c r="N99" t="s">
        <v>79</v>
      </c>
      <c r="O99" t="s">
        <v>74</v>
      </c>
      <c r="P99" t="s">
        <v>74</v>
      </c>
      <c r="Q99" t="s">
        <v>74</v>
      </c>
      <c r="R99" t="s">
        <v>74</v>
      </c>
      <c r="S99" t="s">
        <v>74</v>
      </c>
      <c r="T99" t="s">
        <v>1886</v>
      </c>
      <c r="U99" t="s">
        <v>1887</v>
      </c>
      <c r="V99" t="s">
        <v>1888</v>
      </c>
      <c r="W99" t="s">
        <v>1889</v>
      </c>
      <c r="X99" t="s">
        <v>1890</v>
      </c>
      <c r="Y99" t="s">
        <v>1891</v>
      </c>
      <c r="Z99" t="s">
        <v>1892</v>
      </c>
      <c r="AA99" t="s">
        <v>74</v>
      </c>
      <c r="AB99" t="s">
        <v>74</v>
      </c>
      <c r="AC99" t="s">
        <v>1893</v>
      </c>
      <c r="AD99" t="s">
        <v>1894</v>
      </c>
      <c r="AE99" t="s">
        <v>1895</v>
      </c>
      <c r="AF99" t="s">
        <v>74</v>
      </c>
      <c r="AG99">
        <v>36</v>
      </c>
      <c r="AH99">
        <v>0</v>
      </c>
      <c r="AI99">
        <v>0</v>
      </c>
      <c r="AJ99">
        <v>0</v>
      </c>
      <c r="AK99">
        <v>0</v>
      </c>
      <c r="AL99" t="s">
        <v>120</v>
      </c>
      <c r="AM99" t="s">
        <v>121</v>
      </c>
      <c r="AN99" t="s">
        <v>122</v>
      </c>
      <c r="AO99" t="s">
        <v>272</v>
      </c>
      <c r="AP99" t="s">
        <v>273</v>
      </c>
      <c r="AQ99" t="s">
        <v>74</v>
      </c>
      <c r="AR99" t="s">
        <v>261</v>
      </c>
      <c r="AS99" t="s">
        <v>274</v>
      </c>
      <c r="AT99" t="s">
        <v>1373</v>
      </c>
      <c r="AU99">
        <v>2023</v>
      </c>
      <c r="AV99">
        <v>354</v>
      </c>
      <c r="AW99" t="s">
        <v>74</v>
      </c>
      <c r="AX99" t="s">
        <v>74</v>
      </c>
      <c r="AY99" t="s">
        <v>74</v>
      </c>
      <c r="AZ99" t="s">
        <v>74</v>
      </c>
      <c r="BA99" t="s">
        <v>74</v>
      </c>
      <c r="BB99" t="s">
        <v>74</v>
      </c>
      <c r="BC99" t="s">
        <v>74</v>
      </c>
      <c r="BD99">
        <v>129393</v>
      </c>
      <c r="BE99" t="s">
        <v>1896</v>
      </c>
      <c r="BF99" t="str">
        <f>HYPERLINK("http://dx.doi.org/10.1016/j.fuel.2023.129393","http://dx.doi.org/10.1016/j.fuel.2023.129393")</f>
        <v>http://dx.doi.org/10.1016/j.fuel.2023.129393</v>
      </c>
      <c r="BG99" t="s">
        <v>74</v>
      </c>
      <c r="BH99" t="s">
        <v>74</v>
      </c>
      <c r="BI99">
        <v>9</v>
      </c>
      <c r="BJ99" t="s">
        <v>276</v>
      </c>
      <c r="BK99" t="s">
        <v>100</v>
      </c>
      <c r="BL99" t="s">
        <v>277</v>
      </c>
      <c r="BM99" t="s">
        <v>1897</v>
      </c>
      <c r="BN99" t="s">
        <v>74</v>
      </c>
      <c r="BO99" t="s">
        <v>74</v>
      </c>
      <c r="BP99" t="s">
        <v>74</v>
      </c>
      <c r="BQ99" t="s">
        <v>74</v>
      </c>
      <c r="BR99" t="s">
        <v>104</v>
      </c>
      <c r="BS99" t="s">
        <v>1898</v>
      </c>
      <c r="BT99" t="str">
        <f>HYPERLINK("https%3A%2F%2Fwww.webofscience.com%2Fwos%2Fwoscc%2Ffull-record%2FWOS:001063016300001","View Full Record in Web of Science")</f>
        <v>View Full Record in Web of Science</v>
      </c>
    </row>
    <row r="100" spans="1:72" x14ac:dyDescent="0.15">
      <c r="A100" t="s">
        <v>72</v>
      </c>
      <c r="B100" t="s">
        <v>1899</v>
      </c>
      <c r="C100" t="s">
        <v>74</v>
      </c>
      <c r="D100" t="s">
        <v>74</v>
      </c>
      <c r="E100" t="s">
        <v>74</v>
      </c>
      <c r="F100" t="s">
        <v>1900</v>
      </c>
      <c r="G100" t="s">
        <v>74</v>
      </c>
      <c r="H100" t="s">
        <v>74</v>
      </c>
      <c r="I100" t="s">
        <v>1901</v>
      </c>
      <c r="J100" t="s">
        <v>441</v>
      </c>
      <c r="K100" t="s">
        <v>74</v>
      </c>
      <c r="L100" t="s">
        <v>74</v>
      </c>
      <c r="M100" t="s">
        <v>78</v>
      </c>
      <c r="N100" t="s">
        <v>79</v>
      </c>
      <c r="O100" t="s">
        <v>74</v>
      </c>
      <c r="P100" t="s">
        <v>74</v>
      </c>
      <c r="Q100" t="s">
        <v>74</v>
      </c>
      <c r="R100" t="s">
        <v>74</v>
      </c>
      <c r="S100" t="s">
        <v>74</v>
      </c>
      <c r="T100" t="s">
        <v>1902</v>
      </c>
      <c r="U100" t="s">
        <v>1903</v>
      </c>
      <c r="V100" t="s">
        <v>1904</v>
      </c>
      <c r="W100" t="s">
        <v>1905</v>
      </c>
      <c r="X100" t="s">
        <v>1906</v>
      </c>
      <c r="Y100" t="s">
        <v>1907</v>
      </c>
      <c r="Z100" t="s">
        <v>1908</v>
      </c>
      <c r="AA100" t="s">
        <v>74</v>
      </c>
      <c r="AB100" t="s">
        <v>74</v>
      </c>
      <c r="AC100" t="s">
        <v>1909</v>
      </c>
      <c r="AD100" t="s">
        <v>1910</v>
      </c>
      <c r="AE100" t="s">
        <v>1911</v>
      </c>
      <c r="AF100" t="s">
        <v>74</v>
      </c>
      <c r="AG100">
        <v>45</v>
      </c>
      <c r="AH100">
        <v>0</v>
      </c>
      <c r="AI100">
        <v>0</v>
      </c>
      <c r="AJ100">
        <v>24</v>
      </c>
      <c r="AK100">
        <v>24</v>
      </c>
      <c r="AL100" t="s">
        <v>90</v>
      </c>
      <c r="AM100" t="s">
        <v>91</v>
      </c>
      <c r="AN100" t="s">
        <v>92</v>
      </c>
      <c r="AO100" t="s">
        <v>452</v>
      </c>
      <c r="AP100" t="s">
        <v>453</v>
      </c>
      <c r="AQ100" t="s">
        <v>74</v>
      </c>
      <c r="AR100" t="s">
        <v>454</v>
      </c>
      <c r="AS100" t="s">
        <v>455</v>
      </c>
      <c r="AT100" t="s">
        <v>1373</v>
      </c>
      <c r="AU100">
        <v>2023</v>
      </c>
      <c r="AV100">
        <v>339</v>
      </c>
      <c r="AW100" t="s">
        <v>74</v>
      </c>
      <c r="AX100" t="s">
        <v>74</v>
      </c>
      <c r="AY100" t="s">
        <v>74</v>
      </c>
      <c r="AZ100" t="s">
        <v>74</v>
      </c>
      <c r="BA100" t="s">
        <v>74</v>
      </c>
      <c r="BB100" t="s">
        <v>74</v>
      </c>
      <c r="BC100" t="s">
        <v>74</v>
      </c>
      <c r="BD100">
        <v>123098</v>
      </c>
      <c r="BE100" t="s">
        <v>1912</v>
      </c>
      <c r="BF100" t="str">
        <f>HYPERLINK("http://dx.doi.org/10.1016/j.apcatb.2023.123098","http://dx.doi.org/10.1016/j.apcatb.2023.123098")</f>
        <v>http://dx.doi.org/10.1016/j.apcatb.2023.123098</v>
      </c>
      <c r="BG100" t="s">
        <v>74</v>
      </c>
      <c r="BH100" t="s">
        <v>74</v>
      </c>
      <c r="BI100">
        <v>11</v>
      </c>
      <c r="BJ100" t="s">
        <v>457</v>
      </c>
      <c r="BK100" t="s">
        <v>100</v>
      </c>
      <c r="BL100" t="s">
        <v>458</v>
      </c>
      <c r="BM100" t="s">
        <v>1913</v>
      </c>
      <c r="BN100" t="s">
        <v>74</v>
      </c>
      <c r="BO100" t="s">
        <v>74</v>
      </c>
      <c r="BP100" t="s">
        <v>74</v>
      </c>
      <c r="BQ100" t="s">
        <v>74</v>
      </c>
      <c r="BR100" t="s">
        <v>104</v>
      </c>
      <c r="BS100" t="s">
        <v>1914</v>
      </c>
      <c r="BT100" t="str">
        <f>HYPERLINK("https%3A%2F%2Fwww.webofscience.com%2Fwos%2Fwoscc%2Ffull-record%2FWOS:001056566000001","View Full Record in Web of Science")</f>
        <v>View Full Record in Web of Science</v>
      </c>
    </row>
    <row r="101" spans="1:72" x14ac:dyDescent="0.15">
      <c r="A101" t="s">
        <v>72</v>
      </c>
      <c r="B101" t="s">
        <v>1915</v>
      </c>
      <c r="C101" t="s">
        <v>74</v>
      </c>
      <c r="D101" t="s">
        <v>74</v>
      </c>
      <c r="E101" t="s">
        <v>74</v>
      </c>
      <c r="F101" t="s">
        <v>1916</v>
      </c>
      <c r="G101" t="s">
        <v>74</v>
      </c>
      <c r="H101" t="s">
        <v>74</v>
      </c>
      <c r="I101" t="s">
        <v>1917</v>
      </c>
      <c r="J101" t="s">
        <v>1438</v>
      </c>
      <c r="K101" t="s">
        <v>74</v>
      </c>
      <c r="L101" t="s">
        <v>74</v>
      </c>
      <c r="M101" t="s">
        <v>78</v>
      </c>
      <c r="N101" t="s">
        <v>79</v>
      </c>
      <c r="O101" t="s">
        <v>74</v>
      </c>
      <c r="P101" t="s">
        <v>74</v>
      </c>
      <c r="Q101" t="s">
        <v>74</v>
      </c>
      <c r="R101" t="s">
        <v>74</v>
      </c>
      <c r="S101" t="s">
        <v>74</v>
      </c>
      <c r="T101" t="s">
        <v>1918</v>
      </c>
      <c r="U101" t="s">
        <v>1919</v>
      </c>
      <c r="V101" t="s">
        <v>1920</v>
      </c>
      <c r="W101" t="s">
        <v>1921</v>
      </c>
      <c r="X101" t="s">
        <v>1922</v>
      </c>
      <c r="Y101" t="s">
        <v>1923</v>
      </c>
      <c r="Z101" t="s">
        <v>1924</v>
      </c>
      <c r="AA101" t="s">
        <v>74</v>
      </c>
      <c r="AB101" t="s">
        <v>74</v>
      </c>
      <c r="AC101" t="s">
        <v>1925</v>
      </c>
      <c r="AD101" t="s">
        <v>1926</v>
      </c>
      <c r="AE101" t="s">
        <v>1927</v>
      </c>
      <c r="AF101" t="s">
        <v>74</v>
      </c>
      <c r="AG101">
        <v>71</v>
      </c>
      <c r="AH101">
        <v>0</v>
      </c>
      <c r="AI101">
        <v>0</v>
      </c>
      <c r="AJ101">
        <v>17</v>
      </c>
      <c r="AK101">
        <v>17</v>
      </c>
      <c r="AL101" t="s">
        <v>90</v>
      </c>
      <c r="AM101" t="s">
        <v>91</v>
      </c>
      <c r="AN101" t="s">
        <v>92</v>
      </c>
      <c r="AO101" t="s">
        <v>1448</v>
      </c>
      <c r="AP101" t="s">
        <v>1449</v>
      </c>
      <c r="AQ101" t="s">
        <v>74</v>
      </c>
      <c r="AR101" t="s">
        <v>1438</v>
      </c>
      <c r="AS101" t="s">
        <v>1450</v>
      </c>
      <c r="AT101" t="s">
        <v>1373</v>
      </c>
      <c r="AU101">
        <v>2023</v>
      </c>
      <c r="AV101">
        <v>577</v>
      </c>
      <c r="AW101" t="s">
        <v>74</v>
      </c>
      <c r="AX101" t="s">
        <v>74</v>
      </c>
      <c r="AY101" t="s">
        <v>74</v>
      </c>
      <c r="AZ101" t="s">
        <v>74</v>
      </c>
      <c r="BA101" t="s">
        <v>74</v>
      </c>
      <c r="BB101" t="s">
        <v>74</v>
      </c>
      <c r="BC101" t="s">
        <v>74</v>
      </c>
      <c r="BD101">
        <v>739927</v>
      </c>
      <c r="BE101" t="s">
        <v>1928</v>
      </c>
      <c r="BF101" t="str">
        <f>HYPERLINK("http://dx.doi.org/10.1016/j.aquaculture.2023.739927","http://dx.doi.org/10.1016/j.aquaculture.2023.739927")</f>
        <v>http://dx.doi.org/10.1016/j.aquaculture.2023.739927</v>
      </c>
      <c r="BG101" t="s">
        <v>74</v>
      </c>
      <c r="BH101" t="s">
        <v>74</v>
      </c>
      <c r="BI101">
        <v>14</v>
      </c>
      <c r="BJ101" t="s">
        <v>1452</v>
      </c>
      <c r="BK101" t="s">
        <v>100</v>
      </c>
      <c r="BL101" t="s">
        <v>1452</v>
      </c>
      <c r="BM101" t="s">
        <v>1929</v>
      </c>
      <c r="BN101" t="s">
        <v>74</v>
      </c>
      <c r="BO101" t="s">
        <v>74</v>
      </c>
      <c r="BP101" t="s">
        <v>74</v>
      </c>
      <c r="BQ101" t="s">
        <v>74</v>
      </c>
      <c r="BR101" t="s">
        <v>104</v>
      </c>
      <c r="BS101" t="s">
        <v>1930</v>
      </c>
      <c r="BT101" t="str">
        <f>HYPERLINK("https%3A%2F%2Fwww.webofscience.com%2Fwos%2Fwoscc%2Ffull-record%2FWOS:001050638400001","View Full Record in Web of Science")</f>
        <v>View Full Record in Web of Science</v>
      </c>
    </row>
    <row r="102" spans="1:72" x14ac:dyDescent="0.15">
      <c r="A102" t="s">
        <v>72</v>
      </c>
      <c r="B102" t="s">
        <v>1931</v>
      </c>
      <c r="C102" t="s">
        <v>74</v>
      </c>
      <c r="D102" t="s">
        <v>74</v>
      </c>
      <c r="E102" t="s">
        <v>74</v>
      </c>
      <c r="F102" t="s">
        <v>1932</v>
      </c>
      <c r="G102" t="s">
        <v>74</v>
      </c>
      <c r="H102" t="s">
        <v>74</v>
      </c>
      <c r="I102" t="s">
        <v>1933</v>
      </c>
      <c r="J102" t="s">
        <v>1401</v>
      </c>
      <c r="K102" t="s">
        <v>74</v>
      </c>
      <c r="L102" t="s">
        <v>74</v>
      </c>
      <c r="M102" t="s">
        <v>78</v>
      </c>
      <c r="N102" t="s">
        <v>79</v>
      </c>
      <c r="O102" t="s">
        <v>74</v>
      </c>
      <c r="P102" t="s">
        <v>74</v>
      </c>
      <c r="Q102" t="s">
        <v>74</v>
      </c>
      <c r="R102" t="s">
        <v>74</v>
      </c>
      <c r="S102" t="s">
        <v>74</v>
      </c>
      <c r="T102" t="s">
        <v>1934</v>
      </c>
      <c r="U102" t="s">
        <v>1935</v>
      </c>
      <c r="V102" t="s">
        <v>1936</v>
      </c>
      <c r="W102" t="s">
        <v>1937</v>
      </c>
      <c r="X102" t="s">
        <v>1938</v>
      </c>
      <c r="Y102" t="s">
        <v>1939</v>
      </c>
      <c r="Z102" t="s">
        <v>1940</v>
      </c>
      <c r="AA102" t="s">
        <v>74</v>
      </c>
      <c r="AB102" t="s">
        <v>74</v>
      </c>
      <c r="AC102" t="s">
        <v>1941</v>
      </c>
      <c r="AD102" t="s">
        <v>1942</v>
      </c>
      <c r="AE102" t="s">
        <v>1943</v>
      </c>
      <c r="AF102" t="s">
        <v>74</v>
      </c>
      <c r="AG102">
        <v>42</v>
      </c>
      <c r="AH102">
        <v>0</v>
      </c>
      <c r="AI102">
        <v>0</v>
      </c>
      <c r="AJ102">
        <v>2</v>
      </c>
      <c r="AK102">
        <v>2</v>
      </c>
      <c r="AL102" t="s">
        <v>475</v>
      </c>
      <c r="AM102" t="s">
        <v>476</v>
      </c>
      <c r="AN102" t="s">
        <v>477</v>
      </c>
      <c r="AO102" t="s">
        <v>1412</v>
      </c>
      <c r="AP102" t="s">
        <v>1413</v>
      </c>
      <c r="AQ102" t="s">
        <v>74</v>
      </c>
      <c r="AR102" t="s">
        <v>1414</v>
      </c>
      <c r="AS102" t="s">
        <v>1415</v>
      </c>
      <c r="AT102" t="s">
        <v>1373</v>
      </c>
      <c r="AU102">
        <v>2023</v>
      </c>
      <c r="AV102">
        <v>652</v>
      </c>
      <c r="AW102" t="s">
        <v>74</v>
      </c>
      <c r="AX102" t="s">
        <v>337</v>
      </c>
      <c r="AY102" t="s">
        <v>74</v>
      </c>
      <c r="AZ102" t="s">
        <v>74</v>
      </c>
      <c r="BA102" t="s">
        <v>74</v>
      </c>
      <c r="BB102">
        <v>113</v>
      </c>
      <c r="BC102">
        <v>121</v>
      </c>
      <c r="BD102" t="s">
        <v>74</v>
      </c>
      <c r="BE102" t="s">
        <v>1944</v>
      </c>
      <c r="BF102" t="str">
        <f>HYPERLINK("http://dx.doi.org/10.1016/j.jcis.2023.08.036","http://dx.doi.org/10.1016/j.jcis.2023.08.036")</f>
        <v>http://dx.doi.org/10.1016/j.jcis.2023.08.036</v>
      </c>
      <c r="BG102" t="s">
        <v>74</v>
      </c>
      <c r="BH102" t="s">
        <v>74</v>
      </c>
      <c r="BI102">
        <v>9</v>
      </c>
      <c r="BJ102" t="s">
        <v>394</v>
      </c>
      <c r="BK102" t="s">
        <v>100</v>
      </c>
      <c r="BL102" t="s">
        <v>395</v>
      </c>
      <c r="BM102" t="s">
        <v>1945</v>
      </c>
      <c r="BN102">
        <v>37591072</v>
      </c>
      <c r="BO102" t="s">
        <v>74</v>
      </c>
      <c r="BP102" t="s">
        <v>74</v>
      </c>
      <c r="BQ102" t="s">
        <v>74</v>
      </c>
      <c r="BR102" t="s">
        <v>104</v>
      </c>
      <c r="BS102" t="s">
        <v>1946</v>
      </c>
      <c r="BT102" t="str">
        <f>HYPERLINK("https%3A%2F%2Fwww.webofscience.com%2Fwos%2Fwoscc%2Ffull-record%2FWOS:001062825900001","View Full Record in Web of Science")</f>
        <v>View Full Record in Web of Science</v>
      </c>
    </row>
    <row r="103" spans="1:72" x14ac:dyDescent="0.15">
      <c r="A103" t="s">
        <v>72</v>
      </c>
      <c r="B103" t="s">
        <v>1947</v>
      </c>
      <c r="C103" t="s">
        <v>74</v>
      </c>
      <c r="D103" t="s">
        <v>74</v>
      </c>
      <c r="E103" t="s">
        <v>74</v>
      </c>
      <c r="F103" t="s">
        <v>1948</v>
      </c>
      <c r="G103" t="s">
        <v>74</v>
      </c>
      <c r="H103" t="s">
        <v>74</v>
      </c>
      <c r="I103" t="s">
        <v>1949</v>
      </c>
      <c r="J103" t="s">
        <v>1950</v>
      </c>
      <c r="K103" t="s">
        <v>74</v>
      </c>
      <c r="L103" t="s">
        <v>74</v>
      </c>
      <c r="M103" t="s">
        <v>78</v>
      </c>
      <c r="N103" t="s">
        <v>79</v>
      </c>
      <c r="O103" t="s">
        <v>74</v>
      </c>
      <c r="P103" t="s">
        <v>74</v>
      </c>
      <c r="Q103" t="s">
        <v>74</v>
      </c>
      <c r="R103" t="s">
        <v>74</v>
      </c>
      <c r="S103" t="s">
        <v>74</v>
      </c>
      <c r="T103" t="s">
        <v>1951</v>
      </c>
      <c r="U103" t="s">
        <v>1952</v>
      </c>
      <c r="V103" t="s">
        <v>1953</v>
      </c>
      <c r="W103" t="s">
        <v>1954</v>
      </c>
      <c r="X103" t="s">
        <v>1955</v>
      </c>
      <c r="Y103" t="s">
        <v>1956</v>
      </c>
      <c r="Z103" t="s">
        <v>1957</v>
      </c>
      <c r="AA103" t="s">
        <v>1958</v>
      </c>
      <c r="AB103" t="s">
        <v>1959</v>
      </c>
      <c r="AC103" t="s">
        <v>1960</v>
      </c>
      <c r="AD103" t="s">
        <v>1961</v>
      </c>
      <c r="AE103" t="s">
        <v>1962</v>
      </c>
      <c r="AF103" t="s">
        <v>74</v>
      </c>
      <c r="AG103">
        <v>54</v>
      </c>
      <c r="AH103">
        <v>0</v>
      </c>
      <c r="AI103">
        <v>0</v>
      </c>
      <c r="AJ103">
        <v>8</v>
      </c>
      <c r="AK103">
        <v>8</v>
      </c>
      <c r="AL103" t="s">
        <v>173</v>
      </c>
      <c r="AM103" t="s">
        <v>121</v>
      </c>
      <c r="AN103" t="s">
        <v>174</v>
      </c>
      <c r="AO103" t="s">
        <v>1963</v>
      </c>
      <c r="AP103" t="s">
        <v>1964</v>
      </c>
      <c r="AQ103" t="s">
        <v>74</v>
      </c>
      <c r="AR103" t="s">
        <v>1950</v>
      </c>
      <c r="AS103" t="s">
        <v>1965</v>
      </c>
      <c r="AT103" t="s">
        <v>1373</v>
      </c>
      <c r="AU103">
        <v>2023</v>
      </c>
      <c r="AV103">
        <v>285</v>
      </c>
      <c r="AW103" t="s">
        <v>74</v>
      </c>
      <c r="AX103" t="s">
        <v>74</v>
      </c>
      <c r="AY103" t="s">
        <v>74</v>
      </c>
      <c r="AZ103" t="s">
        <v>74</v>
      </c>
      <c r="BA103" t="s">
        <v>74</v>
      </c>
      <c r="BB103" t="s">
        <v>74</v>
      </c>
      <c r="BC103" t="s">
        <v>74</v>
      </c>
      <c r="BD103">
        <v>128771</v>
      </c>
      <c r="BE103" t="s">
        <v>1966</v>
      </c>
      <c r="BF103" t="str">
        <f>HYPERLINK("http://dx.doi.org/10.1016/j.energy.2023.128771","http://dx.doi.org/10.1016/j.energy.2023.128771")</f>
        <v>http://dx.doi.org/10.1016/j.energy.2023.128771</v>
      </c>
      <c r="BG103" t="s">
        <v>74</v>
      </c>
      <c r="BH103" t="s">
        <v>74</v>
      </c>
      <c r="BI103">
        <v>12</v>
      </c>
      <c r="BJ103" t="s">
        <v>1967</v>
      </c>
      <c r="BK103" t="s">
        <v>100</v>
      </c>
      <c r="BL103" t="s">
        <v>1967</v>
      </c>
      <c r="BM103" t="s">
        <v>1968</v>
      </c>
      <c r="BN103" t="s">
        <v>74</v>
      </c>
      <c r="BO103" t="s">
        <v>74</v>
      </c>
      <c r="BP103" t="s">
        <v>74</v>
      </c>
      <c r="BQ103" t="s">
        <v>74</v>
      </c>
      <c r="BR103" t="s">
        <v>104</v>
      </c>
      <c r="BS103" t="s">
        <v>1969</v>
      </c>
      <c r="BT103" t="str">
        <f>HYPERLINK("https%3A%2F%2Fwww.webofscience.com%2Fwos%2Fwoscc%2Ffull-record%2FWOS:001062096200001","View Full Record in Web of Science")</f>
        <v>View Full Record in Web of Science</v>
      </c>
    </row>
    <row r="104" spans="1:72" x14ac:dyDescent="0.15">
      <c r="A104" t="s">
        <v>72</v>
      </c>
      <c r="B104" t="s">
        <v>1970</v>
      </c>
      <c r="C104" t="s">
        <v>74</v>
      </c>
      <c r="D104" t="s">
        <v>74</v>
      </c>
      <c r="E104" t="s">
        <v>74</v>
      </c>
      <c r="F104" t="s">
        <v>1971</v>
      </c>
      <c r="G104" t="s">
        <v>74</v>
      </c>
      <c r="H104" t="s">
        <v>74</v>
      </c>
      <c r="I104" t="s">
        <v>1972</v>
      </c>
      <c r="J104" t="s">
        <v>261</v>
      </c>
      <c r="K104" t="s">
        <v>74</v>
      </c>
      <c r="L104" t="s">
        <v>74</v>
      </c>
      <c r="M104" t="s">
        <v>78</v>
      </c>
      <c r="N104" t="s">
        <v>79</v>
      </c>
      <c r="O104" t="s">
        <v>74</v>
      </c>
      <c r="P104" t="s">
        <v>74</v>
      </c>
      <c r="Q104" t="s">
        <v>74</v>
      </c>
      <c r="R104" t="s">
        <v>74</v>
      </c>
      <c r="S104" t="s">
        <v>74</v>
      </c>
      <c r="T104" t="s">
        <v>1973</v>
      </c>
      <c r="U104" t="s">
        <v>1974</v>
      </c>
      <c r="V104" t="s">
        <v>1975</v>
      </c>
      <c r="W104" t="s">
        <v>1976</v>
      </c>
      <c r="X104" t="s">
        <v>1977</v>
      </c>
      <c r="Y104" t="s">
        <v>1978</v>
      </c>
      <c r="Z104" t="s">
        <v>1979</v>
      </c>
      <c r="AA104" t="s">
        <v>74</v>
      </c>
      <c r="AB104" t="s">
        <v>74</v>
      </c>
      <c r="AC104" t="s">
        <v>1980</v>
      </c>
      <c r="AD104" t="s">
        <v>1980</v>
      </c>
      <c r="AE104" t="s">
        <v>1981</v>
      </c>
      <c r="AF104" t="s">
        <v>74</v>
      </c>
      <c r="AG104">
        <v>57</v>
      </c>
      <c r="AH104">
        <v>0</v>
      </c>
      <c r="AI104">
        <v>0</v>
      </c>
      <c r="AJ104">
        <v>9</v>
      </c>
      <c r="AK104">
        <v>9</v>
      </c>
      <c r="AL104" t="s">
        <v>120</v>
      </c>
      <c r="AM104" t="s">
        <v>121</v>
      </c>
      <c r="AN104" t="s">
        <v>122</v>
      </c>
      <c r="AO104" t="s">
        <v>272</v>
      </c>
      <c r="AP104" t="s">
        <v>273</v>
      </c>
      <c r="AQ104" t="s">
        <v>74</v>
      </c>
      <c r="AR104" t="s">
        <v>261</v>
      </c>
      <c r="AS104" t="s">
        <v>274</v>
      </c>
      <c r="AT104" t="s">
        <v>1373</v>
      </c>
      <c r="AU104">
        <v>2023</v>
      </c>
      <c r="AV104">
        <v>354</v>
      </c>
      <c r="AW104" t="s">
        <v>74</v>
      </c>
      <c r="AX104" t="s">
        <v>74</v>
      </c>
      <c r="AY104" t="s">
        <v>74</v>
      </c>
      <c r="AZ104" t="s">
        <v>74</v>
      </c>
      <c r="BA104" t="s">
        <v>74</v>
      </c>
      <c r="BB104" t="s">
        <v>74</v>
      </c>
      <c r="BC104" t="s">
        <v>74</v>
      </c>
      <c r="BD104">
        <v>129355</v>
      </c>
      <c r="BE104" t="s">
        <v>1982</v>
      </c>
      <c r="BF104" t="str">
        <f>HYPERLINK("http://dx.doi.org/10.1016/j.fuel.2023.129355","http://dx.doi.org/10.1016/j.fuel.2023.129355")</f>
        <v>http://dx.doi.org/10.1016/j.fuel.2023.129355</v>
      </c>
      <c r="BG104" t="s">
        <v>74</v>
      </c>
      <c r="BH104" t="s">
        <v>74</v>
      </c>
      <c r="BI104">
        <v>11</v>
      </c>
      <c r="BJ104" t="s">
        <v>276</v>
      </c>
      <c r="BK104" t="s">
        <v>100</v>
      </c>
      <c r="BL104" t="s">
        <v>277</v>
      </c>
      <c r="BM104" t="s">
        <v>1983</v>
      </c>
      <c r="BN104" t="s">
        <v>74</v>
      </c>
      <c r="BO104" t="s">
        <v>74</v>
      </c>
      <c r="BP104" t="s">
        <v>74</v>
      </c>
      <c r="BQ104" t="s">
        <v>74</v>
      </c>
      <c r="BR104" t="s">
        <v>104</v>
      </c>
      <c r="BS104" t="s">
        <v>1984</v>
      </c>
      <c r="BT104" t="str">
        <f>HYPERLINK("https%3A%2F%2Fwww.webofscience.com%2Fwos%2Fwoscc%2Ffull-record%2FWOS:001054587800001","View Full Record in Web of Science")</f>
        <v>View Full Record in Web of Science</v>
      </c>
    </row>
    <row r="105" spans="1:72" x14ac:dyDescent="0.15">
      <c r="A105" t="s">
        <v>72</v>
      </c>
      <c r="B105" t="s">
        <v>1985</v>
      </c>
      <c r="C105" t="s">
        <v>74</v>
      </c>
      <c r="D105" t="s">
        <v>74</v>
      </c>
      <c r="E105" t="s">
        <v>74</v>
      </c>
      <c r="F105" t="s">
        <v>1986</v>
      </c>
      <c r="G105" t="s">
        <v>74</v>
      </c>
      <c r="H105" t="s">
        <v>74</v>
      </c>
      <c r="I105" t="s">
        <v>1987</v>
      </c>
      <c r="J105" t="s">
        <v>441</v>
      </c>
      <c r="K105" t="s">
        <v>74</v>
      </c>
      <c r="L105" t="s">
        <v>74</v>
      </c>
      <c r="M105" t="s">
        <v>78</v>
      </c>
      <c r="N105" t="s">
        <v>79</v>
      </c>
      <c r="O105" t="s">
        <v>74</v>
      </c>
      <c r="P105" t="s">
        <v>74</v>
      </c>
      <c r="Q105" t="s">
        <v>74</v>
      </c>
      <c r="R105" t="s">
        <v>74</v>
      </c>
      <c r="S105" t="s">
        <v>74</v>
      </c>
      <c r="T105" t="s">
        <v>1988</v>
      </c>
      <c r="U105" t="s">
        <v>1989</v>
      </c>
      <c r="V105" t="s">
        <v>1990</v>
      </c>
      <c r="W105" t="s">
        <v>1991</v>
      </c>
      <c r="X105" t="s">
        <v>1992</v>
      </c>
      <c r="Y105" t="s">
        <v>1993</v>
      </c>
      <c r="Z105" t="s">
        <v>1994</v>
      </c>
      <c r="AA105" t="s">
        <v>74</v>
      </c>
      <c r="AB105" t="s">
        <v>74</v>
      </c>
      <c r="AC105" t="s">
        <v>1995</v>
      </c>
      <c r="AD105" t="s">
        <v>1996</v>
      </c>
      <c r="AE105" t="s">
        <v>1997</v>
      </c>
      <c r="AF105" t="s">
        <v>74</v>
      </c>
      <c r="AG105">
        <v>49</v>
      </c>
      <c r="AH105">
        <v>0</v>
      </c>
      <c r="AI105">
        <v>0</v>
      </c>
      <c r="AJ105">
        <v>0</v>
      </c>
      <c r="AK105">
        <v>0</v>
      </c>
      <c r="AL105" t="s">
        <v>90</v>
      </c>
      <c r="AM105" t="s">
        <v>91</v>
      </c>
      <c r="AN105" t="s">
        <v>92</v>
      </c>
      <c r="AO105" t="s">
        <v>452</v>
      </c>
      <c r="AP105" t="s">
        <v>453</v>
      </c>
      <c r="AQ105" t="s">
        <v>74</v>
      </c>
      <c r="AR105" t="s">
        <v>454</v>
      </c>
      <c r="AS105" t="s">
        <v>455</v>
      </c>
      <c r="AT105" t="s">
        <v>1373</v>
      </c>
      <c r="AU105">
        <v>2023</v>
      </c>
      <c r="AV105">
        <v>339</v>
      </c>
      <c r="AW105" t="s">
        <v>74</v>
      </c>
      <c r="AX105" t="s">
        <v>74</v>
      </c>
      <c r="AY105" t="s">
        <v>74</v>
      </c>
      <c r="AZ105" t="s">
        <v>74</v>
      </c>
      <c r="BA105" t="s">
        <v>74</v>
      </c>
      <c r="BB105" t="s">
        <v>74</v>
      </c>
      <c r="BC105" t="s">
        <v>74</v>
      </c>
      <c r="BD105">
        <v>123155</v>
      </c>
      <c r="BE105" t="s">
        <v>1998</v>
      </c>
      <c r="BF105" t="str">
        <f>HYPERLINK("http://dx.doi.org/10.1016/j.apcatb.2023.123155","http://dx.doi.org/10.1016/j.apcatb.2023.123155")</f>
        <v>http://dx.doi.org/10.1016/j.apcatb.2023.123155</v>
      </c>
      <c r="BG105" t="s">
        <v>74</v>
      </c>
      <c r="BH105" t="s">
        <v>74</v>
      </c>
      <c r="BI105">
        <v>10</v>
      </c>
      <c r="BJ105" t="s">
        <v>457</v>
      </c>
      <c r="BK105" t="s">
        <v>100</v>
      </c>
      <c r="BL105" t="s">
        <v>458</v>
      </c>
      <c r="BM105" t="s">
        <v>1999</v>
      </c>
      <c r="BN105" t="s">
        <v>74</v>
      </c>
      <c r="BO105" t="s">
        <v>74</v>
      </c>
      <c r="BP105" t="s">
        <v>74</v>
      </c>
      <c r="BQ105" t="s">
        <v>74</v>
      </c>
      <c r="BR105" t="s">
        <v>104</v>
      </c>
      <c r="BS105" t="s">
        <v>2000</v>
      </c>
      <c r="BT105" t="str">
        <f>HYPERLINK("https%3A%2F%2Fwww.webofscience.com%2Fwos%2Fwoscc%2Ffull-record%2FWOS:001066143000001","View Full Record in Web of Science")</f>
        <v>View Full Record in Web of Science</v>
      </c>
    </row>
    <row r="106" spans="1:72" x14ac:dyDescent="0.15">
      <c r="A106" t="s">
        <v>72</v>
      </c>
      <c r="B106" t="s">
        <v>2001</v>
      </c>
      <c r="C106" t="s">
        <v>74</v>
      </c>
      <c r="D106" t="s">
        <v>74</v>
      </c>
      <c r="E106" t="s">
        <v>74</v>
      </c>
      <c r="F106" t="s">
        <v>2002</v>
      </c>
      <c r="G106" t="s">
        <v>74</v>
      </c>
      <c r="H106" t="s">
        <v>74</v>
      </c>
      <c r="I106" t="s">
        <v>2003</v>
      </c>
      <c r="J106" t="s">
        <v>1793</v>
      </c>
      <c r="K106" t="s">
        <v>74</v>
      </c>
      <c r="L106" t="s">
        <v>74</v>
      </c>
      <c r="M106" t="s">
        <v>78</v>
      </c>
      <c r="N106" t="s">
        <v>79</v>
      </c>
      <c r="O106" t="s">
        <v>74</v>
      </c>
      <c r="P106" t="s">
        <v>74</v>
      </c>
      <c r="Q106" t="s">
        <v>74</v>
      </c>
      <c r="R106" t="s">
        <v>74</v>
      </c>
      <c r="S106" t="s">
        <v>74</v>
      </c>
      <c r="T106" t="s">
        <v>2004</v>
      </c>
      <c r="U106" t="s">
        <v>2005</v>
      </c>
      <c r="V106" t="s">
        <v>2006</v>
      </c>
      <c r="W106" t="s">
        <v>2007</v>
      </c>
      <c r="X106" t="s">
        <v>2008</v>
      </c>
      <c r="Y106" t="s">
        <v>2009</v>
      </c>
      <c r="Z106" t="s">
        <v>2010</v>
      </c>
      <c r="AA106" t="s">
        <v>74</v>
      </c>
      <c r="AB106" t="s">
        <v>74</v>
      </c>
      <c r="AC106" t="s">
        <v>74</v>
      </c>
      <c r="AD106" t="s">
        <v>74</v>
      </c>
      <c r="AE106" t="s">
        <v>74</v>
      </c>
      <c r="AF106" t="s">
        <v>74</v>
      </c>
      <c r="AG106">
        <v>38</v>
      </c>
      <c r="AH106">
        <v>0</v>
      </c>
      <c r="AI106">
        <v>0</v>
      </c>
      <c r="AJ106">
        <v>7</v>
      </c>
      <c r="AK106">
        <v>7</v>
      </c>
      <c r="AL106" t="s">
        <v>173</v>
      </c>
      <c r="AM106" t="s">
        <v>121</v>
      </c>
      <c r="AN106" t="s">
        <v>174</v>
      </c>
      <c r="AO106" t="s">
        <v>1805</v>
      </c>
      <c r="AP106" t="s">
        <v>1806</v>
      </c>
      <c r="AQ106" t="s">
        <v>74</v>
      </c>
      <c r="AR106" t="s">
        <v>1807</v>
      </c>
      <c r="AS106" t="s">
        <v>1808</v>
      </c>
      <c r="AT106" t="s">
        <v>1373</v>
      </c>
      <c r="AU106">
        <v>2023</v>
      </c>
      <c r="AV106">
        <v>303</v>
      </c>
      <c r="AW106" t="s">
        <v>74</v>
      </c>
      <c r="AX106" t="s">
        <v>74</v>
      </c>
      <c r="AY106" t="s">
        <v>74</v>
      </c>
      <c r="AZ106" t="s">
        <v>74</v>
      </c>
      <c r="BA106" t="s">
        <v>74</v>
      </c>
      <c r="BB106" t="s">
        <v>74</v>
      </c>
      <c r="BC106" t="s">
        <v>74</v>
      </c>
      <c r="BD106">
        <v>123274</v>
      </c>
      <c r="BE106" t="s">
        <v>2011</v>
      </c>
      <c r="BF106" t="str">
        <f>HYPERLINK("http://dx.doi.org/10.1016/j.saa.2023.123274","http://dx.doi.org/10.1016/j.saa.2023.123274")</f>
        <v>http://dx.doi.org/10.1016/j.saa.2023.123274</v>
      </c>
      <c r="BG106" t="s">
        <v>74</v>
      </c>
      <c r="BH106" t="s">
        <v>74</v>
      </c>
      <c r="BI106">
        <v>12</v>
      </c>
      <c r="BJ106" t="s">
        <v>1810</v>
      </c>
      <c r="BK106" t="s">
        <v>100</v>
      </c>
      <c r="BL106" t="s">
        <v>1810</v>
      </c>
      <c r="BM106" t="s">
        <v>2012</v>
      </c>
      <c r="BN106">
        <v>37603975</v>
      </c>
      <c r="BO106" t="s">
        <v>74</v>
      </c>
      <c r="BP106" t="s">
        <v>74</v>
      </c>
      <c r="BQ106" t="s">
        <v>74</v>
      </c>
      <c r="BR106" t="s">
        <v>104</v>
      </c>
      <c r="BS106" t="s">
        <v>2013</v>
      </c>
      <c r="BT106" t="str">
        <f>HYPERLINK("https%3A%2F%2Fwww.webofscience.com%2Fwos%2Fwoscc%2Ffull-record%2FWOS:001068009200001","View Full Record in Web of Science")</f>
        <v>View Full Record in Web of Science</v>
      </c>
    </row>
    <row r="107" spans="1:72" x14ac:dyDescent="0.15">
      <c r="A107" t="s">
        <v>72</v>
      </c>
      <c r="B107" t="s">
        <v>2014</v>
      </c>
      <c r="C107" t="s">
        <v>74</v>
      </c>
      <c r="D107" t="s">
        <v>74</v>
      </c>
      <c r="E107" t="s">
        <v>74</v>
      </c>
      <c r="F107" t="s">
        <v>2015</v>
      </c>
      <c r="G107" t="s">
        <v>74</v>
      </c>
      <c r="H107" t="s">
        <v>74</v>
      </c>
      <c r="I107" t="s">
        <v>2016</v>
      </c>
      <c r="J107" t="s">
        <v>1401</v>
      </c>
      <c r="K107" t="s">
        <v>74</v>
      </c>
      <c r="L107" t="s">
        <v>74</v>
      </c>
      <c r="M107" t="s">
        <v>78</v>
      </c>
      <c r="N107" t="s">
        <v>79</v>
      </c>
      <c r="O107" t="s">
        <v>74</v>
      </c>
      <c r="P107" t="s">
        <v>74</v>
      </c>
      <c r="Q107" t="s">
        <v>74</v>
      </c>
      <c r="R107" t="s">
        <v>74</v>
      </c>
      <c r="S107" t="s">
        <v>74</v>
      </c>
      <c r="T107" t="s">
        <v>2017</v>
      </c>
      <c r="U107" t="s">
        <v>2018</v>
      </c>
      <c r="V107" t="s">
        <v>2019</v>
      </c>
      <c r="W107" t="s">
        <v>2020</v>
      </c>
      <c r="X107" t="s">
        <v>2021</v>
      </c>
      <c r="Y107" t="s">
        <v>2022</v>
      </c>
      <c r="Z107" t="s">
        <v>2023</v>
      </c>
      <c r="AA107" t="s">
        <v>74</v>
      </c>
      <c r="AB107" t="s">
        <v>74</v>
      </c>
      <c r="AC107" t="s">
        <v>2024</v>
      </c>
      <c r="AD107" t="s">
        <v>2025</v>
      </c>
      <c r="AE107" t="s">
        <v>2026</v>
      </c>
      <c r="AF107" t="s">
        <v>74</v>
      </c>
      <c r="AG107">
        <v>52</v>
      </c>
      <c r="AH107">
        <v>0</v>
      </c>
      <c r="AI107">
        <v>0</v>
      </c>
      <c r="AJ107">
        <v>4</v>
      </c>
      <c r="AK107">
        <v>4</v>
      </c>
      <c r="AL107" t="s">
        <v>475</v>
      </c>
      <c r="AM107" t="s">
        <v>476</v>
      </c>
      <c r="AN107" t="s">
        <v>477</v>
      </c>
      <c r="AO107" t="s">
        <v>1412</v>
      </c>
      <c r="AP107" t="s">
        <v>1413</v>
      </c>
      <c r="AQ107" t="s">
        <v>74</v>
      </c>
      <c r="AR107" t="s">
        <v>1414</v>
      </c>
      <c r="AS107" t="s">
        <v>1415</v>
      </c>
      <c r="AT107" t="s">
        <v>1373</v>
      </c>
      <c r="AU107">
        <v>2023</v>
      </c>
      <c r="AV107">
        <v>652</v>
      </c>
      <c r="AW107" t="s">
        <v>74</v>
      </c>
      <c r="AX107" t="s">
        <v>337</v>
      </c>
      <c r="AY107" t="s">
        <v>74</v>
      </c>
      <c r="AZ107" t="s">
        <v>74</v>
      </c>
      <c r="BA107" t="s">
        <v>74</v>
      </c>
      <c r="BB107">
        <v>470</v>
      </c>
      <c r="BC107">
        <v>479</v>
      </c>
      <c r="BD107" t="s">
        <v>74</v>
      </c>
      <c r="BE107" t="s">
        <v>2027</v>
      </c>
      <c r="BF107" t="str">
        <f>HYPERLINK("http://dx.doi.org/10.1016/j.jcis.2023.08.029","http://dx.doi.org/10.1016/j.jcis.2023.08.029")</f>
        <v>http://dx.doi.org/10.1016/j.jcis.2023.08.029</v>
      </c>
      <c r="BG107" t="s">
        <v>74</v>
      </c>
      <c r="BH107" t="s">
        <v>74</v>
      </c>
      <c r="BI107">
        <v>10</v>
      </c>
      <c r="BJ107" t="s">
        <v>394</v>
      </c>
      <c r="BK107" t="s">
        <v>100</v>
      </c>
      <c r="BL107" t="s">
        <v>395</v>
      </c>
      <c r="BM107" t="s">
        <v>2028</v>
      </c>
      <c r="BN107">
        <v>37604058</v>
      </c>
      <c r="BO107" t="s">
        <v>74</v>
      </c>
      <c r="BP107" t="s">
        <v>74</v>
      </c>
      <c r="BQ107" t="s">
        <v>74</v>
      </c>
      <c r="BR107" t="s">
        <v>104</v>
      </c>
      <c r="BS107" t="s">
        <v>2029</v>
      </c>
      <c r="BT107" t="str">
        <f>HYPERLINK("https%3A%2F%2Fwww.webofscience.com%2Fwos%2Fwoscc%2Ffull-record%2FWOS:001064961300001","View Full Record in Web of Science")</f>
        <v>View Full Record in Web of Science</v>
      </c>
    </row>
    <row r="108" spans="1:72" x14ac:dyDescent="0.15">
      <c r="A108" t="s">
        <v>72</v>
      </c>
      <c r="B108" t="s">
        <v>2030</v>
      </c>
      <c r="C108" t="s">
        <v>74</v>
      </c>
      <c r="D108" t="s">
        <v>74</v>
      </c>
      <c r="E108" t="s">
        <v>74</v>
      </c>
      <c r="F108" t="s">
        <v>2031</v>
      </c>
      <c r="G108" t="s">
        <v>74</v>
      </c>
      <c r="H108" t="s">
        <v>74</v>
      </c>
      <c r="I108" t="s">
        <v>2032</v>
      </c>
      <c r="J108" t="s">
        <v>441</v>
      </c>
      <c r="K108" t="s">
        <v>74</v>
      </c>
      <c r="L108" t="s">
        <v>74</v>
      </c>
      <c r="M108" t="s">
        <v>78</v>
      </c>
      <c r="N108" t="s">
        <v>79</v>
      </c>
      <c r="O108" t="s">
        <v>74</v>
      </c>
      <c r="P108" t="s">
        <v>74</v>
      </c>
      <c r="Q108" t="s">
        <v>74</v>
      </c>
      <c r="R108" t="s">
        <v>74</v>
      </c>
      <c r="S108" t="s">
        <v>74</v>
      </c>
      <c r="T108" t="s">
        <v>2033</v>
      </c>
      <c r="U108" t="s">
        <v>2034</v>
      </c>
      <c r="V108" t="s">
        <v>2035</v>
      </c>
      <c r="W108" t="s">
        <v>2036</v>
      </c>
      <c r="X108" t="s">
        <v>2037</v>
      </c>
      <c r="Y108" t="s">
        <v>2038</v>
      </c>
      <c r="Z108" t="s">
        <v>2039</v>
      </c>
      <c r="AA108" t="s">
        <v>2040</v>
      </c>
      <c r="AB108" t="s">
        <v>2041</v>
      </c>
      <c r="AC108" t="s">
        <v>2042</v>
      </c>
      <c r="AD108" t="s">
        <v>2043</v>
      </c>
      <c r="AE108" t="s">
        <v>2044</v>
      </c>
      <c r="AF108" t="s">
        <v>74</v>
      </c>
      <c r="AG108">
        <v>63</v>
      </c>
      <c r="AH108">
        <v>0</v>
      </c>
      <c r="AI108">
        <v>0</v>
      </c>
      <c r="AJ108">
        <v>49</v>
      </c>
      <c r="AK108">
        <v>49</v>
      </c>
      <c r="AL108" t="s">
        <v>90</v>
      </c>
      <c r="AM108" t="s">
        <v>91</v>
      </c>
      <c r="AN108" t="s">
        <v>92</v>
      </c>
      <c r="AO108" t="s">
        <v>452</v>
      </c>
      <c r="AP108" t="s">
        <v>453</v>
      </c>
      <c r="AQ108" t="s">
        <v>74</v>
      </c>
      <c r="AR108" t="s">
        <v>454</v>
      </c>
      <c r="AS108" t="s">
        <v>455</v>
      </c>
      <c r="AT108" t="s">
        <v>1373</v>
      </c>
      <c r="AU108">
        <v>2023</v>
      </c>
      <c r="AV108">
        <v>339</v>
      </c>
      <c r="AW108" t="s">
        <v>74</v>
      </c>
      <c r="AX108" t="s">
        <v>74</v>
      </c>
      <c r="AY108" t="s">
        <v>74</v>
      </c>
      <c r="AZ108" t="s">
        <v>74</v>
      </c>
      <c r="BA108" t="s">
        <v>74</v>
      </c>
      <c r="BB108" t="s">
        <v>74</v>
      </c>
      <c r="BC108" t="s">
        <v>74</v>
      </c>
      <c r="BD108">
        <v>123130</v>
      </c>
      <c r="BE108" t="s">
        <v>2045</v>
      </c>
      <c r="BF108" t="str">
        <f>HYPERLINK("http://dx.doi.org/10.1016/j.apcatb.2023.123130","http://dx.doi.org/10.1016/j.apcatb.2023.123130")</f>
        <v>http://dx.doi.org/10.1016/j.apcatb.2023.123130</v>
      </c>
      <c r="BG108" t="s">
        <v>74</v>
      </c>
      <c r="BH108" t="s">
        <v>74</v>
      </c>
      <c r="BI108">
        <v>14</v>
      </c>
      <c r="BJ108" t="s">
        <v>457</v>
      </c>
      <c r="BK108" t="s">
        <v>100</v>
      </c>
      <c r="BL108" t="s">
        <v>458</v>
      </c>
      <c r="BM108" t="s">
        <v>2046</v>
      </c>
      <c r="BN108" t="s">
        <v>74</v>
      </c>
      <c r="BO108" t="s">
        <v>74</v>
      </c>
      <c r="BP108" t="s">
        <v>74</v>
      </c>
      <c r="BQ108" t="s">
        <v>74</v>
      </c>
      <c r="BR108" t="s">
        <v>104</v>
      </c>
      <c r="BS108" t="s">
        <v>2047</v>
      </c>
      <c r="BT108" t="str">
        <f>HYPERLINK("https%3A%2F%2Fwww.webofscience.com%2Fwos%2Fwoscc%2Ffull-record%2FWOS:001050956700001","View Full Record in Web of Science")</f>
        <v>View Full Record in Web of Science</v>
      </c>
    </row>
    <row r="109" spans="1:72" x14ac:dyDescent="0.15">
      <c r="A109" t="s">
        <v>72</v>
      </c>
      <c r="B109" t="s">
        <v>2048</v>
      </c>
      <c r="C109" t="s">
        <v>74</v>
      </c>
      <c r="D109" t="s">
        <v>74</v>
      </c>
      <c r="E109" t="s">
        <v>74</v>
      </c>
      <c r="F109" t="s">
        <v>2049</v>
      </c>
      <c r="G109" t="s">
        <v>74</v>
      </c>
      <c r="H109" t="s">
        <v>74</v>
      </c>
      <c r="I109" t="s">
        <v>2050</v>
      </c>
      <c r="J109" t="s">
        <v>109</v>
      </c>
      <c r="K109" t="s">
        <v>74</v>
      </c>
      <c r="L109" t="s">
        <v>74</v>
      </c>
      <c r="M109" t="s">
        <v>78</v>
      </c>
      <c r="N109" t="s">
        <v>79</v>
      </c>
      <c r="O109" t="s">
        <v>74</v>
      </c>
      <c r="P109" t="s">
        <v>74</v>
      </c>
      <c r="Q109" t="s">
        <v>74</v>
      </c>
      <c r="R109" t="s">
        <v>74</v>
      </c>
      <c r="S109" t="s">
        <v>74</v>
      </c>
      <c r="T109" t="s">
        <v>2051</v>
      </c>
      <c r="U109" t="s">
        <v>2052</v>
      </c>
      <c r="V109" t="s">
        <v>2053</v>
      </c>
      <c r="W109" t="s">
        <v>2054</v>
      </c>
      <c r="X109" t="s">
        <v>2055</v>
      </c>
      <c r="Y109" t="s">
        <v>2056</v>
      </c>
      <c r="Z109" t="s">
        <v>2057</v>
      </c>
      <c r="AA109" t="s">
        <v>74</v>
      </c>
      <c r="AB109" t="s">
        <v>74</v>
      </c>
      <c r="AC109" t="s">
        <v>2058</v>
      </c>
      <c r="AD109" t="s">
        <v>2059</v>
      </c>
      <c r="AE109" t="s">
        <v>2060</v>
      </c>
      <c r="AF109" t="s">
        <v>74</v>
      </c>
      <c r="AG109">
        <v>39</v>
      </c>
      <c r="AH109">
        <v>0</v>
      </c>
      <c r="AI109">
        <v>0</v>
      </c>
      <c r="AJ109">
        <v>13</v>
      </c>
      <c r="AK109">
        <v>13</v>
      </c>
      <c r="AL109" t="s">
        <v>120</v>
      </c>
      <c r="AM109" t="s">
        <v>121</v>
      </c>
      <c r="AN109" t="s">
        <v>122</v>
      </c>
      <c r="AO109" t="s">
        <v>123</v>
      </c>
      <c r="AP109" t="s">
        <v>124</v>
      </c>
      <c r="AQ109" t="s">
        <v>74</v>
      </c>
      <c r="AR109" t="s">
        <v>125</v>
      </c>
      <c r="AS109" t="s">
        <v>126</v>
      </c>
      <c r="AT109" t="s">
        <v>1373</v>
      </c>
      <c r="AU109">
        <v>2023</v>
      </c>
      <c r="AV109">
        <v>429</v>
      </c>
      <c r="AW109" t="s">
        <v>74</v>
      </c>
      <c r="AX109" t="s">
        <v>74</v>
      </c>
      <c r="AY109" t="s">
        <v>74</v>
      </c>
      <c r="AZ109" t="s">
        <v>74</v>
      </c>
      <c r="BA109" t="s">
        <v>74</v>
      </c>
      <c r="BB109" t="s">
        <v>74</v>
      </c>
      <c r="BC109" t="s">
        <v>74</v>
      </c>
      <c r="BD109">
        <v>136804</v>
      </c>
      <c r="BE109" t="s">
        <v>2061</v>
      </c>
      <c r="BF109" t="str">
        <f>HYPERLINK("http://dx.doi.org/10.1016/j.foodchem.2023.136804","http://dx.doi.org/10.1016/j.foodchem.2023.136804")</f>
        <v>http://dx.doi.org/10.1016/j.foodchem.2023.136804</v>
      </c>
      <c r="BG109" t="s">
        <v>74</v>
      </c>
      <c r="BH109" t="s">
        <v>74</v>
      </c>
      <c r="BI109">
        <v>10</v>
      </c>
      <c r="BJ109" t="s">
        <v>129</v>
      </c>
      <c r="BK109" t="s">
        <v>100</v>
      </c>
      <c r="BL109" t="s">
        <v>130</v>
      </c>
      <c r="BM109" t="s">
        <v>2062</v>
      </c>
      <c r="BN109">
        <v>37490818</v>
      </c>
      <c r="BO109" t="s">
        <v>74</v>
      </c>
      <c r="BP109" t="s">
        <v>74</v>
      </c>
      <c r="BQ109" t="s">
        <v>74</v>
      </c>
      <c r="BR109" t="s">
        <v>104</v>
      </c>
      <c r="BS109" t="s">
        <v>2063</v>
      </c>
      <c r="BT109" t="str">
        <f>HYPERLINK("https%3A%2F%2Fwww.webofscience.com%2Fwos%2Fwoscc%2Ffull-record%2FWOS:001048342500001","View Full Record in Web of Science")</f>
        <v>View Full Record in Web of Science</v>
      </c>
    </row>
    <row r="110" spans="1:72" x14ac:dyDescent="0.15">
      <c r="A110" t="s">
        <v>72</v>
      </c>
      <c r="B110" t="s">
        <v>2064</v>
      </c>
      <c r="C110" t="s">
        <v>74</v>
      </c>
      <c r="D110" t="s">
        <v>74</v>
      </c>
      <c r="E110" t="s">
        <v>74</v>
      </c>
      <c r="F110" t="s">
        <v>2065</v>
      </c>
      <c r="G110" t="s">
        <v>74</v>
      </c>
      <c r="H110" t="s">
        <v>74</v>
      </c>
      <c r="I110" t="s">
        <v>2066</v>
      </c>
      <c r="J110" t="s">
        <v>464</v>
      </c>
      <c r="K110" t="s">
        <v>74</v>
      </c>
      <c r="L110" t="s">
        <v>74</v>
      </c>
      <c r="M110" t="s">
        <v>78</v>
      </c>
      <c r="N110" t="s">
        <v>79</v>
      </c>
      <c r="O110" t="s">
        <v>74</v>
      </c>
      <c r="P110" t="s">
        <v>74</v>
      </c>
      <c r="Q110" t="s">
        <v>74</v>
      </c>
      <c r="R110" t="s">
        <v>74</v>
      </c>
      <c r="S110" t="s">
        <v>74</v>
      </c>
      <c r="T110" t="s">
        <v>2067</v>
      </c>
      <c r="U110" t="s">
        <v>2068</v>
      </c>
      <c r="V110" t="s">
        <v>2069</v>
      </c>
      <c r="W110" t="s">
        <v>2070</v>
      </c>
      <c r="X110" t="s">
        <v>2071</v>
      </c>
      <c r="Y110" t="s">
        <v>2072</v>
      </c>
      <c r="Z110" t="s">
        <v>2073</v>
      </c>
      <c r="AA110" t="s">
        <v>2074</v>
      </c>
      <c r="AB110" t="s">
        <v>2075</v>
      </c>
      <c r="AC110" t="s">
        <v>2076</v>
      </c>
      <c r="AD110" t="s">
        <v>252</v>
      </c>
      <c r="AE110" t="s">
        <v>2077</v>
      </c>
      <c r="AF110" t="s">
        <v>74</v>
      </c>
      <c r="AG110">
        <v>27</v>
      </c>
      <c r="AH110">
        <v>0</v>
      </c>
      <c r="AI110">
        <v>0</v>
      </c>
      <c r="AJ110">
        <v>0</v>
      </c>
      <c r="AK110">
        <v>0</v>
      </c>
      <c r="AL110" t="s">
        <v>475</v>
      </c>
      <c r="AM110" t="s">
        <v>476</v>
      </c>
      <c r="AN110" t="s">
        <v>477</v>
      </c>
      <c r="AO110" t="s">
        <v>478</v>
      </c>
      <c r="AP110" t="s">
        <v>479</v>
      </c>
      <c r="AQ110" t="s">
        <v>74</v>
      </c>
      <c r="AR110" t="s">
        <v>480</v>
      </c>
      <c r="AS110" t="s">
        <v>481</v>
      </c>
      <c r="AT110" t="s">
        <v>1373</v>
      </c>
      <c r="AU110">
        <v>2023</v>
      </c>
      <c r="AV110">
        <v>528</v>
      </c>
      <c r="AW110">
        <v>2</v>
      </c>
      <c r="AX110" t="s">
        <v>74</v>
      </c>
      <c r="AY110" t="s">
        <v>74</v>
      </c>
      <c r="AZ110" t="s">
        <v>74</v>
      </c>
      <c r="BA110" t="s">
        <v>74</v>
      </c>
      <c r="BB110" t="s">
        <v>74</v>
      </c>
      <c r="BC110" t="s">
        <v>74</v>
      </c>
      <c r="BD110">
        <v>127585</v>
      </c>
      <c r="BE110" t="s">
        <v>2078</v>
      </c>
      <c r="BF110" t="str">
        <f>HYPERLINK("http://dx.doi.org/10.1016/j.jmaa.2023.127585","http://dx.doi.org/10.1016/j.jmaa.2023.127585")</f>
        <v>http://dx.doi.org/10.1016/j.jmaa.2023.127585</v>
      </c>
      <c r="BG110" t="s">
        <v>74</v>
      </c>
      <c r="BH110" t="s">
        <v>74</v>
      </c>
      <c r="BI110">
        <v>25</v>
      </c>
      <c r="BJ110" t="s">
        <v>99</v>
      </c>
      <c r="BK110" t="s">
        <v>100</v>
      </c>
      <c r="BL110" t="s">
        <v>101</v>
      </c>
      <c r="BM110" t="s">
        <v>2079</v>
      </c>
      <c r="BN110" t="s">
        <v>74</v>
      </c>
      <c r="BO110" t="s">
        <v>103</v>
      </c>
      <c r="BP110" t="s">
        <v>74</v>
      </c>
      <c r="BQ110" t="s">
        <v>74</v>
      </c>
      <c r="BR110" t="s">
        <v>104</v>
      </c>
      <c r="BS110" t="s">
        <v>2080</v>
      </c>
      <c r="BT110" t="str">
        <f>HYPERLINK("https%3A%2F%2Fwww.webofscience.com%2Fwos%2Fwoscc%2Ffull-record%2FWOS:001045093200001","View Full Record in Web of Science")</f>
        <v>View Full Record in Web of Science</v>
      </c>
    </row>
    <row r="111" spans="1:72" x14ac:dyDescent="0.15">
      <c r="A111" t="s">
        <v>72</v>
      </c>
      <c r="B111" t="s">
        <v>2081</v>
      </c>
      <c r="C111" t="s">
        <v>74</v>
      </c>
      <c r="D111" t="s">
        <v>74</v>
      </c>
      <c r="E111" t="s">
        <v>74</v>
      </c>
      <c r="F111" t="s">
        <v>2082</v>
      </c>
      <c r="G111" t="s">
        <v>74</v>
      </c>
      <c r="H111" t="s">
        <v>74</v>
      </c>
      <c r="I111" t="s">
        <v>2083</v>
      </c>
      <c r="J111" t="s">
        <v>162</v>
      </c>
      <c r="K111" t="s">
        <v>74</v>
      </c>
      <c r="L111" t="s">
        <v>74</v>
      </c>
      <c r="M111" t="s">
        <v>78</v>
      </c>
      <c r="N111" t="s">
        <v>79</v>
      </c>
      <c r="O111" t="s">
        <v>74</v>
      </c>
      <c r="P111" t="s">
        <v>74</v>
      </c>
      <c r="Q111" t="s">
        <v>74</v>
      </c>
      <c r="R111" t="s">
        <v>74</v>
      </c>
      <c r="S111" t="s">
        <v>74</v>
      </c>
      <c r="T111" t="s">
        <v>2084</v>
      </c>
      <c r="U111" t="s">
        <v>2085</v>
      </c>
      <c r="V111" t="s">
        <v>2086</v>
      </c>
      <c r="W111" t="s">
        <v>2087</v>
      </c>
      <c r="X111" t="s">
        <v>2088</v>
      </c>
      <c r="Y111" t="s">
        <v>2089</v>
      </c>
      <c r="Z111" t="s">
        <v>2090</v>
      </c>
      <c r="AA111" t="s">
        <v>74</v>
      </c>
      <c r="AB111" t="s">
        <v>2091</v>
      </c>
      <c r="AC111" t="s">
        <v>2092</v>
      </c>
      <c r="AD111" t="s">
        <v>2093</v>
      </c>
      <c r="AE111" t="s">
        <v>2094</v>
      </c>
      <c r="AF111" t="s">
        <v>74</v>
      </c>
      <c r="AG111">
        <v>39</v>
      </c>
      <c r="AH111">
        <v>0</v>
      </c>
      <c r="AI111">
        <v>0</v>
      </c>
      <c r="AJ111">
        <v>7</v>
      </c>
      <c r="AK111">
        <v>7</v>
      </c>
      <c r="AL111" t="s">
        <v>173</v>
      </c>
      <c r="AM111" t="s">
        <v>121</v>
      </c>
      <c r="AN111" t="s">
        <v>174</v>
      </c>
      <c r="AO111" t="s">
        <v>175</v>
      </c>
      <c r="AP111" t="s">
        <v>176</v>
      </c>
      <c r="AQ111" t="s">
        <v>74</v>
      </c>
      <c r="AR111" t="s">
        <v>177</v>
      </c>
      <c r="AS111" t="s">
        <v>178</v>
      </c>
      <c r="AT111" t="s">
        <v>1373</v>
      </c>
      <c r="AU111">
        <v>2023</v>
      </c>
      <c r="AV111">
        <v>233</v>
      </c>
      <c r="AW111" t="s">
        <v>74</v>
      </c>
      <c r="AX111" t="s">
        <v>74</v>
      </c>
      <c r="AY111" t="s">
        <v>74</v>
      </c>
      <c r="AZ111" t="s">
        <v>74</v>
      </c>
      <c r="BA111" t="s">
        <v>74</v>
      </c>
      <c r="BB111" t="s">
        <v>74</v>
      </c>
      <c r="BC111" t="s">
        <v>74</v>
      </c>
      <c r="BD111">
        <v>120995</v>
      </c>
      <c r="BE111" t="s">
        <v>2095</v>
      </c>
      <c r="BF111" t="str">
        <f>HYPERLINK("http://dx.doi.org/10.1016/j.eswa.2023.120995","http://dx.doi.org/10.1016/j.eswa.2023.120995")</f>
        <v>http://dx.doi.org/10.1016/j.eswa.2023.120995</v>
      </c>
      <c r="BG111" t="s">
        <v>74</v>
      </c>
      <c r="BH111" t="s">
        <v>74</v>
      </c>
      <c r="BI111">
        <v>12</v>
      </c>
      <c r="BJ111" t="s">
        <v>180</v>
      </c>
      <c r="BK111" t="s">
        <v>100</v>
      </c>
      <c r="BL111" t="s">
        <v>181</v>
      </c>
      <c r="BM111" t="s">
        <v>2096</v>
      </c>
      <c r="BN111" t="s">
        <v>74</v>
      </c>
      <c r="BO111" t="s">
        <v>74</v>
      </c>
      <c r="BP111" t="s">
        <v>74</v>
      </c>
      <c r="BQ111" t="s">
        <v>74</v>
      </c>
      <c r="BR111" t="s">
        <v>104</v>
      </c>
      <c r="BS111" t="s">
        <v>2097</v>
      </c>
      <c r="BT111" t="str">
        <f>HYPERLINK("https%3A%2F%2Fwww.webofscience.com%2Fwos%2Fwoscc%2Ffull-record%2FWOS:001049490400001","View Full Record in Web of Science")</f>
        <v>View Full Record in Web of Science</v>
      </c>
    </row>
    <row r="112" spans="1:72" x14ac:dyDescent="0.15">
      <c r="A112" t="s">
        <v>72</v>
      </c>
      <c r="B112" t="s">
        <v>2098</v>
      </c>
      <c r="C112" t="s">
        <v>74</v>
      </c>
      <c r="D112" t="s">
        <v>74</v>
      </c>
      <c r="E112" t="s">
        <v>74</v>
      </c>
      <c r="F112" t="s">
        <v>2099</v>
      </c>
      <c r="G112" t="s">
        <v>74</v>
      </c>
      <c r="H112" t="s">
        <v>74</v>
      </c>
      <c r="I112" t="s">
        <v>2100</v>
      </c>
      <c r="J112" t="s">
        <v>2101</v>
      </c>
      <c r="K112" t="s">
        <v>74</v>
      </c>
      <c r="L112" t="s">
        <v>74</v>
      </c>
      <c r="M112" t="s">
        <v>78</v>
      </c>
      <c r="N112" t="s">
        <v>79</v>
      </c>
      <c r="O112" t="s">
        <v>74</v>
      </c>
      <c r="P112" t="s">
        <v>74</v>
      </c>
      <c r="Q112" t="s">
        <v>74</v>
      </c>
      <c r="R112" t="s">
        <v>74</v>
      </c>
      <c r="S112" t="s">
        <v>74</v>
      </c>
      <c r="T112" t="s">
        <v>2102</v>
      </c>
      <c r="U112" t="s">
        <v>2103</v>
      </c>
      <c r="V112" t="s">
        <v>2104</v>
      </c>
      <c r="W112" t="s">
        <v>2105</v>
      </c>
      <c r="X112" t="s">
        <v>2106</v>
      </c>
      <c r="Y112" t="s">
        <v>2107</v>
      </c>
      <c r="Z112" t="s">
        <v>2108</v>
      </c>
      <c r="AA112" t="s">
        <v>74</v>
      </c>
      <c r="AB112" t="s">
        <v>74</v>
      </c>
      <c r="AC112" t="s">
        <v>2109</v>
      </c>
      <c r="AD112" t="s">
        <v>2110</v>
      </c>
      <c r="AE112" t="s">
        <v>2111</v>
      </c>
      <c r="AF112" t="s">
        <v>74</v>
      </c>
      <c r="AG112">
        <v>63</v>
      </c>
      <c r="AH112">
        <v>0</v>
      </c>
      <c r="AI112">
        <v>0</v>
      </c>
      <c r="AJ112">
        <v>2</v>
      </c>
      <c r="AK112">
        <v>2</v>
      </c>
      <c r="AL112" t="s">
        <v>955</v>
      </c>
      <c r="AM112" t="s">
        <v>956</v>
      </c>
      <c r="AN112" t="s">
        <v>957</v>
      </c>
      <c r="AO112" t="s">
        <v>2112</v>
      </c>
      <c r="AP112" t="s">
        <v>2113</v>
      </c>
      <c r="AQ112" t="s">
        <v>74</v>
      </c>
      <c r="AR112" t="s">
        <v>2114</v>
      </c>
      <c r="AS112" t="s">
        <v>2115</v>
      </c>
      <c r="AT112" t="s">
        <v>2116</v>
      </c>
      <c r="AU112">
        <v>2023</v>
      </c>
      <c r="AV112">
        <v>967</v>
      </c>
      <c r="AW112" t="s">
        <v>74</v>
      </c>
      <c r="AX112" t="s">
        <v>74</v>
      </c>
      <c r="AY112" t="s">
        <v>74</v>
      </c>
      <c r="AZ112" t="s">
        <v>74</v>
      </c>
      <c r="BA112" t="s">
        <v>74</v>
      </c>
      <c r="BB112" t="s">
        <v>74</v>
      </c>
      <c r="BC112" t="s">
        <v>74</v>
      </c>
      <c r="BD112">
        <v>171788</v>
      </c>
      <c r="BE112" t="s">
        <v>2117</v>
      </c>
      <c r="BF112" t="str">
        <f>HYPERLINK("http://dx.doi.org/10.1016/j.jallcom.2023.171788","http://dx.doi.org/10.1016/j.jallcom.2023.171788")</f>
        <v>http://dx.doi.org/10.1016/j.jallcom.2023.171788</v>
      </c>
      <c r="BG112" t="s">
        <v>74</v>
      </c>
      <c r="BH112" t="s">
        <v>74</v>
      </c>
      <c r="BI112">
        <v>10</v>
      </c>
      <c r="BJ112" t="s">
        <v>2118</v>
      </c>
      <c r="BK112" t="s">
        <v>100</v>
      </c>
      <c r="BL112" t="s">
        <v>2119</v>
      </c>
      <c r="BM112" t="s">
        <v>2120</v>
      </c>
      <c r="BN112" t="s">
        <v>74</v>
      </c>
      <c r="BO112" t="s">
        <v>74</v>
      </c>
      <c r="BP112" t="s">
        <v>74</v>
      </c>
      <c r="BQ112" t="s">
        <v>74</v>
      </c>
      <c r="BR112" t="s">
        <v>104</v>
      </c>
      <c r="BS112" t="s">
        <v>2121</v>
      </c>
      <c r="BT112" t="str">
        <f>HYPERLINK("https%3A%2F%2Fwww.webofscience.com%2Fwos%2Fwoscc%2Ffull-record%2FWOS:001064896800001","View Full Record in Web of Science")</f>
        <v>View Full Record in Web of Science</v>
      </c>
    </row>
    <row r="113" spans="1:72" x14ac:dyDescent="0.15">
      <c r="A113" t="s">
        <v>72</v>
      </c>
      <c r="B113" t="s">
        <v>2122</v>
      </c>
      <c r="C113" t="s">
        <v>74</v>
      </c>
      <c r="D113" t="s">
        <v>74</v>
      </c>
      <c r="E113" t="s">
        <v>74</v>
      </c>
      <c r="F113" t="s">
        <v>2123</v>
      </c>
      <c r="G113" t="s">
        <v>74</v>
      </c>
      <c r="H113" t="s">
        <v>74</v>
      </c>
      <c r="I113" t="s">
        <v>2124</v>
      </c>
      <c r="J113" t="s">
        <v>2101</v>
      </c>
      <c r="K113" t="s">
        <v>74</v>
      </c>
      <c r="L113" t="s">
        <v>74</v>
      </c>
      <c r="M113" t="s">
        <v>78</v>
      </c>
      <c r="N113" t="s">
        <v>79</v>
      </c>
      <c r="O113" t="s">
        <v>74</v>
      </c>
      <c r="P113" t="s">
        <v>74</v>
      </c>
      <c r="Q113" t="s">
        <v>74</v>
      </c>
      <c r="R113" t="s">
        <v>74</v>
      </c>
      <c r="S113" t="s">
        <v>74</v>
      </c>
      <c r="T113" t="s">
        <v>2125</v>
      </c>
      <c r="U113" t="s">
        <v>2126</v>
      </c>
      <c r="V113" t="s">
        <v>2127</v>
      </c>
      <c r="W113" t="s">
        <v>2128</v>
      </c>
      <c r="X113" t="s">
        <v>2129</v>
      </c>
      <c r="Y113" t="s">
        <v>2130</v>
      </c>
      <c r="Z113" t="s">
        <v>2131</v>
      </c>
      <c r="AA113" t="s">
        <v>74</v>
      </c>
      <c r="AB113" t="s">
        <v>74</v>
      </c>
      <c r="AC113" t="s">
        <v>2132</v>
      </c>
      <c r="AD113" t="s">
        <v>2133</v>
      </c>
      <c r="AE113" t="s">
        <v>2134</v>
      </c>
      <c r="AF113" t="s">
        <v>74</v>
      </c>
      <c r="AG113">
        <v>87</v>
      </c>
      <c r="AH113">
        <v>0</v>
      </c>
      <c r="AI113">
        <v>0</v>
      </c>
      <c r="AJ113">
        <v>0</v>
      </c>
      <c r="AK113">
        <v>0</v>
      </c>
      <c r="AL113" t="s">
        <v>955</v>
      </c>
      <c r="AM113" t="s">
        <v>956</v>
      </c>
      <c r="AN113" t="s">
        <v>957</v>
      </c>
      <c r="AO113" t="s">
        <v>2112</v>
      </c>
      <c r="AP113" t="s">
        <v>2113</v>
      </c>
      <c r="AQ113" t="s">
        <v>74</v>
      </c>
      <c r="AR113" t="s">
        <v>2114</v>
      </c>
      <c r="AS113" t="s">
        <v>2115</v>
      </c>
      <c r="AT113" t="s">
        <v>2116</v>
      </c>
      <c r="AU113">
        <v>2023</v>
      </c>
      <c r="AV113">
        <v>967</v>
      </c>
      <c r="AW113" t="s">
        <v>74</v>
      </c>
      <c r="AX113" t="s">
        <v>74</v>
      </c>
      <c r="AY113" t="s">
        <v>74</v>
      </c>
      <c r="AZ113" t="s">
        <v>74</v>
      </c>
      <c r="BA113" t="s">
        <v>74</v>
      </c>
      <c r="BB113" t="s">
        <v>74</v>
      </c>
      <c r="BC113" t="s">
        <v>74</v>
      </c>
      <c r="BD113">
        <v>171681</v>
      </c>
      <c r="BE113" t="s">
        <v>2135</v>
      </c>
      <c r="BF113" t="str">
        <f>HYPERLINK("http://dx.doi.org/10.1016/j.jallcom.2023.171681","http://dx.doi.org/10.1016/j.jallcom.2023.171681")</f>
        <v>http://dx.doi.org/10.1016/j.jallcom.2023.171681</v>
      </c>
      <c r="BG113" t="s">
        <v>74</v>
      </c>
      <c r="BH113" t="s">
        <v>74</v>
      </c>
      <c r="BI113">
        <v>10</v>
      </c>
      <c r="BJ113" t="s">
        <v>2118</v>
      </c>
      <c r="BK113" t="s">
        <v>100</v>
      </c>
      <c r="BL113" t="s">
        <v>2119</v>
      </c>
      <c r="BM113" t="s">
        <v>2136</v>
      </c>
      <c r="BN113" t="s">
        <v>74</v>
      </c>
      <c r="BO113" t="s">
        <v>74</v>
      </c>
      <c r="BP113" t="s">
        <v>74</v>
      </c>
      <c r="BQ113" t="s">
        <v>74</v>
      </c>
      <c r="BR113" t="s">
        <v>104</v>
      </c>
      <c r="BS113" t="s">
        <v>2137</v>
      </c>
      <c r="BT113" t="str">
        <f>HYPERLINK("https%3A%2F%2Fwww.webofscience.com%2Fwos%2Fwoscc%2Ffull-record%2FWOS:001065588000001","View Full Record in Web of Science")</f>
        <v>View Full Record in Web of Science</v>
      </c>
    </row>
    <row r="114" spans="1:72" x14ac:dyDescent="0.15">
      <c r="A114" t="s">
        <v>72</v>
      </c>
      <c r="B114" t="s">
        <v>2138</v>
      </c>
      <c r="C114" t="s">
        <v>74</v>
      </c>
      <c r="D114" t="s">
        <v>74</v>
      </c>
      <c r="E114" t="s">
        <v>74</v>
      </c>
      <c r="F114" t="s">
        <v>2139</v>
      </c>
      <c r="G114" t="s">
        <v>74</v>
      </c>
      <c r="H114" t="s">
        <v>74</v>
      </c>
      <c r="I114" t="s">
        <v>2140</v>
      </c>
      <c r="J114" t="s">
        <v>1524</v>
      </c>
      <c r="K114" t="s">
        <v>74</v>
      </c>
      <c r="L114" t="s">
        <v>74</v>
      </c>
      <c r="M114" t="s">
        <v>78</v>
      </c>
      <c r="N114" t="s">
        <v>79</v>
      </c>
      <c r="O114" t="s">
        <v>74</v>
      </c>
      <c r="P114" t="s">
        <v>74</v>
      </c>
      <c r="Q114" t="s">
        <v>74</v>
      </c>
      <c r="R114" t="s">
        <v>74</v>
      </c>
      <c r="S114" t="s">
        <v>74</v>
      </c>
      <c r="T114" t="s">
        <v>2141</v>
      </c>
      <c r="U114" t="s">
        <v>2142</v>
      </c>
      <c r="V114" t="s">
        <v>2143</v>
      </c>
      <c r="W114" t="s">
        <v>2144</v>
      </c>
      <c r="X114" t="s">
        <v>2145</v>
      </c>
      <c r="Y114" t="s">
        <v>2146</v>
      </c>
      <c r="Z114" t="s">
        <v>2147</v>
      </c>
      <c r="AA114" t="s">
        <v>2148</v>
      </c>
      <c r="AB114" t="s">
        <v>2149</v>
      </c>
      <c r="AC114" t="s">
        <v>2150</v>
      </c>
      <c r="AD114" t="s">
        <v>2150</v>
      </c>
      <c r="AE114" t="s">
        <v>2151</v>
      </c>
      <c r="AF114" t="s">
        <v>74</v>
      </c>
      <c r="AG114">
        <v>73</v>
      </c>
      <c r="AH114">
        <v>0</v>
      </c>
      <c r="AI114">
        <v>0</v>
      </c>
      <c r="AJ114">
        <v>4</v>
      </c>
      <c r="AK114">
        <v>4</v>
      </c>
      <c r="AL114" t="s">
        <v>90</v>
      </c>
      <c r="AM114" t="s">
        <v>91</v>
      </c>
      <c r="AN114" t="s">
        <v>92</v>
      </c>
      <c r="AO114" t="s">
        <v>1534</v>
      </c>
      <c r="AP114" t="s">
        <v>1535</v>
      </c>
      <c r="AQ114" t="s">
        <v>74</v>
      </c>
      <c r="AR114" t="s">
        <v>1536</v>
      </c>
      <c r="AS114" t="s">
        <v>1537</v>
      </c>
      <c r="AT114" t="s">
        <v>2116</v>
      </c>
      <c r="AU114">
        <v>2023</v>
      </c>
      <c r="AV114">
        <v>903</v>
      </c>
      <c r="AW114" t="s">
        <v>74</v>
      </c>
      <c r="AX114" t="s">
        <v>74</v>
      </c>
      <c r="AY114" t="s">
        <v>74</v>
      </c>
      <c r="AZ114" t="s">
        <v>74</v>
      </c>
      <c r="BA114" t="s">
        <v>74</v>
      </c>
      <c r="BB114" t="s">
        <v>74</v>
      </c>
      <c r="BC114" t="s">
        <v>74</v>
      </c>
      <c r="BD114">
        <v>166283</v>
      </c>
      <c r="BE114" t="s">
        <v>2152</v>
      </c>
      <c r="BF114" t="str">
        <f>HYPERLINK("http://dx.doi.org/10.1016/j.scitotenv.2023.166283","http://dx.doi.org/10.1016/j.scitotenv.2023.166283")</f>
        <v>http://dx.doi.org/10.1016/j.scitotenv.2023.166283</v>
      </c>
      <c r="BG114" t="s">
        <v>74</v>
      </c>
      <c r="BH114" t="s">
        <v>74</v>
      </c>
      <c r="BI114">
        <v>11</v>
      </c>
      <c r="BJ114" t="s">
        <v>1539</v>
      </c>
      <c r="BK114" t="s">
        <v>100</v>
      </c>
      <c r="BL114" t="s">
        <v>1540</v>
      </c>
      <c r="BM114" t="s">
        <v>2153</v>
      </c>
      <c r="BN114">
        <v>37586536</v>
      </c>
      <c r="BO114" t="s">
        <v>295</v>
      </c>
      <c r="BP114" t="s">
        <v>74</v>
      </c>
      <c r="BQ114" t="s">
        <v>74</v>
      </c>
      <c r="BR114" t="s">
        <v>104</v>
      </c>
      <c r="BS114" t="s">
        <v>2154</v>
      </c>
      <c r="BT114" t="str">
        <f>HYPERLINK("https%3A%2F%2Fwww.webofscience.com%2Fwos%2Fwoscc%2Ffull-record%2FWOS:001066031700001","View Full Record in Web of Science")</f>
        <v>View Full Record in Web of Science</v>
      </c>
    </row>
    <row r="115" spans="1:72" x14ac:dyDescent="0.15">
      <c r="A115" t="s">
        <v>72</v>
      </c>
      <c r="B115" t="s">
        <v>2155</v>
      </c>
      <c r="C115" t="s">
        <v>74</v>
      </c>
      <c r="D115" t="s">
        <v>74</v>
      </c>
      <c r="E115" t="s">
        <v>74</v>
      </c>
      <c r="F115" t="s">
        <v>2156</v>
      </c>
      <c r="G115" t="s">
        <v>74</v>
      </c>
      <c r="H115" t="s">
        <v>74</v>
      </c>
      <c r="I115" t="s">
        <v>2157</v>
      </c>
      <c r="J115" t="s">
        <v>1524</v>
      </c>
      <c r="K115" t="s">
        <v>74</v>
      </c>
      <c r="L115" t="s">
        <v>74</v>
      </c>
      <c r="M115" t="s">
        <v>78</v>
      </c>
      <c r="N115" t="s">
        <v>79</v>
      </c>
      <c r="O115" t="s">
        <v>74</v>
      </c>
      <c r="P115" t="s">
        <v>74</v>
      </c>
      <c r="Q115" t="s">
        <v>74</v>
      </c>
      <c r="R115" t="s">
        <v>74</v>
      </c>
      <c r="S115" t="s">
        <v>74</v>
      </c>
      <c r="T115" t="s">
        <v>2158</v>
      </c>
      <c r="U115" t="s">
        <v>2159</v>
      </c>
      <c r="V115" t="s">
        <v>2160</v>
      </c>
      <c r="W115" t="s">
        <v>2161</v>
      </c>
      <c r="X115" t="s">
        <v>2162</v>
      </c>
      <c r="Y115" t="s">
        <v>2163</v>
      </c>
      <c r="Z115" t="s">
        <v>2164</v>
      </c>
      <c r="AA115" t="s">
        <v>74</v>
      </c>
      <c r="AB115" t="s">
        <v>74</v>
      </c>
      <c r="AC115" t="s">
        <v>2165</v>
      </c>
      <c r="AD115" t="s">
        <v>2166</v>
      </c>
      <c r="AE115" t="s">
        <v>2167</v>
      </c>
      <c r="AF115" t="s">
        <v>74</v>
      </c>
      <c r="AG115">
        <v>59</v>
      </c>
      <c r="AH115">
        <v>0</v>
      </c>
      <c r="AI115">
        <v>0</v>
      </c>
      <c r="AJ115">
        <v>11</v>
      </c>
      <c r="AK115">
        <v>11</v>
      </c>
      <c r="AL115" t="s">
        <v>90</v>
      </c>
      <c r="AM115" t="s">
        <v>91</v>
      </c>
      <c r="AN115" t="s">
        <v>92</v>
      </c>
      <c r="AO115" t="s">
        <v>1534</v>
      </c>
      <c r="AP115" t="s">
        <v>1535</v>
      </c>
      <c r="AQ115" t="s">
        <v>74</v>
      </c>
      <c r="AR115" t="s">
        <v>1536</v>
      </c>
      <c r="AS115" t="s">
        <v>1537</v>
      </c>
      <c r="AT115" t="s">
        <v>2116</v>
      </c>
      <c r="AU115">
        <v>2023</v>
      </c>
      <c r="AV115">
        <v>903</v>
      </c>
      <c r="AW115" t="s">
        <v>74</v>
      </c>
      <c r="AX115" t="s">
        <v>74</v>
      </c>
      <c r="AY115" t="s">
        <v>74</v>
      </c>
      <c r="AZ115" t="s">
        <v>74</v>
      </c>
      <c r="BA115" t="s">
        <v>74</v>
      </c>
      <c r="BB115" t="s">
        <v>74</v>
      </c>
      <c r="BC115" t="s">
        <v>74</v>
      </c>
      <c r="BD115">
        <v>166197</v>
      </c>
      <c r="BE115" t="s">
        <v>2168</v>
      </c>
      <c r="BF115" t="str">
        <f>HYPERLINK("http://dx.doi.org/10.1016/j.scitotenv.2023.166197","http://dx.doi.org/10.1016/j.scitotenv.2023.166197")</f>
        <v>http://dx.doi.org/10.1016/j.scitotenv.2023.166197</v>
      </c>
      <c r="BG115" t="s">
        <v>74</v>
      </c>
      <c r="BH115" t="s">
        <v>74</v>
      </c>
      <c r="BI115">
        <v>10</v>
      </c>
      <c r="BJ115" t="s">
        <v>1539</v>
      </c>
      <c r="BK115" t="s">
        <v>100</v>
      </c>
      <c r="BL115" t="s">
        <v>1540</v>
      </c>
      <c r="BM115" t="s">
        <v>2169</v>
      </c>
      <c r="BN115">
        <v>37567311</v>
      </c>
      <c r="BO115" t="s">
        <v>74</v>
      </c>
      <c r="BP115" t="s">
        <v>74</v>
      </c>
      <c r="BQ115" t="s">
        <v>74</v>
      </c>
      <c r="BR115" t="s">
        <v>104</v>
      </c>
      <c r="BS115" t="s">
        <v>2170</v>
      </c>
      <c r="BT115" t="str">
        <f>HYPERLINK("https%3A%2F%2Fwww.webofscience.com%2Fwos%2Fwoscc%2Ffull-record%2FWOS:001062146300001","View Full Record in Web of Science")</f>
        <v>View Full Record in Web of Science</v>
      </c>
    </row>
    <row r="116" spans="1:72" x14ac:dyDescent="0.15">
      <c r="A116" t="s">
        <v>72</v>
      </c>
      <c r="B116" t="s">
        <v>2171</v>
      </c>
      <c r="C116" t="s">
        <v>74</v>
      </c>
      <c r="D116" t="s">
        <v>74</v>
      </c>
      <c r="E116" t="s">
        <v>74</v>
      </c>
      <c r="F116" t="s">
        <v>2172</v>
      </c>
      <c r="G116" t="s">
        <v>74</v>
      </c>
      <c r="H116" t="s">
        <v>74</v>
      </c>
      <c r="I116" t="s">
        <v>2173</v>
      </c>
      <c r="J116" t="s">
        <v>1524</v>
      </c>
      <c r="K116" t="s">
        <v>74</v>
      </c>
      <c r="L116" t="s">
        <v>74</v>
      </c>
      <c r="M116" t="s">
        <v>78</v>
      </c>
      <c r="N116" t="s">
        <v>79</v>
      </c>
      <c r="O116" t="s">
        <v>74</v>
      </c>
      <c r="P116" t="s">
        <v>74</v>
      </c>
      <c r="Q116" t="s">
        <v>74</v>
      </c>
      <c r="R116" t="s">
        <v>74</v>
      </c>
      <c r="S116" t="s">
        <v>74</v>
      </c>
      <c r="T116" t="s">
        <v>2174</v>
      </c>
      <c r="U116" t="s">
        <v>2175</v>
      </c>
      <c r="V116" t="s">
        <v>2176</v>
      </c>
      <c r="W116" t="s">
        <v>2177</v>
      </c>
      <c r="X116" t="s">
        <v>2178</v>
      </c>
      <c r="Y116" t="s">
        <v>2179</v>
      </c>
      <c r="Z116" t="s">
        <v>2180</v>
      </c>
      <c r="AA116" t="s">
        <v>74</v>
      </c>
      <c r="AB116" t="s">
        <v>74</v>
      </c>
      <c r="AC116" t="s">
        <v>2181</v>
      </c>
      <c r="AD116" t="s">
        <v>2182</v>
      </c>
      <c r="AE116" t="s">
        <v>2183</v>
      </c>
      <c r="AF116" t="s">
        <v>74</v>
      </c>
      <c r="AG116">
        <v>49</v>
      </c>
      <c r="AH116">
        <v>0</v>
      </c>
      <c r="AI116">
        <v>0</v>
      </c>
      <c r="AJ116">
        <v>1</v>
      </c>
      <c r="AK116">
        <v>1</v>
      </c>
      <c r="AL116" t="s">
        <v>90</v>
      </c>
      <c r="AM116" t="s">
        <v>91</v>
      </c>
      <c r="AN116" t="s">
        <v>92</v>
      </c>
      <c r="AO116" t="s">
        <v>1534</v>
      </c>
      <c r="AP116" t="s">
        <v>1535</v>
      </c>
      <c r="AQ116" t="s">
        <v>74</v>
      </c>
      <c r="AR116" t="s">
        <v>1536</v>
      </c>
      <c r="AS116" t="s">
        <v>1537</v>
      </c>
      <c r="AT116" t="s">
        <v>2116</v>
      </c>
      <c r="AU116">
        <v>2023</v>
      </c>
      <c r="AV116">
        <v>903</v>
      </c>
      <c r="AW116" t="s">
        <v>74</v>
      </c>
      <c r="AX116" t="s">
        <v>74</v>
      </c>
      <c r="AY116" t="s">
        <v>74</v>
      </c>
      <c r="AZ116" t="s">
        <v>74</v>
      </c>
      <c r="BA116" t="s">
        <v>74</v>
      </c>
      <c r="BB116" t="s">
        <v>74</v>
      </c>
      <c r="BC116" t="s">
        <v>74</v>
      </c>
      <c r="BD116">
        <v>166281</v>
      </c>
      <c r="BE116" t="s">
        <v>2184</v>
      </c>
      <c r="BF116" t="str">
        <f>HYPERLINK("http://dx.doi.org/10.1016/j.scitotenv.2023.166281","http://dx.doi.org/10.1016/j.scitotenv.2023.166281")</f>
        <v>http://dx.doi.org/10.1016/j.scitotenv.2023.166281</v>
      </c>
      <c r="BG116" t="s">
        <v>74</v>
      </c>
      <c r="BH116" t="s">
        <v>74</v>
      </c>
      <c r="BI116">
        <v>10</v>
      </c>
      <c r="BJ116" t="s">
        <v>1539</v>
      </c>
      <c r="BK116" t="s">
        <v>100</v>
      </c>
      <c r="BL116" t="s">
        <v>1540</v>
      </c>
      <c r="BM116" t="s">
        <v>2185</v>
      </c>
      <c r="BN116">
        <v>37582444</v>
      </c>
      <c r="BO116" t="s">
        <v>74</v>
      </c>
      <c r="BP116" t="s">
        <v>74</v>
      </c>
      <c r="BQ116" t="s">
        <v>74</v>
      </c>
      <c r="BR116" t="s">
        <v>104</v>
      </c>
      <c r="BS116" t="s">
        <v>2186</v>
      </c>
      <c r="BT116" t="str">
        <f>HYPERLINK("https%3A%2F%2Fwww.webofscience.com%2Fwos%2Fwoscc%2Ffull-record%2FWOS:001066802400001","View Full Record in Web of Science")</f>
        <v>View Full Record in Web of Science</v>
      </c>
    </row>
    <row r="117" spans="1:72" x14ac:dyDescent="0.15">
      <c r="A117" t="s">
        <v>72</v>
      </c>
      <c r="B117" t="s">
        <v>2187</v>
      </c>
      <c r="C117" t="s">
        <v>74</v>
      </c>
      <c r="D117" t="s">
        <v>74</v>
      </c>
      <c r="E117" t="s">
        <v>74</v>
      </c>
      <c r="F117" t="s">
        <v>2188</v>
      </c>
      <c r="G117" t="s">
        <v>74</v>
      </c>
      <c r="H117" t="s">
        <v>74</v>
      </c>
      <c r="I117" t="s">
        <v>2189</v>
      </c>
      <c r="J117" t="s">
        <v>2101</v>
      </c>
      <c r="K117" t="s">
        <v>74</v>
      </c>
      <c r="L117" t="s">
        <v>74</v>
      </c>
      <c r="M117" t="s">
        <v>78</v>
      </c>
      <c r="N117" t="s">
        <v>79</v>
      </c>
      <c r="O117" t="s">
        <v>74</v>
      </c>
      <c r="P117" t="s">
        <v>74</v>
      </c>
      <c r="Q117" t="s">
        <v>74</v>
      </c>
      <c r="R117" t="s">
        <v>74</v>
      </c>
      <c r="S117" t="s">
        <v>74</v>
      </c>
      <c r="T117" t="s">
        <v>2190</v>
      </c>
      <c r="U117" t="s">
        <v>2191</v>
      </c>
      <c r="V117" t="s">
        <v>2192</v>
      </c>
      <c r="W117" t="s">
        <v>2193</v>
      </c>
      <c r="X117" t="s">
        <v>2194</v>
      </c>
      <c r="Y117" t="s">
        <v>2195</v>
      </c>
      <c r="Z117" t="s">
        <v>2196</v>
      </c>
      <c r="AA117" t="s">
        <v>74</v>
      </c>
      <c r="AB117" t="s">
        <v>74</v>
      </c>
      <c r="AC117" t="s">
        <v>2197</v>
      </c>
      <c r="AD117" t="s">
        <v>2198</v>
      </c>
      <c r="AE117" t="s">
        <v>2199</v>
      </c>
      <c r="AF117" t="s">
        <v>74</v>
      </c>
      <c r="AG117">
        <v>38</v>
      </c>
      <c r="AH117">
        <v>0</v>
      </c>
      <c r="AI117">
        <v>0</v>
      </c>
      <c r="AJ117">
        <v>9</v>
      </c>
      <c r="AK117">
        <v>9</v>
      </c>
      <c r="AL117" t="s">
        <v>955</v>
      </c>
      <c r="AM117" t="s">
        <v>956</v>
      </c>
      <c r="AN117" t="s">
        <v>957</v>
      </c>
      <c r="AO117" t="s">
        <v>2112</v>
      </c>
      <c r="AP117" t="s">
        <v>2113</v>
      </c>
      <c r="AQ117" t="s">
        <v>74</v>
      </c>
      <c r="AR117" t="s">
        <v>2114</v>
      </c>
      <c r="AS117" t="s">
        <v>2115</v>
      </c>
      <c r="AT117" t="s">
        <v>2116</v>
      </c>
      <c r="AU117">
        <v>2023</v>
      </c>
      <c r="AV117">
        <v>967</v>
      </c>
      <c r="AW117" t="s">
        <v>74</v>
      </c>
      <c r="AX117" t="s">
        <v>74</v>
      </c>
      <c r="AY117" t="s">
        <v>74</v>
      </c>
      <c r="AZ117" t="s">
        <v>74</v>
      </c>
      <c r="BA117" t="s">
        <v>74</v>
      </c>
      <c r="BB117" t="s">
        <v>74</v>
      </c>
      <c r="BC117" t="s">
        <v>74</v>
      </c>
      <c r="BD117">
        <v>171739</v>
      </c>
      <c r="BE117" t="s">
        <v>2200</v>
      </c>
      <c r="BF117" t="str">
        <f>HYPERLINK("http://dx.doi.org/10.1016/j.jallcom.2023.171739","http://dx.doi.org/10.1016/j.jallcom.2023.171739")</f>
        <v>http://dx.doi.org/10.1016/j.jallcom.2023.171739</v>
      </c>
      <c r="BG117" t="s">
        <v>74</v>
      </c>
      <c r="BH117" t="s">
        <v>74</v>
      </c>
      <c r="BI117">
        <v>8</v>
      </c>
      <c r="BJ117" t="s">
        <v>2118</v>
      </c>
      <c r="BK117" t="s">
        <v>100</v>
      </c>
      <c r="BL117" t="s">
        <v>2119</v>
      </c>
      <c r="BM117" t="s">
        <v>2201</v>
      </c>
      <c r="BN117" t="s">
        <v>74</v>
      </c>
      <c r="BO117" t="s">
        <v>74</v>
      </c>
      <c r="BP117" t="s">
        <v>74</v>
      </c>
      <c r="BQ117" t="s">
        <v>74</v>
      </c>
      <c r="BR117" t="s">
        <v>104</v>
      </c>
      <c r="BS117" t="s">
        <v>2202</v>
      </c>
      <c r="BT117" t="str">
        <f>HYPERLINK("https%3A%2F%2Fwww.webofscience.com%2Fwos%2Fwoscc%2Ffull-record%2FWOS:001062709800001","View Full Record in Web of Science")</f>
        <v>View Full Record in Web of Science</v>
      </c>
    </row>
    <row r="118" spans="1:72" x14ac:dyDescent="0.15">
      <c r="A118" t="s">
        <v>72</v>
      </c>
      <c r="B118" t="s">
        <v>2203</v>
      </c>
      <c r="C118" t="s">
        <v>74</v>
      </c>
      <c r="D118" t="s">
        <v>74</v>
      </c>
      <c r="E118" t="s">
        <v>74</v>
      </c>
      <c r="F118" t="s">
        <v>2204</v>
      </c>
      <c r="G118" t="s">
        <v>74</v>
      </c>
      <c r="H118" t="s">
        <v>74</v>
      </c>
      <c r="I118" t="s">
        <v>2205</v>
      </c>
      <c r="J118" t="s">
        <v>1524</v>
      </c>
      <c r="K118" t="s">
        <v>74</v>
      </c>
      <c r="L118" t="s">
        <v>74</v>
      </c>
      <c r="M118" t="s">
        <v>78</v>
      </c>
      <c r="N118" t="s">
        <v>79</v>
      </c>
      <c r="O118" t="s">
        <v>74</v>
      </c>
      <c r="P118" t="s">
        <v>74</v>
      </c>
      <c r="Q118" t="s">
        <v>74</v>
      </c>
      <c r="R118" t="s">
        <v>74</v>
      </c>
      <c r="S118" t="s">
        <v>74</v>
      </c>
      <c r="T118" t="s">
        <v>2206</v>
      </c>
      <c r="U118" t="s">
        <v>2207</v>
      </c>
      <c r="V118" t="s">
        <v>2208</v>
      </c>
      <c r="W118" t="s">
        <v>2209</v>
      </c>
      <c r="X118" t="s">
        <v>2210</v>
      </c>
      <c r="Y118" t="s">
        <v>2211</v>
      </c>
      <c r="Z118" t="s">
        <v>2212</v>
      </c>
      <c r="AA118" t="s">
        <v>74</v>
      </c>
      <c r="AB118" t="s">
        <v>74</v>
      </c>
      <c r="AC118" t="s">
        <v>2213</v>
      </c>
      <c r="AD118" t="s">
        <v>2214</v>
      </c>
      <c r="AE118" t="s">
        <v>2215</v>
      </c>
      <c r="AF118" t="s">
        <v>74</v>
      </c>
      <c r="AG118">
        <v>58</v>
      </c>
      <c r="AH118">
        <v>0</v>
      </c>
      <c r="AI118">
        <v>0</v>
      </c>
      <c r="AJ118">
        <v>5</v>
      </c>
      <c r="AK118">
        <v>5</v>
      </c>
      <c r="AL118" t="s">
        <v>90</v>
      </c>
      <c r="AM118" t="s">
        <v>91</v>
      </c>
      <c r="AN118" t="s">
        <v>92</v>
      </c>
      <c r="AO118" t="s">
        <v>1534</v>
      </c>
      <c r="AP118" t="s">
        <v>1535</v>
      </c>
      <c r="AQ118" t="s">
        <v>74</v>
      </c>
      <c r="AR118" t="s">
        <v>1536</v>
      </c>
      <c r="AS118" t="s">
        <v>1537</v>
      </c>
      <c r="AT118" t="s">
        <v>2116</v>
      </c>
      <c r="AU118">
        <v>2023</v>
      </c>
      <c r="AV118">
        <v>903</v>
      </c>
      <c r="AW118" t="s">
        <v>74</v>
      </c>
      <c r="AX118" t="s">
        <v>74</v>
      </c>
      <c r="AY118" t="s">
        <v>74</v>
      </c>
      <c r="AZ118" t="s">
        <v>74</v>
      </c>
      <c r="BA118" t="s">
        <v>74</v>
      </c>
      <c r="BB118" t="s">
        <v>74</v>
      </c>
      <c r="BC118" t="s">
        <v>74</v>
      </c>
      <c r="BD118">
        <v>166478</v>
      </c>
      <c r="BE118" t="s">
        <v>2216</v>
      </c>
      <c r="BF118" t="str">
        <f>HYPERLINK("http://dx.doi.org/10.1016/j.scitotenv.2023.166478","http://dx.doi.org/10.1016/j.scitotenv.2023.166478")</f>
        <v>http://dx.doi.org/10.1016/j.scitotenv.2023.166478</v>
      </c>
      <c r="BG118" t="s">
        <v>74</v>
      </c>
      <c r="BH118" t="s">
        <v>74</v>
      </c>
      <c r="BI118">
        <v>14</v>
      </c>
      <c r="BJ118" t="s">
        <v>1539</v>
      </c>
      <c r="BK118" t="s">
        <v>100</v>
      </c>
      <c r="BL118" t="s">
        <v>1540</v>
      </c>
      <c r="BM118" t="s">
        <v>2217</v>
      </c>
      <c r="BN118">
        <v>37625726</v>
      </c>
      <c r="BO118" t="s">
        <v>74</v>
      </c>
      <c r="BP118" t="s">
        <v>74</v>
      </c>
      <c r="BQ118" t="s">
        <v>74</v>
      </c>
      <c r="BR118" t="s">
        <v>104</v>
      </c>
      <c r="BS118" t="s">
        <v>2218</v>
      </c>
      <c r="BT118" t="str">
        <f>HYPERLINK("https%3A%2F%2Fwww.webofscience.com%2Fwos%2Fwoscc%2Ffull-record%2FWOS:001068890000001","View Full Record in Web of Science")</f>
        <v>View Full Record in Web of Science</v>
      </c>
    </row>
    <row r="119" spans="1:72" x14ac:dyDescent="0.15">
      <c r="A119" t="s">
        <v>72</v>
      </c>
      <c r="B119" t="s">
        <v>2219</v>
      </c>
      <c r="C119" t="s">
        <v>74</v>
      </c>
      <c r="D119" t="s">
        <v>74</v>
      </c>
      <c r="E119" t="s">
        <v>74</v>
      </c>
      <c r="F119" t="s">
        <v>2220</v>
      </c>
      <c r="G119" t="s">
        <v>74</v>
      </c>
      <c r="H119" t="s">
        <v>74</v>
      </c>
      <c r="I119" t="s">
        <v>2221</v>
      </c>
      <c r="J119" t="s">
        <v>1524</v>
      </c>
      <c r="K119" t="s">
        <v>74</v>
      </c>
      <c r="L119" t="s">
        <v>74</v>
      </c>
      <c r="M119" t="s">
        <v>78</v>
      </c>
      <c r="N119" t="s">
        <v>241</v>
      </c>
      <c r="O119" t="s">
        <v>74</v>
      </c>
      <c r="P119" t="s">
        <v>74</v>
      </c>
      <c r="Q119" t="s">
        <v>74</v>
      </c>
      <c r="R119" t="s">
        <v>74</v>
      </c>
      <c r="S119" t="s">
        <v>74</v>
      </c>
      <c r="T119" t="s">
        <v>2222</v>
      </c>
      <c r="U119" t="s">
        <v>2223</v>
      </c>
      <c r="V119" t="s">
        <v>2224</v>
      </c>
      <c r="W119" t="s">
        <v>2225</v>
      </c>
      <c r="X119" t="s">
        <v>2226</v>
      </c>
      <c r="Y119" t="s">
        <v>2227</v>
      </c>
      <c r="Z119" t="s">
        <v>2228</v>
      </c>
      <c r="AA119" t="s">
        <v>74</v>
      </c>
      <c r="AB119" t="s">
        <v>74</v>
      </c>
      <c r="AC119" t="s">
        <v>2229</v>
      </c>
      <c r="AD119" t="s">
        <v>2230</v>
      </c>
      <c r="AE119" t="s">
        <v>2231</v>
      </c>
      <c r="AF119" t="s">
        <v>74</v>
      </c>
      <c r="AG119">
        <v>73</v>
      </c>
      <c r="AH119">
        <v>0</v>
      </c>
      <c r="AI119">
        <v>0</v>
      </c>
      <c r="AJ119">
        <v>3</v>
      </c>
      <c r="AK119">
        <v>3</v>
      </c>
      <c r="AL119" t="s">
        <v>90</v>
      </c>
      <c r="AM119" t="s">
        <v>91</v>
      </c>
      <c r="AN119" t="s">
        <v>92</v>
      </c>
      <c r="AO119" t="s">
        <v>1534</v>
      </c>
      <c r="AP119" t="s">
        <v>1535</v>
      </c>
      <c r="AQ119" t="s">
        <v>74</v>
      </c>
      <c r="AR119" t="s">
        <v>1536</v>
      </c>
      <c r="AS119" t="s">
        <v>1537</v>
      </c>
      <c r="AT119" t="s">
        <v>2116</v>
      </c>
      <c r="AU119">
        <v>2023</v>
      </c>
      <c r="AV119">
        <v>903</v>
      </c>
      <c r="AW119" t="s">
        <v>74</v>
      </c>
      <c r="AX119" t="s">
        <v>74</v>
      </c>
      <c r="AY119" t="s">
        <v>74</v>
      </c>
      <c r="AZ119" t="s">
        <v>74</v>
      </c>
      <c r="BA119" t="s">
        <v>74</v>
      </c>
      <c r="BB119" t="s">
        <v>74</v>
      </c>
      <c r="BC119" t="s">
        <v>74</v>
      </c>
      <c r="BD119">
        <v>166120</v>
      </c>
      <c r="BE119" t="s">
        <v>2232</v>
      </c>
      <c r="BF119" t="str">
        <f>HYPERLINK("http://dx.doi.org/10.1016/j.scitotenv.2023.166120","http://dx.doi.org/10.1016/j.scitotenv.2023.166120")</f>
        <v>http://dx.doi.org/10.1016/j.scitotenv.2023.166120</v>
      </c>
      <c r="BG119" t="s">
        <v>74</v>
      </c>
      <c r="BH119" t="s">
        <v>74</v>
      </c>
      <c r="BI119">
        <v>12</v>
      </c>
      <c r="BJ119" t="s">
        <v>1539</v>
      </c>
      <c r="BK119" t="s">
        <v>100</v>
      </c>
      <c r="BL119" t="s">
        <v>1540</v>
      </c>
      <c r="BM119" t="s">
        <v>2233</v>
      </c>
      <c r="BN119">
        <v>37579797</v>
      </c>
      <c r="BO119" t="s">
        <v>74</v>
      </c>
      <c r="BP119" t="s">
        <v>74</v>
      </c>
      <c r="BQ119" t="s">
        <v>74</v>
      </c>
      <c r="BR119" t="s">
        <v>104</v>
      </c>
      <c r="BS119" t="s">
        <v>2234</v>
      </c>
      <c r="BT119" t="str">
        <f>HYPERLINK("https%3A%2F%2Fwww.webofscience.com%2Fwos%2Fwoscc%2Ffull-record%2FWOS:001062780400001","View Full Record in Web of Science")</f>
        <v>View Full Record in Web of Science</v>
      </c>
    </row>
    <row r="120" spans="1:72" x14ac:dyDescent="0.15">
      <c r="A120" t="s">
        <v>72</v>
      </c>
      <c r="B120" t="s">
        <v>2235</v>
      </c>
      <c r="C120" t="s">
        <v>74</v>
      </c>
      <c r="D120" t="s">
        <v>74</v>
      </c>
      <c r="E120" t="s">
        <v>74</v>
      </c>
      <c r="F120" t="s">
        <v>2236</v>
      </c>
      <c r="G120" t="s">
        <v>74</v>
      </c>
      <c r="H120" t="s">
        <v>74</v>
      </c>
      <c r="I120" t="s">
        <v>2237</v>
      </c>
      <c r="J120" t="s">
        <v>2101</v>
      </c>
      <c r="K120" t="s">
        <v>74</v>
      </c>
      <c r="L120" t="s">
        <v>74</v>
      </c>
      <c r="M120" t="s">
        <v>78</v>
      </c>
      <c r="N120" t="s">
        <v>79</v>
      </c>
      <c r="O120" t="s">
        <v>74</v>
      </c>
      <c r="P120" t="s">
        <v>74</v>
      </c>
      <c r="Q120" t="s">
        <v>74</v>
      </c>
      <c r="R120" t="s">
        <v>74</v>
      </c>
      <c r="S120" t="s">
        <v>74</v>
      </c>
      <c r="T120" t="s">
        <v>2238</v>
      </c>
      <c r="U120" t="s">
        <v>2239</v>
      </c>
      <c r="V120" t="s">
        <v>2240</v>
      </c>
      <c r="W120" t="s">
        <v>2241</v>
      </c>
      <c r="X120" t="s">
        <v>2242</v>
      </c>
      <c r="Y120" t="s">
        <v>2243</v>
      </c>
      <c r="Z120" t="s">
        <v>2244</v>
      </c>
      <c r="AA120" t="s">
        <v>74</v>
      </c>
      <c r="AB120" t="s">
        <v>74</v>
      </c>
      <c r="AC120" t="s">
        <v>2245</v>
      </c>
      <c r="AD120" t="s">
        <v>2246</v>
      </c>
      <c r="AE120" t="s">
        <v>2247</v>
      </c>
      <c r="AF120" t="s">
        <v>74</v>
      </c>
      <c r="AG120">
        <v>52</v>
      </c>
      <c r="AH120">
        <v>0</v>
      </c>
      <c r="AI120">
        <v>0</v>
      </c>
      <c r="AJ120">
        <v>0</v>
      </c>
      <c r="AK120">
        <v>0</v>
      </c>
      <c r="AL120" t="s">
        <v>955</v>
      </c>
      <c r="AM120" t="s">
        <v>956</v>
      </c>
      <c r="AN120" t="s">
        <v>957</v>
      </c>
      <c r="AO120" t="s">
        <v>2112</v>
      </c>
      <c r="AP120" t="s">
        <v>2113</v>
      </c>
      <c r="AQ120" t="s">
        <v>74</v>
      </c>
      <c r="AR120" t="s">
        <v>2114</v>
      </c>
      <c r="AS120" t="s">
        <v>2115</v>
      </c>
      <c r="AT120" t="s">
        <v>2116</v>
      </c>
      <c r="AU120">
        <v>2023</v>
      </c>
      <c r="AV120">
        <v>967</v>
      </c>
      <c r="AW120" t="s">
        <v>74</v>
      </c>
      <c r="AX120" t="s">
        <v>74</v>
      </c>
      <c r="AY120" t="s">
        <v>74</v>
      </c>
      <c r="AZ120" t="s">
        <v>74</v>
      </c>
      <c r="BA120" t="s">
        <v>74</v>
      </c>
      <c r="BB120" t="s">
        <v>74</v>
      </c>
      <c r="BC120" t="s">
        <v>74</v>
      </c>
      <c r="BD120">
        <v>171817</v>
      </c>
      <c r="BE120" t="s">
        <v>2248</v>
      </c>
      <c r="BF120" t="str">
        <f>HYPERLINK("http://dx.doi.org/10.1016/j.jallcom.2023.171817","http://dx.doi.org/10.1016/j.jallcom.2023.171817")</f>
        <v>http://dx.doi.org/10.1016/j.jallcom.2023.171817</v>
      </c>
      <c r="BG120" t="s">
        <v>74</v>
      </c>
      <c r="BH120" t="s">
        <v>74</v>
      </c>
      <c r="BI120">
        <v>10</v>
      </c>
      <c r="BJ120" t="s">
        <v>2118</v>
      </c>
      <c r="BK120" t="s">
        <v>100</v>
      </c>
      <c r="BL120" t="s">
        <v>2119</v>
      </c>
      <c r="BM120" t="s">
        <v>2249</v>
      </c>
      <c r="BN120" t="s">
        <v>74</v>
      </c>
      <c r="BO120" t="s">
        <v>74</v>
      </c>
      <c r="BP120" t="s">
        <v>74</v>
      </c>
      <c r="BQ120" t="s">
        <v>74</v>
      </c>
      <c r="BR120" t="s">
        <v>104</v>
      </c>
      <c r="BS120" t="s">
        <v>2250</v>
      </c>
      <c r="BT120" t="str">
        <f>HYPERLINK("https%3A%2F%2Fwww.webofscience.com%2Fwos%2Fwoscc%2Ffull-record%2FWOS:001066337700001","View Full Record in Web of Science")</f>
        <v>View Full Record in Web of Science</v>
      </c>
    </row>
    <row r="121" spans="1:72" x14ac:dyDescent="0.15">
      <c r="A121" t="s">
        <v>72</v>
      </c>
      <c r="B121" t="s">
        <v>2251</v>
      </c>
      <c r="C121" t="s">
        <v>74</v>
      </c>
      <c r="D121" t="s">
        <v>74</v>
      </c>
      <c r="E121" t="s">
        <v>74</v>
      </c>
      <c r="F121" t="s">
        <v>2252</v>
      </c>
      <c r="G121" t="s">
        <v>74</v>
      </c>
      <c r="H121" t="s">
        <v>74</v>
      </c>
      <c r="I121" t="s">
        <v>2253</v>
      </c>
      <c r="J121" t="s">
        <v>1524</v>
      </c>
      <c r="K121" t="s">
        <v>74</v>
      </c>
      <c r="L121" t="s">
        <v>74</v>
      </c>
      <c r="M121" t="s">
        <v>78</v>
      </c>
      <c r="N121" t="s">
        <v>79</v>
      </c>
      <c r="O121" t="s">
        <v>74</v>
      </c>
      <c r="P121" t="s">
        <v>74</v>
      </c>
      <c r="Q121" t="s">
        <v>74</v>
      </c>
      <c r="R121" t="s">
        <v>74</v>
      </c>
      <c r="S121" t="s">
        <v>74</v>
      </c>
      <c r="T121" t="s">
        <v>2254</v>
      </c>
      <c r="U121" t="s">
        <v>2255</v>
      </c>
      <c r="V121" t="s">
        <v>2256</v>
      </c>
      <c r="W121" t="s">
        <v>2257</v>
      </c>
      <c r="X121" t="s">
        <v>2258</v>
      </c>
      <c r="Y121" t="s">
        <v>2259</v>
      </c>
      <c r="Z121" t="s">
        <v>2260</v>
      </c>
      <c r="AA121" t="s">
        <v>74</v>
      </c>
      <c r="AB121" t="s">
        <v>74</v>
      </c>
      <c r="AC121" t="s">
        <v>2261</v>
      </c>
      <c r="AD121" t="s">
        <v>2262</v>
      </c>
      <c r="AE121" t="s">
        <v>2263</v>
      </c>
      <c r="AF121" t="s">
        <v>74</v>
      </c>
      <c r="AG121">
        <v>74</v>
      </c>
      <c r="AH121">
        <v>0</v>
      </c>
      <c r="AI121">
        <v>0</v>
      </c>
      <c r="AJ121">
        <v>2</v>
      </c>
      <c r="AK121">
        <v>2</v>
      </c>
      <c r="AL121" t="s">
        <v>90</v>
      </c>
      <c r="AM121" t="s">
        <v>91</v>
      </c>
      <c r="AN121" t="s">
        <v>92</v>
      </c>
      <c r="AO121" t="s">
        <v>1534</v>
      </c>
      <c r="AP121" t="s">
        <v>1535</v>
      </c>
      <c r="AQ121" t="s">
        <v>74</v>
      </c>
      <c r="AR121" t="s">
        <v>1536</v>
      </c>
      <c r="AS121" t="s">
        <v>1537</v>
      </c>
      <c r="AT121" t="s">
        <v>2116</v>
      </c>
      <c r="AU121">
        <v>2023</v>
      </c>
      <c r="AV121">
        <v>903</v>
      </c>
      <c r="AW121" t="s">
        <v>74</v>
      </c>
      <c r="AX121" t="s">
        <v>74</v>
      </c>
      <c r="AY121" t="s">
        <v>74</v>
      </c>
      <c r="AZ121" t="s">
        <v>74</v>
      </c>
      <c r="BA121" t="s">
        <v>74</v>
      </c>
      <c r="BB121" t="s">
        <v>74</v>
      </c>
      <c r="BC121" t="s">
        <v>74</v>
      </c>
      <c r="BD121">
        <v>166192</v>
      </c>
      <c r="BE121" t="s">
        <v>2264</v>
      </c>
      <c r="BF121" t="str">
        <f>HYPERLINK("http://dx.doi.org/10.1016/j.scitotenv.2023.166192","http://dx.doi.org/10.1016/j.scitotenv.2023.166192")</f>
        <v>http://dx.doi.org/10.1016/j.scitotenv.2023.166192</v>
      </c>
      <c r="BG121" t="s">
        <v>74</v>
      </c>
      <c r="BH121" t="s">
        <v>74</v>
      </c>
      <c r="BI121">
        <v>11</v>
      </c>
      <c r="BJ121" t="s">
        <v>1539</v>
      </c>
      <c r="BK121" t="s">
        <v>100</v>
      </c>
      <c r="BL121" t="s">
        <v>1540</v>
      </c>
      <c r="BM121" t="s">
        <v>2265</v>
      </c>
      <c r="BN121">
        <v>37567283</v>
      </c>
      <c r="BO121" t="s">
        <v>74</v>
      </c>
      <c r="BP121" t="s">
        <v>74</v>
      </c>
      <c r="BQ121" t="s">
        <v>74</v>
      </c>
      <c r="BR121" t="s">
        <v>104</v>
      </c>
      <c r="BS121" t="s">
        <v>2266</v>
      </c>
      <c r="BT121" t="str">
        <f>HYPERLINK("https%3A%2F%2Fwww.webofscience.com%2Fwos%2Fwoscc%2Ffull-record%2FWOS:001063146400001","View Full Record in Web of Science")</f>
        <v>View Full Record in Web of Science</v>
      </c>
    </row>
    <row r="122" spans="1:72" x14ac:dyDescent="0.15">
      <c r="A122" t="s">
        <v>72</v>
      </c>
      <c r="B122" t="s">
        <v>2267</v>
      </c>
      <c r="C122" t="s">
        <v>74</v>
      </c>
      <c r="D122" t="s">
        <v>74</v>
      </c>
      <c r="E122" t="s">
        <v>74</v>
      </c>
      <c r="F122" t="s">
        <v>2268</v>
      </c>
      <c r="G122" t="s">
        <v>74</v>
      </c>
      <c r="H122" t="s">
        <v>74</v>
      </c>
      <c r="I122" t="s">
        <v>2269</v>
      </c>
      <c r="J122" t="s">
        <v>1380</v>
      </c>
      <c r="K122" t="s">
        <v>74</v>
      </c>
      <c r="L122" t="s">
        <v>74</v>
      </c>
      <c r="M122" t="s">
        <v>78</v>
      </c>
      <c r="N122" t="s">
        <v>79</v>
      </c>
      <c r="O122" t="s">
        <v>74</v>
      </c>
      <c r="P122" t="s">
        <v>74</v>
      </c>
      <c r="Q122" t="s">
        <v>74</v>
      </c>
      <c r="R122" t="s">
        <v>74</v>
      </c>
      <c r="S122" t="s">
        <v>74</v>
      </c>
      <c r="T122" t="s">
        <v>2270</v>
      </c>
      <c r="U122" t="s">
        <v>2271</v>
      </c>
      <c r="V122" t="s">
        <v>2272</v>
      </c>
      <c r="W122" t="s">
        <v>2273</v>
      </c>
      <c r="X122" t="s">
        <v>2274</v>
      </c>
      <c r="Y122" t="s">
        <v>2275</v>
      </c>
      <c r="Z122" t="s">
        <v>2276</v>
      </c>
      <c r="AA122" t="s">
        <v>74</v>
      </c>
      <c r="AB122" t="s">
        <v>2277</v>
      </c>
      <c r="AC122" t="s">
        <v>2278</v>
      </c>
      <c r="AD122" t="s">
        <v>2279</v>
      </c>
      <c r="AE122" t="s">
        <v>2280</v>
      </c>
      <c r="AF122" t="s">
        <v>74</v>
      </c>
      <c r="AG122">
        <v>53</v>
      </c>
      <c r="AH122">
        <v>0</v>
      </c>
      <c r="AI122">
        <v>0</v>
      </c>
      <c r="AJ122">
        <v>5</v>
      </c>
      <c r="AK122">
        <v>5</v>
      </c>
      <c r="AL122" t="s">
        <v>90</v>
      </c>
      <c r="AM122" t="s">
        <v>91</v>
      </c>
      <c r="AN122" t="s">
        <v>92</v>
      </c>
      <c r="AO122" t="s">
        <v>1390</v>
      </c>
      <c r="AP122" t="s">
        <v>74</v>
      </c>
      <c r="AQ122" t="s">
        <v>74</v>
      </c>
      <c r="AR122" t="s">
        <v>1391</v>
      </c>
      <c r="AS122" t="s">
        <v>1392</v>
      </c>
      <c r="AT122" t="s">
        <v>2116</v>
      </c>
      <c r="AU122">
        <v>2023</v>
      </c>
      <c r="AV122">
        <v>65</v>
      </c>
      <c r="AW122" t="s">
        <v>74</v>
      </c>
      <c r="AX122" t="s">
        <v>74</v>
      </c>
      <c r="AY122" t="s">
        <v>74</v>
      </c>
      <c r="AZ122" t="s">
        <v>74</v>
      </c>
      <c r="BA122" t="s">
        <v>74</v>
      </c>
      <c r="BB122" t="s">
        <v>74</v>
      </c>
      <c r="BC122" t="s">
        <v>74</v>
      </c>
      <c r="BD122">
        <v>103101</v>
      </c>
      <c r="BE122" t="s">
        <v>2281</v>
      </c>
      <c r="BF122" t="str">
        <f>HYPERLINK("http://dx.doi.org/10.1016/j.rsma.2023.103101","http://dx.doi.org/10.1016/j.rsma.2023.103101")</f>
        <v>http://dx.doi.org/10.1016/j.rsma.2023.103101</v>
      </c>
      <c r="BG122" t="s">
        <v>74</v>
      </c>
      <c r="BH122" t="s">
        <v>74</v>
      </c>
      <c r="BI122">
        <v>12</v>
      </c>
      <c r="BJ122" t="s">
        <v>1394</v>
      </c>
      <c r="BK122" t="s">
        <v>100</v>
      </c>
      <c r="BL122" t="s">
        <v>1395</v>
      </c>
      <c r="BM122" t="s">
        <v>2282</v>
      </c>
      <c r="BN122" t="s">
        <v>74</v>
      </c>
      <c r="BO122" t="s">
        <v>74</v>
      </c>
      <c r="BP122" t="s">
        <v>74</v>
      </c>
      <c r="BQ122" t="s">
        <v>74</v>
      </c>
      <c r="BR122" t="s">
        <v>104</v>
      </c>
      <c r="BS122" t="s">
        <v>2283</v>
      </c>
      <c r="BT122" t="str">
        <f>HYPERLINK("https%3A%2F%2Fwww.webofscience.com%2Fwos%2Fwoscc%2Ffull-record%2FWOS:001054637200001","View Full Record in Web of Science")</f>
        <v>View Full Record in Web of Science</v>
      </c>
    </row>
    <row r="123" spans="1:72" x14ac:dyDescent="0.15">
      <c r="A123" t="s">
        <v>72</v>
      </c>
      <c r="B123" t="s">
        <v>2284</v>
      </c>
      <c r="C123" t="s">
        <v>74</v>
      </c>
      <c r="D123" t="s">
        <v>74</v>
      </c>
      <c r="E123" t="s">
        <v>74</v>
      </c>
      <c r="F123" t="s">
        <v>2285</v>
      </c>
      <c r="G123" t="s">
        <v>74</v>
      </c>
      <c r="H123" t="s">
        <v>74</v>
      </c>
      <c r="I123" t="s">
        <v>2286</v>
      </c>
      <c r="J123" t="s">
        <v>2287</v>
      </c>
      <c r="K123" t="s">
        <v>74</v>
      </c>
      <c r="L123" t="s">
        <v>74</v>
      </c>
      <c r="M123" t="s">
        <v>78</v>
      </c>
      <c r="N123" t="s">
        <v>79</v>
      </c>
      <c r="O123" t="s">
        <v>74</v>
      </c>
      <c r="P123" t="s">
        <v>74</v>
      </c>
      <c r="Q123" t="s">
        <v>74</v>
      </c>
      <c r="R123" t="s">
        <v>74</v>
      </c>
      <c r="S123" t="s">
        <v>74</v>
      </c>
      <c r="T123" t="s">
        <v>2288</v>
      </c>
      <c r="U123" t="s">
        <v>2289</v>
      </c>
      <c r="V123" t="s">
        <v>2290</v>
      </c>
      <c r="W123" t="s">
        <v>2291</v>
      </c>
      <c r="X123" t="s">
        <v>2292</v>
      </c>
      <c r="Y123" t="s">
        <v>2293</v>
      </c>
      <c r="Z123" t="s">
        <v>2294</v>
      </c>
      <c r="AA123" t="s">
        <v>74</v>
      </c>
      <c r="AB123" t="s">
        <v>2295</v>
      </c>
      <c r="AC123" t="s">
        <v>74</v>
      </c>
      <c r="AD123" t="s">
        <v>74</v>
      </c>
      <c r="AE123" t="s">
        <v>74</v>
      </c>
      <c r="AF123" t="s">
        <v>74</v>
      </c>
      <c r="AG123">
        <v>34</v>
      </c>
      <c r="AH123">
        <v>0</v>
      </c>
      <c r="AI123">
        <v>0</v>
      </c>
      <c r="AJ123">
        <v>5</v>
      </c>
      <c r="AK123">
        <v>5</v>
      </c>
      <c r="AL123" t="s">
        <v>554</v>
      </c>
      <c r="AM123" t="s">
        <v>555</v>
      </c>
      <c r="AN123" t="s">
        <v>556</v>
      </c>
      <c r="AO123" t="s">
        <v>2296</v>
      </c>
      <c r="AP123" t="s">
        <v>2297</v>
      </c>
      <c r="AQ123" t="s">
        <v>74</v>
      </c>
      <c r="AR123" t="s">
        <v>2298</v>
      </c>
      <c r="AS123" t="s">
        <v>2299</v>
      </c>
      <c r="AT123" t="s">
        <v>2300</v>
      </c>
      <c r="AU123">
        <v>2023</v>
      </c>
      <c r="AV123">
        <v>566</v>
      </c>
      <c r="AW123" t="s">
        <v>74</v>
      </c>
      <c r="AX123" t="s">
        <v>74</v>
      </c>
      <c r="AY123" t="s">
        <v>74</v>
      </c>
      <c r="AZ123" t="s">
        <v>74</v>
      </c>
      <c r="BA123" t="s">
        <v>74</v>
      </c>
      <c r="BB123" t="s">
        <v>74</v>
      </c>
      <c r="BC123" t="s">
        <v>74</v>
      </c>
      <c r="BD123">
        <v>117919</v>
      </c>
      <c r="BE123" t="s">
        <v>2301</v>
      </c>
      <c r="BF123" t="str">
        <f>HYPERLINK("http://dx.doi.org/10.1016/j.jsv.2023.117919","http://dx.doi.org/10.1016/j.jsv.2023.117919")</f>
        <v>http://dx.doi.org/10.1016/j.jsv.2023.117919</v>
      </c>
      <c r="BG123" t="s">
        <v>74</v>
      </c>
      <c r="BH123" t="s">
        <v>74</v>
      </c>
      <c r="BI123">
        <v>11</v>
      </c>
      <c r="BJ123" t="s">
        <v>2302</v>
      </c>
      <c r="BK123" t="s">
        <v>100</v>
      </c>
      <c r="BL123" t="s">
        <v>2303</v>
      </c>
      <c r="BM123" t="s">
        <v>2304</v>
      </c>
      <c r="BN123" t="s">
        <v>74</v>
      </c>
      <c r="BO123" t="s">
        <v>74</v>
      </c>
      <c r="BP123" t="s">
        <v>74</v>
      </c>
      <c r="BQ123" t="s">
        <v>74</v>
      </c>
      <c r="BR123" t="s">
        <v>104</v>
      </c>
      <c r="BS123" t="s">
        <v>2305</v>
      </c>
      <c r="BT123" t="str">
        <f>HYPERLINK("https%3A%2F%2Fwww.webofscience.com%2Fwos%2Fwoscc%2Ffull-record%2FWOS:001044984700001","View Full Record in Web of Science")</f>
        <v>View Full Record in Web of Science</v>
      </c>
    </row>
    <row r="124" spans="1:72" x14ac:dyDescent="0.15">
      <c r="A124" t="s">
        <v>72</v>
      </c>
      <c r="B124" t="s">
        <v>2306</v>
      </c>
      <c r="C124" t="s">
        <v>74</v>
      </c>
      <c r="D124" t="s">
        <v>74</v>
      </c>
      <c r="E124" t="s">
        <v>74</v>
      </c>
      <c r="F124" t="s">
        <v>2307</v>
      </c>
      <c r="G124" t="s">
        <v>74</v>
      </c>
      <c r="H124" t="s">
        <v>74</v>
      </c>
      <c r="I124" t="s">
        <v>2308</v>
      </c>
      <c r="J124" t="s">
        <v>380</v>
      </c>
      <c r="K124" t="s">
        <v>74</v>
      </c>
      <c r="L124" t="s">
        <v>74</v>
      </c>
      <c r="M124" t="s">
        <v>78</v>
      </c>
      <c r="N124" t="s">
        <v>79</v>
      </c>
      <c r="O124" t="s">
        <v>74</v>
      </c>
      <c r="P124" t="s">
        <v>74</v>
      </c>
      <c r="Q124" t="s">
        <v>74</v>
      </c>
      <c r="R124" t="s">
        <v>74</v>
      </c>
      <c r="S124" t="s">
        <v>74</v>
      </c>
      <c r="T124" t="s">
        <v>2309</v>
      </c>
      <c r="U124" t="s">
        <v>2310</v>
      </c>
      <c r="V124" t="s">
        <v>2311</v>
      </c>
      <c r="W124" t="s">
        <v>2312</v>
      </c>
      <c r="X124" t="s">
        <v>2313</v>
      </c>
      <c r="Y124" t="s">
        <v>2314</v>
      </c>
      <c r="Z124" t="s">
        <v>2315</v>
      </c>
      <c r="AA124" t="s">
        <v>74</v>
      </c>
      <c r="AB124" t="s">
        <v>74</v>
      </c>
      <c r="AC124" t="s">
        <v>2316</v>
      </c>
      <c r="AD124" t="s">
        <v>2317</v>
      </c>
      <c r="AE124" t="s">
        <v>2318</v>
      </c>
      <c r="AF124" t="s">
        <v>74</v>
      </c>
      <c r="AG124">
        <v>44</v>
      </c>
      <c r="AH124">
        <v>0</v>
      </c>
      <c r="AI124">
        <v>0</v>
      </c>
      <c r="AJ124">
        <v>2</v>
      </c>
      <c r="AK124">
        <v>2</v>
      </c>
      <c r="AL124" t="s">
        <v>90</v>
      </c>
      <c r="AM124" t="s">
        <v>91</v>
      </c>
      <c r="AN124" t="s">
        <v>92</v>
      </c>
      <c r="AO124" t="s">
        <v>388</v>
      </c>
      <c r="AP124" t="s">
        <v>389</v>
      </c>
      <c r="AQ124" t="s">
        <v>74</v>
      </c>
      <c r="AR124" t="s">
        <v>390</v>
      </c>
      <c r="AS124" t="s">
        <v>391</v>
      </c>
      <c r="AT124" t="s">
        <v>2319</v>
      </c>
      <c r="AU124">
        <v>2023</v>
      </c>
      <c r="AV124">
        <v>1293</v>
      </c>
      <c r="AW124" t="s">
        <v>74</v>
      </c>
      <c r="AX124" t="s">
        <v>74</v>
      </c>
      <c r="AY124" t="s">
        <v>74</v>
      </c>
      <c r="AZ124" t="s">
        <v>74</v>
      </c>
      <c r="BA124" t="s">
        <v>74</v>
      </c>
      <c r="BB124" t="s">
        <v>74</v>
      </c>
      <c r="BC124" t="s">
        <v>74</v>
      </c>
      <c r="BD124">
        <v>136273</v>
      </c>
      <c r="BE124" t="s">
        <v>2320</v>
      </c>
      <c r="BF124" t="str">
        <f>HYPERLINK("http://dx.doi.org/10.1016/j.molstruc.2023.136273","http://dx.doi.org/10.1016/j.molstruc.2023.136273")</f>
        <v>http://dx.doi.org/10.1016/j.molstruc.2023.136273</v>
      </c>
      <c r="BG124" t="s">
        <v>74</v>
      </c>
      <c r="BH124" t="s">
        <v>74</v>
      </c>
      <c r="BI124">
        <v>8</v>
      </c>
      <c r="BJ124" t="s">
        <v>394</v>
      </c>
      <c r="BK124" t="s">
        <v>100</v>
      </c>
      <c r="BL124" t="s">
        <v>395</v>
      </c>
      <c r="BM124" t="s">
        <v>2321</v>
      </c>
      <c r="BN124" t="s">
        <v>74</v>
      </c>
      <c r="BO124" t="s">
        <v>74</v>
      </c>
      <c r="BP124" t="s">
        <v>74</v>
      </c>
      <c r="BQ124" t="s">
        <v>74</v>
      </c>
      <c r="BR124" t="s">
        <v>104</v>
      </c>
      <c r="BS124" t="s">
        <v>2322</v>
      </c>
      <c r="BT124" t="str">
        <f>HYPERLINK("https%3A%2F%2Fwww.webofscience.com%2Fwos%2Fwoscc%2Ffull-record%2FWOS:001052877600001","View Full Record in Web of Science")</f>
        <v>View Full Record in Web of Science</v>
      </c>
    </row>
    <row r="125" spans="1:72" x14ac:dyDescent="0.15">
      <c r="A125" t="s">
        <v>72</v>
      </c>
      <c r="B125" t="s">
        <v>2323</v>
      </c>
      <c r="C125" t="s">
        <v>74</v>
      </c>
      <c r="D125" t="s">
        <v>74</v>
      </c>
      <c r="E125" t="s">
        <v>74</v>
      </c>
      <c r="F125" t="s">
        <v>2324</v>
      </c>
      <c r="G125" t="s">
        <v>74</v>
      </c>
      <c r="H125" t="s">
        <v>74</v>
      </c>
      <c r="I125" t="s">
        <v>2325</v>
      </c>
      <c r="J125" t="s">
        <v>380</v>
      </c>
      <c r="K125" t="s">
        <v>74</v>
      </c>
      <c r="L125" t="s">
        <v>74</v>
      </c>
      <c r="M125" t="s">
        <v>78</v>
      </c>
      <c r="N125" t="s">
        <v>79</v>
      </c>
      <c r="O125" t="s">
        <v>74</v>
      </c>
      <c r="P125" t="s">
        <v>74</v>
      </c>
      <c r="Q125" t="s">
        <v>74</v>
      </c>
      <c r="R125" t="s">
        <v>74</v>
      </c>
      <c r="S125" t="s">
        <v>74</v>
      </c>
      <c r="T125" t="s">
        <v>2326</v>
      </c>
      <c r="U125" t="s">
        <v>2327</v>
      </c>
      <c r="V125" t="s">
        <v>2328</v>
      </c>
      <c r="W125" t="s">
        <v>2329</v>
      </c>
      <c r="X125" t="s">
        <v>2330</v>
      </c>
      <c r="Y125" t="s">
        <v>2331</v>
      </c>
      <c r="Z125" t="s">
        <v>2332</v>
      </c>
      <c r="AA125" t="s">
        <v>2333</v>
      </c>
      <c r="AB125" t="s">
        <v>2334</v>
      </c>
      <c r="AC125" t="s">
        <v>2335</v>
      </c>
      <c r="AD125" t="s">
        <v>2336</v>
      </c>
      <c r="AE125" t="s">
        <v>2337</v>
      </c>
      <c r="AF125" t="s">
        <v>74</v>
      </c>
      <c r="AG125">
        <v>35</v>
      </c>
      <c r="AH125">
        <v>0</v>
      </c>
      <c r="AI125">
        <v>0</v>
      </c>
      <c r="AJ125">
        <v>3</v>
      </c>
      <c r="AK125">
        <v>3</v>
      </c>
      <c r="AL125" t="s">
        <v>90</v>
      </c>
      <c r="AM125" t="s">
        <v>91</v>
      </c>
      <c r="AN125" t="s">
        <v>92</v>
      </c>
      <c r="AO125" t="s">
        <v>388</v>
      </c>
      <c r="AP125" t="s">
        <v>389</v>
      </c>
      <c r="AQ125" t="s">
        <v>74</v>
      </c>
      <c r="AR125" t="s">
        <v>390</v>
      </c>
      <c r="AS125" t="s">
        <v>391</v>
      </c>
      <c r="AT125" t="s">
        <v>2319</v>
      </c>
      <c r="AU125">
        <v>2023</v>
      </c>
      <c r="AV125">
        <v>1293</v>
      </c>
      <c r="AW125" t="s">
        <v>74</v>
      </c>
      <c r="AX125" t="s">
        <v>74</v>
      </c>
      <c r="AY125" t="s">
        <v>74</v>
      </c>
      <c r="AZ125" t="s">
        <v>74</v>
      </c>
      <c r="BA125" t="s">
        <v>74</v>
      </c>
      <c r="BB125" t="s">
        <v>74</v>
      </c>
      <c r="BC125" t="s">
        <v>74</v>
      </c>
      <c r="BD125">
        <v>136320</v>
      </c>
      <c r="BE125" t="s">
        <v>2338</v>
      </c>
      <c r="BF125" t="str">
        <f>HYPERLINK("http://dx.doi.org/10.1016/j.molstruc.2023.136320","http://dx.doi.org/10.1016/j.molstruc.2023.136320")</f>
        <v>http://dx.doi.org/10.1016/j.molstruc.2023.136320</v>
      </c>
      <c r="BG125" t="s">
        <v>74</v>
      </c>
      <c r="BH125" t="s">
        <v>74</v>
      </c>
      <c r="BI125">
        <v>9</v>
      </c>
      <c r="BJ125" t="s">
        <v>394</v>
      </c>
      <c r="BK125" t="s">
        <v>100</v>
      </c>
      <c r="BL125" t="s">
        <v>395</v>
      </c>
      <c r="BM125" t="s">
        <v>2339</v>
      </c>
      <c r="BN125" t="s">
        <v>74</v>
      </c>
      <c r="BO125" t="s">
        <v>74</v>
      </c>
      <c r="BP125" t="s">
        <v>74</v>
      </c>
      <c r="BQ125" t="s">
        <v>74</v>
      </c>
      <c r="BR125" t="s">
        <v>104</v>
      </c>
      <c r="BS125" t="s">
        <v>2340</v>
      </c>
      <c r="BT125" t="str">
        <f>HYPERLINK("https%3A%2F%2Fwww.webofscience.com%2Fwos%2Fwoscc%2Ffull-record%2FWOS:001052555400001","View Full Record in Web of Science")</f>
        <v>View Full Record in Web of Science</v>
      </c>
    </row>
    <row r="126" spans="1:72" x14ac:dyDescent="0.15">
      <c r="A126" t="s">
        <v>72</v>
      </c>
      <c r="B126" t="s">
        <v>2341</v>
      </c>
      <c r="C126" t="s">
        <v>74</v>
      </c>
      <c r="D126" t="s">
        <v>74</v>
      </c>
      <c r="E126" t="s">
        <v>74</v>
      </c>
      <c r="F126" t="s">
        <v>2342</v>
      </c>
      <c r="G126" t="s">
        <v>74</v>
      </c>
      <c r="H126" t="s">
        <v>74</v>
      </c>
      <c r="I126" t="s">
        <v>2343</v>
      </c>
      <c r="J126" t="s">
        <v>2101</v>
      </c>
      <c r="K126" t="s">
        <v>74</v>
      </c>
      <c r="L126" t="s">
        <v>74</v>
      </c>
      <c r="M126" t="s">
        <v>78</v>
      </c>
      <c r="N126" t="s">
        <v>79</v>
      </c>
      <c r="O126" t="s">
        <v>74</v>
      </c>
      <c r="P126" t="s">
        <v>74</v>
      </c>
      <c r="Q126" t="s">
        <v>74</v>
      </c>
      <c r="R126" t="s">
        <v>74</v>
      </c>
      <c r="S126" t="s">
        <v>74</v>
      </c>
      <c r="T126" t="s">
        <v>2344</v>
      </c>
      <c r="U126" t="s">
        <v>2345</v>
      </c>
      <c r="V126" t="s">
        <v>2346</v>
      </c>
      <c r="W126" t="s">
        <v>2347</v>
      </c>
      <c r="X126" t="s">
        <v>2348</v>
      </c>
      <c r="Y126" t="s">
        <v>2349</v>
      </c>
      <c r="Z126" t="s">
        <v>2350</v>
      </c>
      <c r="AA126" t="s">
        <v>74</v>
      </c>
      <c r="AB126" t="s">
        <v>2351</v>
      </c>
      <c r="AC126" t="s">
        <v>2352</v>
      </c>
      <c r="AD126" t="s">
        <v>2353</v>
      </c>
      <c r="AE126" t="s">
        <v>2354</v>
      </c>
      <c r="AF126" t="s">
        <v>74</v>
      </c>
      <c r="AG126">
        <v>85</v>
      </c>
      <c r="AH126">
        <v>0</v>
      </c>
      <c r="AI126">
        <v>0</v>
      </c>
      <c r="AJ126">
        <v>5</v>
      </c>
      <c r="AK126">
        <v>5</v>
      </c>
      <c r="AL126" t="s">
        <v>955</v>
      </c>
      <c r="AM126" t="s">
        <v>956</v>
      </c>
      <c r="AN126" t="s">
        <v>957</v>
      </c>
      <c r="AO126" t="s">
        <v>2112</v>
      </c>
      <c r="AP126" t="s">
        <v>2113</v>
      </c>
      <c r="AQ126" t="s">
        <v>74</v>
      </c>
      <c r="AR126" t="s">
        <v>2114</v>
      </c>
      <c r="AS126" t="s">
        <v>2115</v>
      </c>
      <c r="AT126" t="s">
        <v>2319</v>
      </c>
      <c r="AU126">
        <v>2023</v>
      </c>
      <c r="AV126">
        <v>966</v>
      </c>
      <c r="AW126" t="s">
        <v>74</v>
      </c>
      <c r="AX126" t="s">
        <v>74</v>
      </c>
      <c r="AY126" t="s">
        <v>74</v>
      </c>
      <c r="AZ126" t="s">
        <v>74</v>
      </c>
      <c r="BA126" t="s">
        <v>74</v>
      </c>
      <c r="BB126" t="s">
        <v>74</v>
      </c>
      <c r="BC126" t="s">
        <v>74</v>
      </c>
      <c r="BD126">
        <v>171410</v>
      </c>
      <c r="BE126" t="s">
        <v>2355</v>
      </c>
      <c r="BF126" t="str">
        <f>HYPERLINK("http://dx.doi.org/10.1016/j.jallcom.2023.171410","http://dx.doi.org/10.1016/j.jallcom.2023.171410")</f>
        <v>http://dx.doi.org/10.1016/j.jallcom.2023.171410</v>
      </c>
      <c r="BG126" t="s">
        <v>74</v>
      </c>
      <c r="BH126" t="s">
        <v>74</v>
      </c>
      <c r="BI126">
        <v>15</v>
      </c>
      <c r="BJ126" t="s">
        <v>2118</v>
      </c>
      <c r="BK126" t="s">
        <v>100</v>
      </c>
      <c r="BL126" t="s">
        <v>2119</v>
      </c>
      <c r="BM126" t="s">
        <v>2356</v>
      </c>
      <c r="BN126" t="s">
        <v>74</v>
      </c>
      <c r="BO126" t="s">
        <v>74</v>
      </c>
      <c r="BP126" t="s">
        <v>74</v>
      </c>
      <c r="BQ126" t="s">
        <v>74</v>
      </c>
      <c r="BR126" t="s">
        <v>104</v>
      </c>
      <c r="BS126" t="s">
        <v>2357</v>
      </c>
      <c r="BT126" t="str">
        <f>HYPERLINK("https%3A%2F%2Fwww.webofscience.com%2Fwos%2Fwoscc%2Ffull-record%2FWOS:001056491500001","View Full Record in Web of Science")</f>
        <v>View Full Record in Web of Science</v>
      </c>
    </row>
    <row r="127" spans="1:72" x14ac:dyDescent="0.15">
      <c r="A127" t="s">
        <v>72</v>
      </c>
      <c r="B127" t="s">
        <v>2358</v>
      </c>
      <c r="C127" t="s">
        <v>74</v>
      </c>
      <c r="D127" t="s">
        <v>74</v>
      </c>
      <c r="E127" t="s">
        <v>74</v>
      </c>
      <c r="F127" t="s">
        <v>2359</v>
      </c>
      <c r="G127" t="s">
        <v>74</v>
      </c>
      <c r="H127" t="s">
        <v>74</v>
      </c>
      <c r="I127" t="s">
        <v>2360</v>
      </c>
      <c r="J127" t="s">
        <v>318</v>
      </c>
      <c r="K127" t="s">
        <v>74</v>
      </c>
      <c r="L127" t="s">
        <v>74</v>
      </c>
      <c r="M127" t="s">
        <v>78</v>
      </c>
      <c r="N127" t="s">
        <v>79</v>
      </c>
      <c r="O127" t="s">
        <v>74</v>
      </c>
      <c r="P127" t="s">
        <v>74</v>
      </c>
      <c r="Q127" t="s">
        <v>74</v>
      </c>
      <c r="R127" t="s">
        <v>74</v>
      </c>
      <c r="S127" t="s">
        <v>74</v>
      </c>
      <c r="T127" t="s">
        <v>2361</v>
      </c>
      <c r="U127" t="s">
        <v>2362</v>
      </c>
      <c r="V127" t="s">
        <v>2363</v>
      </c>
      <c r="W127" t="s">
        <v>2364</v>
      </c>
      <c r="X127" t="s">
        <v>2365</v>
      </c>
      <c r="Y127" t="s">
        <v>2366</v>
      </c>
      <c r="Z127" t="s">
        <v>2367</v>
      </c>
      <c r="AA127" t="s">
        <v>2368</v>
      </c>
      <c r="AB127" t="s">
        <v>74</v>
      </c>
      <c r="AC127" t="s">
        <v>2369</v>
      </c>
      <c r="AD127" t="s">
        <v>2370</v>
      </c>
      <c r="AE127" t="s">
        <v>2371</v>
      </c>
      <c r="AF127" t="s">
        <v>74</v>
      </c>
      <c r="AG127">
        <v>55</v>
      </c>
      <c r="AH127">
        <v>0</v>
      </c>
      <c r="AI127">
        <v>0</v>
      </c>
      <c r="AJ127">
        <v>5</v>
      </c>
      <c r="AK127">
        <v>5</v>
      </c>
      <c r="AL127" t="s">
        <v>329</v>
      </c>
      <c r="AM127" t="s">
        <v>330</v>
      </c>
      <c r="AN127" t="s">
        <v>331</v>
      </c>
      <c r="AO127" t="s">
        <v>332</v>
      </c>
      <c r="AP127" t="s">
        <v>333</v>
      </c>
      <c r="AQ127" t="s">
        <v>74</v>
      </c>
      <c r="AR127" t="s">
        <v>334</v>
      </c>
      <c r="AS127" t="s">
        <v>335</v>
      </c>
      <c r="AT127" t="s">
        <v>2319</v>
      </c>
      <c r="AU127">
        <v>2023</v>
      </c>
      <c r="AV127">
        <v>317</v>
      </c>
      <c r="AW127" t="s">
        <v>74</v>
      </c>
      <c r="AX127" t="s">
        <v>74</v>
      </c>
      <c r="AY127" t="s">
        <v>74</v>
      </c>
      <c r="AZ127" t="s">
        <v>74</v>
      </c>
      <c r="BA127" t="s">
        <v>74</v>
      </c>
      <c r="BB127" t="s">
        <v>74</v>
      </c>
      <c r="BC127" t="s">
        <v>74</v>
      </c>
      <c r="BD127">
        <v>116738</v>
      </c>
      <c r="BE127" t="s">
        <v>2372</v>
      </c>
      <c r="BF127" t="str">
        <f>HYPERLINK("http://dx.doi.org/10.1016/j.jep.2023.116738","http://dx.doi.org/10.1016/j.jep.2023.116738")</f>
        <v>http://dx.doi.org/10.1016/j.jep.2023.116738</v>
      </c>
      <c r="BG127" t="s">
        <v>74</v>
      </c>
      <c r="BH127" t="s">
        <v>74</v>
      </c>
      <c r="BI127">
        <v>13</v>
      </c>
      <c r="BJ127" t="s">
        <v>339</v>
      </c>
      <c r="BK127" t="s">
        <v>100</v>
      </c>
      <c r="BL127" t="s">
        <v>340</v>
      </c>
      <c r="BM127" t="s">
        <v>2373</v>
      </c>
      <c r="BN127">
        <v>37369336</v>
      </c>
      <c r="BO127" t="s">
        <v>74</v>
      </c>
      <c r="BP127" t="s">
        <v>74</v>
      </c>
      <c r="BQ127" t="s">
        <v>74</v>
      </c>
      <c r="BR127" t="s">
        <v>104</v>
      </c>
      <c r="BS127" t="s">
        <v>2374</v>
      </c>
      <c r="BT127" t="str">
        <f>HYPERLINK("https%3A%2F%2Fwww.webofscience.com%2Fwos%2Fwoscc%2Ffull-record%2FWOS:001044417900001","View Full Record in Web of Science")</f>
        <v>View Full Record in Web of Science</v>
      </c>
    </row>
    <row r="128" spans="1:72" x14ac:dyDescent="0.15">
      <c r="A128" t="s">
        <v>72</v>
      </c>
      <c r="B128" t="s">
        <v>2375</v>
      </c>
      <c r="C128" t="s">
        <v>74</v>
      </c>
      <c r="D128" t="s">
        <v>74</v>
      </c>
      <c r="E128" t="s">
        <v>74</v>
      </c>
      <c r="F128" t="s">
        <v>2376</v>
      </c>
      <c r="G128" t="s">
        <v>74</v>
      </c>
      <c r="H128" t="s">
        <v>74</v>
      </c>
      <c r="I128" t="s">
        <v>2377</v>
      </c>
      <c r="J128" t="s">
        <v>2101</v>
      </c>
      <c r="K128" t="s">
        <v>74</v>
      </c>
      <c r="L128" t="s">
        <v>74</v>
      </c>
      <c r="M128" t="s">
        <v>78</v>
      </c>
      <c r="N128" t="s">
        <v>79</v>
      </c>
      <c r="O128" t="s">
        <v>74</v>
      </c>
      <c r="P128" t="s">
        <v>74</v>
      </c>
      <c r="Q128" t="s">
        <v>74</v>
      </c>
      <c r="R128" t="s">
        <v>74</v>
      </c>
      <c r="S128" t="s">
        <v>74</v>
      </c>
      <c r="T128" t="s">
        <v>2378</v>
      </c>
      <c r="U128" t="s">
        <v>2379</v>
      </c>
      <c r="V128" t="s">
        <v>2380</v>
      </c>
      <c r="W128" t="s">
        <v>2381</v>
      </c>
      <c r="X128" t="s">
        <v>2382</v>
      </c>
      <c r="Y128" t="s">
        <v>2383</v>
      </c>
      <c r="Z128" t="s">
        <v>2384</v>
      </c>
      <c r="AA128" t="s">
        <v>74</v>
      </c>
      <c r="AB128" t="s">
        <v>74</v>
      </c>
      <c r="AC128" t="s">
        <v>2385</v>
      </c>
      <c r="AD128" t="s">
        <v>2386</v>
      </c>
      <c r="AE128" t="s">
        <v>2387</v>
      </c>
      <c r="AF128" t="s">
        <v>74</v>
      </c>
      <c r="AG128">
        <v>46</v>
      </c>
      <c r="AH128">
        <v>0</v>
      </c>
      <c r="AI128">
        <v>0</v>
      </c>
      <c r="AJ128">
        <v>17</v>
      </c>
      <c r="AK128">
        <v>17</v>
      </c>
      <c r="AL128" t="s">
        <v>955</v>
      </c>
      <c r="AM128" t="s">
        <v>956</v>
      </c>
      <c r="AN128" t="s">
        <v>957</v>
      </c>
      <c r="AO128" t="s">
        <v>2112</v>
      </c>
      <c r="AP128" t="s">
        <v>2113</v>
      </c>
      <c r="AQ128" t="s">
        <v>74</v>
      </c>
      <c r="AR128" t="s">
        <v>2114</v>
      </c>
      <c r="AS128" t="s">
        <v>2115</v>
      </c>
      <c r="AT128" t="s">
        <v>2319</v>
      </c>
      <c r="AU128">
        <v>2023</v>
      </c>
      <c r="AV128">
        <v>966</v>
      </c>
      <c r="AW128" t="s">
        <v>74</v>
      </c>
      <c r="AX128" t="s">
        <v>74</v>
      </c>
      <c r="AY128" t="s">
        <v>74</v>
      </c>
      <c r="AZ128" t="s">
        <v>74</v>
      </c>
      <c r="BA128" t="s">
        <v>74</v>
      </c>
      <c r="BB128" t="s">
        <v>74</v>
      </c>
      <c r="BC128" t="s">
        <v>74</v>
      </c>
      <c r="BD128">
        <v>171521</v>
      </c>
      <c r="BE128" t="s">
        <v>2388</v>
      </c>
      <c r="BF128" t="str">
        <f>HYPERLINK("http://dx.doi.org/10.1016/j.jallcom.2023.171521","http://dx.doi.org/10.1016/j.jallcom.2023.171521")</f>
        <v>http://dx.doi.org/10.1016/j.jallcom.2023.171521</v>
      </c>
      <c r="BG128" t="s">
        <v>74</v>
      </c>
      <c r="BH128" t="s">
        <v>74</v>
      </c>
      <c r="BI128">
        <v>12</v>
      </c>
      <c r="BJ128" t="s">
        <v>2118</v>
      </c>
      <c r="BK128" t="s">
        <v>100</v>
      </c>
      <c r="BL128" t="s">
        <v>2119</v>
      </c>
      <c r="BM128" t="s">
        <v>2389</v>
      </c>
      <c r="BN128" t="s">
        <v>74</v>
      </c>
      <c r="BO128" t="s">
        <v>74</v>
      </c>
      <c r="BP128" t="s">
        <v>74</v>
      </c>
      <c r="BQ128" t="s">
        <v>74</v>
      </c>
      <c r="BR128" t="s">
        <v>104</v>
      </c>
      <c r="BS128" t="s">
        <v>2390</v>
      </c>
      <c r="BT128" t="str">
        <f>HYPERLINK("https%3A%2F%2Fwww.webofscience.com%2Fwos%2Fwoscc%2Ffull-record%2FWOS:001051075100001","View Full Record in Web of Science")</f>
        <v>View Full Record in Web of Science</v>
      </c>
    </row>
    <row r="129" spans="1:72" x14ac:dyDescent="0.15">
      <c r="A129" t="s">
        <v>72</v>
      </c>
      <c r="B129" t="s">
        <v>2391</v>
      </c>
      <c r="C129" t="s">
        <v>74</v>
      </c>
      <c r="D129" t="s">
        <v>74</v>
      </c>
      <c r="E129" t="s">
        <v>74</v>
      </c>
      <c r="F129" t="s">
        <v>2392</v>
      </c>
      <c r="G129" t="s">
        <v>74</v>
      </c>
      <c r="H129" t="s">
        <v>74</v>
      </c>
      <c r="I129" t="s">
        <v>2393</v>
      </c>
      <c r="J129" t="s">
        <v>1793</v>
      </c>
      <c r="K129" t="s">
        <v>74</v>
      </c>
      <c r="L129" t="s">
        <v>74</v>
      </c>
      <c r="M129" t="s">
        <v>78</v>
      </c>
      <c r="N129" t="s">
        <v>79</v>
      </c>
      <c r="O129" t="s">
        <v>74</v>
      </c>
      <c r="P129" t="s">
        <v>74</v>
      </c>
      <c r="Q129" t="s">
        <v>74</v>
      </c>
      <c r="R129" t="s">
        <v>74</v>
      </c>
      <c r="S129" t="s">
        <v>74</v>
      </c>
      <c r="T129" t="s">
        <v>2394</v>
      </c>
      <c r="U129" t="s">
        <v>2395</v>
      </c>
      <c r="V129" t="s">
        <v>2396</v>
      </c>
      <c r="W129" t="s">
        <v>2397</v>
      </c>
      <c r="X129" t="s">
        <v>2398</v>
      </c>
      <c r="Y129" t="s">
        <v>2399</v>
      </c>
      <c r="Z129" t="s">
        <v>2400</v>
      </c>
      <c r="AA129" t="s">
        <v>74</v>
      </c>
      <c r="AB129" t="s">
        <v>2401</v>
      </c>
      <c r="AC129" t="s">
        <v>2402</v>
      </c>
      <c r="AD129" t="s">
        <v>2403</v>
      </c>
      <c r="AE129" t="s">
        <v>2404</v>
      </c>
      <c r="AF129" t="s">
        <v>74</v>
      </c>
      <c r="AG129">
        <v>38</v>
      </c>
      <c r="AH129">
        <v>0</v>
      </c>
      <c r="AI129">
        <v>0</v>
      </c>
      <c r="AJ129">
        <v>4</v>
      </c>
      <c r="AK129">
        <v>4</v>
      </c>
      <c r="AL129" t="s">
        <v>173</v>
      </c>
      <c r="AM129" t="s">
        <v>121</v>
      </c>
      <c r="AN129" t="s">
        <v>174</v>
      </c>
      <c r="AO129" t="s">
        <v>1805</v>
      </c>
      <c r="AP129" t="s">
        <v>1806</v>
      </c>
      <c r="AQ129" t="s">
        <v>74</v>
      </c>
      <c r="AR129" t="s">
        <v>1807</v>
      </c>
      <c r="AS129" t="s">
        <v>1808</v>
      </c>
      <c r="AT129" t="s">
        <v>2319</v>
      </c>
      <c r="AU129">
        <v>2023</v>
      </c>
      <c r="AV129">
        <v>302</v>
      </c>
      <c r="AW129" t="s">
        <v>74</v>
      </c>
      <c r="AX129" t="s">
        <v>74</v>
      </c>
      <c r="AY129" t="s">
        <v>74</v>
      </c>
      <c r="AZ129" t="s">
        <v>74</v>
      </c>
      <c r="BA129" t="s">
        <v>74</v>
      </c>
      <c r="BB129" t="s">
        <v>74</v>
      </c>
      <c r="BC129" t="s">
        <v>74</v>
      </c>
      <c r="BD129">
        <v>123030</v>
      </c>
      <c r="BE129" t="s">
        <v>2405</v>
      </c>
      <c r="BF129" t="str">
        <f>HYPERLINK("http://dx.doi.org/10.1016/j.saa.2023.123030","http://dx.doi.org/10.1016/j.saa.2023.123030")</f>
        <v>http://dx.doi.org/10.1016/j.saa.2023.123030</v>
      </c>
      <c r="BG129" t="s">
        <v>74</v>
      </c>
      <c r="BH129" t="s">
        <v>74</v>
      </c>
      <c r="BI129">
        <v>8</v>
      </c>
      <c r="BJ129" t="s">
        <v>1810</v>
      </c>
      <c r="BK129" t="s">
        <v>100</v>
      </c>
      <c r="BL129" t="s">
        <v>1810</v>
      </c>
      <c r="BM129" t="s">
        <v>2406</v>
      </c>
      <c r="BN129">
        <v>37354855</v>
      </c>
      <c r="BO129" t="s">
        <v>74</v>
      </c>
      <c r="BP129" t="s">
        <v>74</v>
      </c>
      <c r="BQ129" t="s">
        <v>74</v>
      </c>
      <c r="BR129" t="s">
        <v>104</v>
      </c>
      <c r="BS129" t="s">
        <v>2407</v>
      </c>
      <c r="BT129" t="str">
        <f>HYPERLINK("https%3A%2F%2Fwww.webofscience.com%2Fwos%2Fwoscc%2Ffull-record%2FWOS:001058524800001","View Full Record in Web of Science")</f>
        <v>View Full Record in Web of Science</v>
      </c>
    </row>
    <row r="130" spans="1:72" x14ac:dyDescent="0.15">
      <c r="A130" t="s">
        <v>72</v>
      </c>
      <c r="B130" t="s">
        <v>2408</v>
      </c>
      <c r="C130" t="s">
        <v>74</v>
      </c>
      <c r="D130" t="s">
        <v>74</v>
      </c>
      <c r="E130" t="s">
        <v>74</v>
      </c>
      <c r="F130" t="s">
        <v>2409</v>
      </c>
      <c r="G130" t="s">
        <v>74</v>
      </c>
      <c r="H130" t="s">
        <v>74</v>
      </c>
      <c r="I130" t="s">
        <v>2410</v>
      </c>
      <c r="J130" t="s">
        <v>1793</v>
      </c>
      <c r="K130" t="s">
        <v>74</v>
      </c>
      <c r="L130" t="s">
        <v>74</v>
      </c>
      <c r="M130" t="s">
        <v>78</v>
      </c>
      <c r="N130" t="s">
        <v>79</v>
      </c>
      <c r="O130" t="s">
        <v>74</v>
      </c>
      <c r="P130" t="s">
        <v>74</v>
      </c>
      <c r="Q130" t="s">
        <v>74</v>
      </c>
      <c r="R130" t="s">
        <v>74</v>
      </c>
      <c r="S130" t="s">
        <v>74</v>
      </c>
      <c r="T130" t="s">
        <v>2411</v>
      </c>
      <c r="U130" t="s">
        <v>2412</v>
      </c>
      <c r="V130" t="s">
        <v>2413</v>
      </c>
      <c r="W130" t="s">
        <v>2414</v>
      </c>
      <c r="X130" t="s">
        <v>2415</v>
      </c>
      <c r="Y130" t="s">
        <v>2416</v>
      </c>
      <c r="Z130" t="s">
        <v>2417</v>
      </c>
      <c r="AA130" t="s">
        <v>2418</v>
      </c>
      <c r="AB130" t="s">
        <v>2419</v>
      </c>
      <c r="AC130" t="s">
        <v>2420</v>
      </c>
      <c r="AD130" t="s">
        <v>2421</v>
      </c>
      <c r="AE130" t="s">
        <v>2422</v>
      </c>
      <c r="AF130" t="s">
        <v>74</v>
      </c>
      <c r="AG130">
        <v>38</v>
      </c>
      <c r="AH130">
        <v>0</v>
      </c>
      <c r="AI130">
        <v>0</v>
      </c>
      <c r="AJ130">
        <v>10</v>
      </c>
      <c r="AK130">
        <v>10</v>
      </c>
      <c r="AL130" t="s">
        <v>173</v>
      </c>
      <c r="AM130" t="s">
        <v>121</v>
      </c>
      <c r="AN130" t="s">
        <v>174</v>
      </c>
      <c r="AO130" t="s">
        <v>1805</v>
      </c>
      <c r="AP130" t="s">
        <v>1806</v>
      </c>
      <c r="AQ130" t="s">
        <v>74</v>
      </c>
      <c r="AR130" t="s">
        <v>1807</v>
      </c>
      <c r="AS130" t="s">
        <v>1808</v>
      </c>
      <c r="AT130" t="s">
        <v>2319</v>
      </c>
      <c r="AU130">
        <v>2023</v>
      </c>
      <c r="AV130">
        <v>302</v>
      </c>
      <c r="AW130" t="s">
        <v>74</v>
      </c>
      <c r="AX130" t="s">
        <v>74</v>
      </c>
      <c r="AY130" t="s">
        <v>74</v>
      </c>
      <c r="AZ130" t="s">
        <v>74</v>
      </c>
      <c r="BA130" t="s">
        <v>74</v>
      </c>
      <c r="BB130" t="s">
        <v>74</v>
      </c>
      <c r="BC130" t="s">
        <v>74</v>
      </c>
      <c r="BD130">
        <v>123087</v>
      </c>
      <c r="BE130" t="s">
        <v>2423</v>
      </c>
      <c r="BF130" t="str">
        <f>HYPERLINK("http://dx.doi.org/10.1016/j.saa.2023.123087","http://dx.doi.org/10.1016/j.saa.2023.123087")</f>
        <v>http://dx.doi.org/10.1016/j.saa.2023.123087</v>
      </c>
      <c r="BG130" t="s">
        <v>74</v>
      </c>
      <c r="BH130" t="s">
        <v>74</v>
      </c>
      <c r="BI130">
        <v>7</v>
      </c>
      <c r="BJ130" t="s">
        <v>1810</v>
      </c>
      <c r="BK130" t="s">
        <v>100</v>
      </c>
      <c r="BL130" t="s">
        <v>1810</v>
      </c>
      <c r="BM130" t="s">
        <v>2424</v>
      </c>
      <c r="BN130">
        <v>37406546</v>
      </c>
      <c r="BO130" t="s">
        <v>2425</v>
      </c>
      <c r="BP130" t="s">
        <v>74</v>
      </c>
      <c r="BQ130" t="s">
        <v>74</v>
      </c>
      <c r="BR130" t="s">
        <v>104</v>
      </c>
      <c r="BS130" t="s">
        <v>2426</v>
      </c>
      <c r="BT130" t="str">
        <f>HYPERLINK("https%3A%2F%2Fwww.webofscience.com%2Fwos%2Fwoscc%2Ffull-record%2FWOS:001058585400001","View Full Record in Web of Science")</f>
        <v>View Full Record in Web of Science</v>
      </c>
    </row>
    <row r="131" spans="1:72" x14ac:dyDescent="0.15">
      <c r="A131" t="s">
        <v>72</v>
      </c>
      <c r="B131" t="s">
        <v>2427</v>
      </c>
      <c r="C131" t="s">
        <v>74</v>
      </c>
      <c r="D131" t="s">
        <v>74</v>
      </c>
      <c r="E131" t="s">
        <v>74</v>
      </c>
      <c r="F131" t="s">
        <v>2428</v>
      </c>
      <c r="G131" t="s">
        <v>74</v>
      </c>
      <c r="H131" t="s">
        <v>74</v>
      </c>
      <c r="I131" t="s">
        <v>2429</v>
      </c>
      <c r="J131" t="s">
        <v>441</v>
      </c>
      <c r="K131" t="s">
        <v>74</v>
      </c>
      <c r="L131" t="s">
        <v>74</v>
      </c>
      <c r="M131" t="s">
        <v>78</v>
      </c>
      <c r="N131" t="s">
        <v>79</v>
      </c>
      <c r="O131" t="s">
        <v>74</v>
      </c>
      <c r="P131" t="s">
        <v>74</v>
      </c>
      <c r="Q131" t="s">
        <v>74</v>
      </c>
      <c r="R131" t="s">
        <v>74</v>
      </c>
      <c r="S131" t="s">
        <v>74</v>
      </c>
      <c r="T131" t="s">
        <v>2430</v>
      </c>
      <c r="U131" t="s">
        <v>2431</v>
      </c>
      <c r="V131" t="s">
        <v>2432</v>
      </c>
      <c r="W131" t="s">
        <v>2433</v>
      </c>
      <c r="X131" t="s">
        <v>2434</v>
      </c>
      <c r="Y131" t="s">
        <v>2435</v>
      </c>
      <c r="Z131" t="s">
        <v>2436</v>
      </c>
      <c r="AA131" t="s">
        <v>74</v>
      </c>
      <c r="AB131" t="s">
        <v>74</v>
      </c>
      <c r="AC131" t="s">
        <v>2437</v>
      </c>
      <c r="AD131" t="s">
        <v>2438</v>
      </c>
      <c r="AE131" t="s">
        <v>2439</v>
      </c>
      <c r="AF131" t="s">
        <v>74</v>
      </c>
      <c r="AG131">
        <v>45</v>
      </c>
      <c r="AH131">
        <v>0</v>
      </c>
      <c r="AI131">
        <v>0</v>
      </c>
      <c r="AJ131">
        <v>6</v>
      </c>
      <c r="AK131">
        <v>6</v>
      </c>
      <c r="AL131" t="s">
        <v>90</v>
      </c>
      <c r="AM131" t="s">
        <v>91</v>
      </c>
      <c r="AN131" t="s">
        <v>92</v>
      </c>
      <c r="AO131" t="s">
        <v>452</v>
      </c>
      <c r="AP131" t="s">
        <v>453</v>
      </c>
      <c r="AQ131" t="s">
        <v>74</v>
      </c>
      <c r="AR131" t="s">
        <v>454</v>
      </c>
      <c r="AS131" t="s">
        <v>455</v>
      </c>
      <c r="AT131" t="s">
        <v>2319</v>
      </c>
      <c r="AU131">
        <v>2023</v>
      </c>
      <c r="AV131">
        <v>338</v>
      </c>
      <c r="AW131" t="s">
        <v>74</v>
      </c>
      <c r="AX131" t="s">
        <v>74</v>
      </c>
      <c r="AY131" t="s">
        <v>74</v>
      </c>
      <c r="AZ131" t="s">
        <v>74</v>
      </c>
      <c r="BA131" t="s">
        <v>74</v>
      </c>
      <c r="BB131" t="s">
        <v>74</v>
      </c>
      <c r="BC131" t="s">
        <v>74</v>
      </c>
      <c r="BD131">
        <v>123002</v>
      </c>
      <c r="BE131" t="s">
        <v>2440</v>
      </c>
      <c r="BF131" t="str">
        <f>HYPERLINK("http://dx.doi.org/10.1016/j.apcatb.2023.123002","http://dx.doi.org/10.1016/j.apcatb.2023.123002")</f>
        <v>http://dx.doi.org/10.1016/j.apcatb.2023.123002</v>
      </c>
      <c r="BG131" t="s">
        <v>74</v>
      </c>
      <c r="BH131" t="s">
        <v>74</v>
      </c>
      <c r="BI131">
        <v>11</v>
      </c>
      <c r="BJ131" t="s">
        <v>457</v>
      </c>
      <c r="BK131" t="s">
        <v>100</v>
      </c>
      <c r="BL131" t="s">
        <v>458</v>
      </c>
      <c r="BM131" t="s">
        <v>2441</v>
      </c>
      <c r="BN131" t="s">
        <v>74</v>
      </c>
      <c r="BO131" t="s">
        <v>295</v>
      </c>
      <c r="BP131" t="s">
        <v>74</v>
      </c>
      <c r="BQ131" t="s">
        <v>74</v>
      </c>
      <c r="BR131" t="s">
        <v>104</v>
      </c>
      <c r="BS131" t="s">
        <v>2442</v>
      </c>
      <c r="BT131" t="str">
        <f>HYPERLINK("https%3A%2F%2Fwww.webofscience.com%2Fwos%2Fwoscc%2Ffull-record%2FWOS:001060245900001","View Full Record in Web of Science")</f>
        <v>View Full Record in Web of Science</v>
      </c>
    </row>
    <row r="132" spans="1:72" x14ac:dyDescent="0.15">
      <c r="A132" t="s">
        <v>72</v>
      </c>
      <c r="B132" t="s">
        <v>2443</v>
      </c>
      <c r="C132" t="s">
        <v>74</v>
      </c>
      <c r="D132" t="s">
        <v>74</v>
      </c>
      <c r="E132" t="s">
        <v>74</v>
      </c>
      <c r="F132" t="s">
        <v>2444</v>
      </c>
      <c r="G132" t="s">
        <v>74</v>
      </c>
      <c r="H132" t="s">
        <v>74</v>
      </c>
      <c r="I132" t="s">
        <v>2445</v>
      </c>
      <c r="J132" t="s">
        <v>1793</v>
      </c>
      <c r="K132" t="s">
        <v>74</v>
      </c>
      <c r="L132" t="s">
        <v>74</v>
      </c>
      <c r="M132" t="s">
        <v>78</v>
      </c>
      <c r="N132" t="s">
        <v>79</v>
      </c>
      <c r="O132" t="s">
        <v>74</v>
      </c>
      <c r="P132" t="s">
        <v>74</v>
      </c>
      <c r="Q132" t="s">
        <v>74</v>
      </c>
      <c r="R132" t="s">
        <v>74</v>
      </c>
      <c r="S132" t="s">
        <v>74</v>
      </c>
      <c r="T132" t="s">
        <v>2446</v>
      </c>
      <c r="U132" t="s">
        <v>2447</v>
      </c>
      <c r="V132" t="s">
        <v>2448</v>
      </c>
      <c r="W132" t="s">
        <v>2449</v>
      </c>
      <c r="X132" t="s">
        <v>2450</v>
      </c>
      <c r="Y132" t="s">
        <v>2451</v>
      </c>
      <c r="Z132" t="s">
        <v>2452</v>
      </c>
      <c r="AA132" t="s">
        <v>74</v>
      </c>
      <c r="AB132" t="s">
        <v>74</v>
      </c>
      <c r="AC132" t="s">
        <v>2453</v>
      </c>
      <c r="AD132" t="s">
        <v>2454</v>
      </c>
      <c r="AE132" t="s">
        <v>2455</v>
      </c>
      <c r="AF132" t="s">
        <v>74</v>
      </c>
      <c r="AG132">
        <v>40</v>
      </c>
      <c r="AH132">
        <v>0</v>
      </c>
      <c r="AI132">
        <v>0</v>
      </c>
      <c r="AJ132">
        <v>2</v>
      </c>
      <c r="AK132">
        <v>2</v>
      </c>
      <c r="AL132" t="s">
        <v>173</v>
      </c>
      <c r="AM132" t="s">
        <v>121</v>
      </c>
      <c r="AN132" t="s">
        <v>174</v>
      </c>
      <c r="AO132" t="s">
        <v>1805</v>
      </c>
      <c r="AP132" t="s">
        <v>1806</v>
      </c>
      <c r="AQ132" t="s">
        <v>74</v>
      </c>
      <c r="AR132" t="s">
        <v>1807</v>
      </c>
      <c r="AS132" t="s">
        <v>1808</v>
      </c>
      <c r="AT132" t="s">
        <v>2319</v>
      </c>
      <c r="AU132">
        <v>2023</v>
      </c>
      <c r="AV132">
        <v>302</v>
      </c>
      <c r="AW132" t="s">
        <v>74</v>
      </c>
      <c r="AX132" t="s">
        <v>74</v>
      </c>
      <c r="AY132" t="s">
        <v>74</v>
      </c>
      <c r="AZ132" t="s">
        <v>74</v>
      </c>
      <c r="BA132" t="s">
        <v>74</v>
      </c>
      <c r="BB132" t="s">
        <v>74</v>
      </c>
      <c r="BC132" t="s">
        <v>74</v>
      </c>
      <c r="BD132">
        <v>123095</v>
      </c>
      <c r="BE132" t="s">
        <v>2456</v>
      </c>
      <c r="BF132" t="str">
        <f>HYPERLINK("http://dx.doi.org/10.1016/j.saa.2023.123095","http://dx.doi.org/10.1016/j.saa.2023.123095")</f>
        <v>http://dx.doi.org/10.1016/j.saa.2023.123095</v>
      </c>
      <c r="BG132" t="s">
        <v>74</v>
      </c>
      <c r="BH132" t="s">
        <v>74</v>
      </c>
      <c r="BI132">
        <v>17</v>
      </c>
      <c r="BJ132" t="s">
        <v>1810</v>
      </c>
      <c r="BK132" t="s">
        <v>100</v>
      </c>
      <c r="BL132" t="s">
        <v>1810</v>
      </c>
      <c r="BM132" t="s">
        <v>2457</v>
      </c>
      <c r="BN132">
        <v>37451211</v>
      </c>
      <c r="BO132" t="s">
        <v>74</v>
      </c>
      <c r="BP132" t="s">
        <v>74</v>
      </c>
      <c r="BQ132" t="s">
        <v>74</v>
      </c>
      <c r="BR132" t="s">
        <v>104</v>
      </c>
      <c r="BS132" t="s">
        <v>2458</v>
      </c>
      <c r="BT132" t="str">
        <f>HYPERLINK("https%3A%2F%2Fwww.webofscience.com%2Fwos%2Fwoscc%2Ffull-record%2FWOS:001058431900001","View Full Record in Web of Science")</f>
        <v>View Full Record in Web of Science</v>
      </c>
    </row>
    <row r="133" spans="1:72" x14ac:dyDescent="0.15">
      <c r="A133" t="s">
        <v>72</v>
      </c>
      <c r="B133" t="s">
        <v>2459</v>
      </c>
      <c r="C133" t="s">
        <v>74</v>
      </c>
      <c r="D133" t="s">
        <v>74</v>
      </c>
      <c r="E133" t="s">
        <v>74</v>
      </c>
      <c r="F133" t="s">
        <v>2460</v>
      </c>
      <c r="G133" t="s">
        <v>74</v>
      </c>
      <c r="H133" t="s">
        <v>74</v>
      </c>
      <c r="I133" t="s">
        <v>2461</v>
      </c>
      <c r="J133" t="s">
        <v>380</v>
      </c>
      <c r="K133" t="s">
        <v>74</v>
      </c>
      <c r="L133" t="s">
        <v>74</v>
      </c>
      <c r="M133" t="s">
        <v>78</v>
      </c>
      <c r="N133" t="s">
        <v>79</v>
      </c>
      <c r="O133" t="s">
        <v>74</v>
      </c>
      <c r="P133" t="s">
        <v>74</v>
      </c>
      <c r="Q133" t="s">
        <v>74</v>
      </c>
      <c r="R133" t="s">
        <v>74</v>
      </c>
      <c r="S133" t="s">
        <v>74</v>
      </c>
      <c r="T133" t="s">
        <v>2462</v>
      </c>
      <c r="U133" t="s">
        <v>2463</v>
      </c>
      <c r="V133" t="s">
        <v>2464</v>
      </c>
      <c r="W133" t="s">
        <v>2465</v>
      </c>
      <c r="X133" t="s">
        <v>2466</v>
      </c>
      <c r="Y133" t="s">
        <v>2467</v>
      </c>
      <c r="Z133" t="s">
        <v>2468</v>
      </c>
      <c r="AA133" t="s">
        <v>74</v>
      </c>
      <c r="AB133" t="s">
        <v>74</v>
      </c>
      <c r="AC133" t="s">
        <v>2469</v>
      </c>
      <c r="AD133" t="s">
        <v>2469</v>
      </c>
      <c r="AE133" t="s">
        <v>2470</v>
      </c>
      <c r="AF133" t="s">
        <v>74</v>
      </c>
      <c r="AG133">
        <v>59</v>
      </c>
      <c r="AH133">
        <v>0</v>
      </c>
      <c r="AI133">
        <v>0</v>
      </c>
      <c r="AJ133">
        <v>2</v>
      </c>
      <c r="AK133">
        <v>2</v>
      </c>
      <c r="AL133" t="s">
        <v>90</v>
      </c>
      <c r="AM133" t="s">
        <v>91</v>
      </c>
      <c r="AN133" t="s">
        <v>92</v>
      </c>
      <c r="AO133" t="s">
        <v>388</v>
      </c>
      <c r="AP133" t="s">
        <v>389</v>
      </c>
      <c r="AQ133" t="s">
        <v>74</v>
      </c>
      <c r="AR133" t="s">
        <v>390</v>
      </c>
      <c r="AS133" t="s">
        <v>391</v>
      </c>
      <c r="AT133" t="s">
        <v>2319</v>
      </c>
      <c r="AU133">
        <v>2023</v>
      </c>
      <c r="AV133">
        <v>1293</v>
      </c>
      <c r="AW133" t="s">
        <v>74</v>
      </c>
      <c r="AX133" t="s">
        <v>74</v>
      </c>
      <c r="AY133" t="s">
        <v>74</v>
      </c>
      <c r="AZ133" t="s">
        <v>74</v>
      </c>
      <c r="BA133" t="s">
        <v>74</v>
      </c>
      <c r="BB133" t="s">
        <v>74</v>
      </c>
      <c r="BC133" t="s">
        <v>74</v>
      </c>
      <c r="BD133">
        <v>136218</v>
      </c>
      <c r="BE133" t="s">
        <v>2471</v>
      </c>
      <c r="BF133" t="str">
        <f>HYPERLINK("http://dx.doi.org/10.1016/j.molstruc.2023.136218","http://dx.doi.org/10.1016/j.molstruc.2023.136218")</f>
        <v>http://dx.doi.org/10.1016/j.molstruc.2023.136218</v>
      </c>
      <c r="BG133" t="s">
        <v>74</v>
      </c>
      <c r="BH133" t="s">
        <v>74</v>
      </c>
      <c r="BI133">
        <v>13</v>
      </c>
      <c r="BJ133" t="s">
        <v>394</v>
      </c>
      <c r="BK133" t="s">
        <v>100</v>
      </c>
      <c r="BL133" t="s">
        <v>395</v>
      </c>
      <c r="BM133" t="s">
        <v>2472</v>
      </c>
      <c r="BN133" t="s">
        <v>74</v>
      </c>
      <c r="BO133" t="s">
        <v>74</v>
      </c>
      <c r="BP133" t="s">
        <v>74</v>
      </c>
      <c r="BQ133" t="s">
        <v>74</v>
      </c>
      <c r="BR133" t="s">
        <v>104</v>
      </c>
      <c r="BS133" t="s">
        <v>2473</v>
      </c>
      <c r="BT133" t="str">
        <f>HYPERLINK("https%3A%2F%2Fwww.webofscience.com%2Fwos%2Fwoscc%2Ffull-record%2FWOS:001049000700001","View Full Record in Web of Science")</f>
        <v>View Full Record in Web of Science</v>
      </c>
    </row>
    <row r="134" spans="1:72" x14ac:dyDescent="0.15">
      <c r="A134" t="s">
        <v>72</v>
      </c>
      <c r="B134" t="s">
        <v>2474</v>
      </c>
      <c r="C134" t="s">
        <v>74</v>
      </c>
      <c r="D134" t="s">
        <v>74</v>
      </c>
      <c r="E134" t="s">
        <v>74</v>
      </c>
      <c r="F134" t="s">
        <v>2475</v>
      </c>
      <c r="G134" t="s">
        <v>74</v>
      </c>
      <c r="H134" t="s">
        <v>74</v>
      </c>
      <c r="I134" t="s">
        <v>2476</v>
      </c>
      <c r="J134" t="s">
        <v>2101</v>
      </c>
      <c r="K134" t="s">
        <v>74</v>
      </c>
      <c r="L134" t="s">
        <v>74</v>
      </c>
      <c r="M134" t="s">
        <v>78</v>
      </c>
      <c r="N134" t="s">
        <v>79</v>
      </c>
      <c r="O134" t="s">
        <v>74</v>
      </c>
      <c r="P134" t="s">
        <v>74</v>
      </c>
      <c r="Q134" t="s">
        <v>74</v>
      </c>
      <c r="R134" t="s">
        <v>74</v>
      </c>
      <c r="S134" t="s">
        <v>74</v>
      </c>
      <c r="T134" t="s">
        <v>2477</v>
      </c>
      <c r="U134" t="s">
        <v>2478</v>
      </c>
      <c r="V134" t="s">
        <v>2479</v>
      </c>
      <c r="W134" t="s">
        <v>2480</v>
      </c>
      <c r="X134" t="s">
        <v>2481</v>
      </c>
      <c r="Y134" t="s">
        <v>2482</v>
      </c>
      <c r="Z134" t="s">
        <v>2483</v>
      </c>
      <c r="AA134" t="s">
        <v>2484</v>
      </c>
      <c r="AB134" t="s">
        <v>2485</v>
      </c>
      <c r="AC134" t="s">
        <v>74</v>
      </c>
      <c r="AD134" t="s">
        <v>74</v>
      </c>
      <c r="AE134" t="s">
        <v>74</v>
      </c>
      <c r="AF134" t="s">
        <v>74</v>
      </c>
      <c r="AG134">
        <v>53</v>
      </c>
      <c r="AH134">
        <v>0</v>
      </c>
      <c r="AI134">
        <v>0</v>
      </c>
      <c r="AJ134">
        <v>7</v>
      </c>
      <c r="AK134">
        <v>7</v>
      </c>
      <c r="AL134" t="s">
        <v>955</v>
      </c>
      <c r="AM134" t="s">
        <v>956</v>
      </c>
      <c r="AN134" t="s">
        <v>957</v>
      </c>
      <c r="AO134" t="s">
        <v>2112</v>
      </c>
      <c r="AP134" t="s">
        <v>2113</v>
      </c>
      <c r="AQ134" t="s">
        <v>74</v>
      </c>
      <c r="AR134" t="s">
        <v>2114</v>
      </c>
      <c r="AS134" t="s">
        <v>2115</v>
      </c>
      <c r="AT134" t="s">
        <v>2319</v>
      </c>
      <c r="AU134">
        <v>2023</v>
      </c>
      <c r="AV134">
        <v>966</v>
      </c>
      <c r="AW134" t="s">
        <v>74</v>
      </c>
      <c r="AX134" t="s">
        <v>74</v>
      </c>
      <c r="AY134" t="s">
        <v>74</v>
      </c>
      <c r="AZ134" t="s">
        <v>74</v>
      </c>
      <c r="BA134" t="s">
        <v>74</v>
      </c>
      <c r="BB134" t="s">
        <v>74</v>
      </c>
      <c r="BC134" t="s">
        <v>74</v>
      </c>
      <c r="BD134">
        <v>171539</v>
      </c>
      <c r="BE134" t="s">
        <v>2486</v>
      </c>
      <c r="BF134" t="str">
        <f>HYPERLINK("http://dx.doi.org/10.1016/j.jallcom.2023.171539","http://dx.doi.org/10.1016/j.jallcom.2023.171539")</f>
        <v>http://dx.doi.org/10.1016/j.jallcom.2023.171539</v>
      </c>
      <c r="BG134" t="s">
        <v>74</v>
      </c>
      <c r="BH134" t="s">
        <v>74</v>
      </c>
      <c r="BI134">
        <v>9</v>
      </c>
      <c r="BJ134" t="s">
        <v>2118</v>
      </c>
      <c r="BK134" t="s">
        <v>100</v>
      </c>
      <c r="BL134" t="s">
        <v>2119</v>
      </c>
      <c r="BM134" t="s">
        <v>2487</v>
      </c>
      <c r="BN134" t="s">
        <v>74</v>
      </c>
      <c r="BO134" t="s">
        <v>74</v>
      </c>
      <c r="BP134" t="s">
        <v>74</v>
      </c>
      <c r="BQ134" t="s">
        <v>74</v>
      </c>
      <c r="BR134" t="s">
        <v>104</v>
      </c>
      <c r="BS134" t="s">
        <v>2488</v>
      </c>
      <c r="BT134" t="str">
        <f>HYPERLINK("https%3A%2F%2Fwww.webofscience.com%2Fwos%2Fwoscc%2Ffull-record%2FWOS:001053704800001","View Full Record in Web of Science")</f>
        <v>View Full Record in Web of Science</v>
      </c>
    </row>
    <row r="135" spans="1:72" x14ac:dyDescent="0.15">
      <c r="A135" t="s">
        <v>72</v>
      </c>
      <c r="B135" t="s">
        <v>2489</v>
      </c>
      <c r="C135" t="s">
        <v>74</v>
      </c>
      <c r="D135" t="s">
        <v>74</v>
      </c>
      <c r="E135" t="s">
        <v>74</v>
      </c>
      <c r="F135" t="s">
        <v>2490</v>
      </c>
      <c r="G135" t="s">
        <v>74</v>
      </c>
      <c r="H135" t="s">
        <v>74</v>
      </c>
      <c r="I135" t="s">
        <v>2491</v>
      </c>
      <c r="J135" t="s">
        <v>2101</v>
      </c>
      <c r="K135" t="s">
        <v>74</v>
      </c>
      <c r="L135" t="s">
        <v>74</v>
      </c>
      <c r="M135" t="s">
        <v>78</v>
      </c>
      <c r="N135" t="s">
        <v>79</v>
      </c>
      <c r="O135" t="s">
        <v>74</v>
      </c>
      <c r="P135" t="s">
        <v>74</v>
      </c>
      <c r="Q135" t="s">
        <v>74</v>
      </c>
      <c r="R135" t="s">
        <v>74</v>
      </c>
      <c r="S135" t="s">
        <v>74</v>
      </c>
      <c r="T135" t="s">
        <v>2492</v>
      </c>
      <c r="U135" t="s">
        <v>2493</v>
      </c>
      <c r="V135" t="s">
        <v>2494</v>
      </c>
      <c r="W135" t="s">
        <v>2495</v>
      </c>
      <c r="X135" t="s">
        <v>2496</v>
      </c>
      <c r="Y135" t="s">
        <v>2497</v>
      </c>
      <c r="Z135" t="s">
        <v>2498</v>
      </c>
      <c r="AA135" t="s">
        <v>74</v>
      </c>
      <c r="AB135" t="s">
        <v>74</v>
      </c>
      <c r="AC135" t="s">
        <v>74</v>
      </c>
      <c r="AD135" t="s">
        <v>74</v>
      </c>
      <c r="AE135" t="s">
        <v>74</v>
      </c>
      <c r="AF135" t="s">
        <v>74</v>
      </c>
      <c r="AG135">
        <v>30</v>
      </c>
      <c r="AH135">
        <v>0</v>
      </c>
      <c r="AI135">
        <v>0</v>
      </c>
      <c r="AJ135">
        <v>2</v>
      </c>
      <c r="AK135">
        <v>2</v>
      </c>
      <c r="AL135" t="s">
        <v>955</v>
      </c>
      <c r="AM135" t="s">
        <v>956</v>
      </c>
      <c r="AN135" t="s">
        <v>957</v>
      </c>
      <c r="AO135" t="s">
        <v>2112</v>
      </c>
      <c r="AP135" t="s">
        <v>2113</v>
      </c>
      <c r="AQ135" t="s">
        <v>74</v>
      </c>
      <c r="AR135" t="s">
        <v>2114</v>
      </c>
      <c r="AS135" t="s">
        <v>2115</v>
      </c>
      <c r="AT135" t="s">
        <v>2319</v>
      </c>
      <c r="AU135">
        <v>2023</v>
      </c>
      <c r="AV135">
        <v>966</v>
      </c>
      <c r="AW135" t="s">
        <v>74</v>
      </c>
      <c r="AX135" t="s">
        <v>74</v>
      </c>
      <c r="AY135" t="s">
        <v>74</v>
      </c>
      <c r="AZ135" t="s">
        <v>74</v>
      </c>
      <c r="BA135" t="s">
        <v>74</v>
      </c>
      <c r="BB135" t="s">
        <v>74</v>
      </c>
      <c r="BC135" t="s">
        <v>74</v>
      </c>
      <c r="BD135">
        <v>171602</v>
      </c>
      <c r="BE135" t="s">
        <v>2499</v>
      </c>
      <c r="BF135" t="str">
        <f>HYPERLINK("http://dx.doi.org/10.1016/j.jallcom.2023.171602","http://dx.doi.org/10.1016/j.jallcom.2023.171602")</f>
        <v>http://dx.doi.org/10.1016/j.jallcom.2023.171602</v>
      </c>
      <c r="BG135" t="s">
        <v>74</v>
      </c>
      <c r="BH135" t="s">
        <v>74</v>
      </c>
      <c r="BI135">
        <v>9</v>
      </c>
      <c r="BJ135" t="s">
        <v>2118</v>
      </c>
      <c r="BK135" t="s">
        <v>100</v>
      </c>
      <c r="BL135" t="s">
        <v>2119</v>
      </c>
      <c r="BM135" t="s">
        <v>2500</v>
      </c>
      <c r="BN135" t="s">
        <v>74</v>
      </c>
      <c r="BO135" t="s">
        <v>74</v>
      </c>
      <c r="BP135" t="s">
        <v>74</v>
      </c>
      <c r="BQ135" t="s">
        <v>74</v>
      </c>
      <c r="BR135" t="s">
        <v>104</v>
      </c>
      <c r="BS135" t="s">
        <v>2501</v>
      </c>
      <c r="BT135" t="str">
        <f>HYPERLINK("https%3A%2F%2Fwww.webofscience.com%2Fwos%2Fwoscc%2Ffull-record%2FWOS:001053005600001","View Full Record in Web of Science")</f>
        <v>View Full Record in Web of Science</v>
      </c>
    </row>
    <row r="136" spans="1:72" x14ac:dyDescent="0.15">
      <c r="A136" t="s">
        <v>72</v>
      </c>
      <c r="B136" t="s">
        <v>2502</v>
      </c>
      <c r="C136" t="s">
        <v>74</v>
      </c>
      <c r="D136" t="s">
        <v>74</v>
      </c>
      <c r="E136" t="s">
        <v>74</v>
      </c>
      <c r="F136" t="s">
        <v>2503</v>
      </c>
      <c r="G136" t="s">
        <v>74</v>
      </c>
      <c r="H136" t="s">
        <v>74</v>
      </c>
      <c r="I136" t="s">
        <v>2504</v>
      </c>
      <c r="J136" t="s">
        <v>1793</v>
      </c>
      <c r="K136" t="s">
        <v>74</v>
      </c>
      <c r="L136" t="s">
        <v>74</v>
      </c>
      <c r="M136" t="s">
        <v>78</v>
      </c>
      <c r="N136" t="s">
        <v>79</v>
      </c>
      <c r="O136" t="s">
        <v>74</v>
      </c>
      <c r="P136" t="s">
        <v>74</v>
      </c>
      <c r="Q136" t="s">
        <v>74</v>
      </c>
      <c r="R136" t="s">
        <v>74</v>
      </c>
      <c r="S136" t="s">
        <v>74</v>
      </c>
      <c r="T136" t="s">
        <v>2505</v>
      </c>
      <c r="U136" t="s">
        <v>2506</v>
      </c>
      <c r="V136" t="s">
        <v>2507</v>
      </c>
      <c r="W136" t="s">
        <v>2508</v>
      </c>
      <c r="X136" t="s">
        <v>1138</v>
      </c>
      <c r="Y136" t="s">
        <v>2509</v>
      </c>
      <c r="Z136" t="s">
        <v>2510</v>
      </c>
      <c r="AA136" t="s">
        <v>74</v>
      </c>
      <c r="AB136" t="s">
        <v>74</v>
      </c>
      <c r="AC136" t="s">
        <v>2511</v>
      </c>
      <c r="AD136" t="s">
        <v>2512</v>
      </c>
      <c r="AE136" t="s">
        <v>2513</v>
      </c>
      <c r="AF136" t="s">
        <v>74</v>
      </c>
      <c r="AG136">
        <v>65</v>
      </c>
      <c r="AH136">
        <v>1</v>
      </c>
      <c r="AI136">
        <v>1</v>
      </c>
      <c r="AJ136">
        <v>28</v>
      </c>
      <c r="AK136">
        <v>28</v>
      </c>
      <c r="AL136" t="s">
        <v>173</v>
      </c>
      <c r="AM136" t="s">
        <v>121</v>
      </c>
      <c r="AN136" t="s">
        <v>174</v>
      </c>
      <c r="AO136" t="s">
        <v>1805</v>
      </c>
      <c r="AP136" t="s">
        <v>1806</v>
      </c>
      <c r="AQ136" t="s">
        <v>74</v>
      </c>
      <c r="AR136" t="s">
        <v>1807</v>
      </c>
      <c r="AS136" t="s">
        <v>1808</v>
      </c>
      <c r="AT136" t="s">
        <v>2319</v>
      </c>
      <c r="AU136">
        <v>2023</v>
      </c>
      <c r="AV136">
        <v>302</v>
      </c>
      <c r="AW136" t="s">
        <v>74</v>
      </c>
      <c r="AX136" t="s">
        <v>74</v>
      </c>
      <c r="AY136" t="s">
        <v>74</v>
      </c>
      <c r="AZ136" t="s">
        <v>74</v>
      </c>
      <c r="BA136" t="s">
        <v>74</v>
      </c>
      <c r="BB136" t="s">
        <v>74</v>
      </c>
      <c r="BC136" t="s">
        <v>74</v>
      </c>
      <c r="BD136">
        <v>123003</v>
      </c>
      <c r="BE136" t="s">
        <v>2514</v>
      </c>
      <c r="BF136" t="str">
        <f>HYPERLINK("http://dx.doi.org/10.1016/j.saa.2023.123003","http://dx.doi.org/10.1016/j.saa.2023.123003")</f>
        <v>http://dx.doi.org/10.1016/j.saa.2023.123003</v>
      </c>
      <c r="BG136" t="s">
        <v>74</v>
      </c>
      <c r="BH136" t="s">
        <v>74</v>
      </c>
      <c r="BI136">
        <v>9</v>
      </c>
      <c r="BJ136" t="s">
        <v>1810</v>
      </c>
      <c r="BK136" t="s">
        <v>100</v>
      </c>
      <c r="BL136" t="s">
        <v>1810</v>
      </c>
      <c r="BM136" t="s">
        <v>2515</v>
      </c>
      <c r="BN136">
        <v>37336190</v>
      </c>
      <c r="BO136" t="s">
        <v>74</v>
      </c>
      <c r="BP136" t="s">
        <v>74</v>
      </c>
      <c r="BQ136" t="s">
        <v>74</v>
      </c>
      <c r="BR136" t="s">
        <v>104</v>
      </c>
      <c r="BS136" t="s">
        <v>2516</v>
      </c>
      <c r="BT136" t="str">
        <f>HYPERLINK("https%3A%2F%2Fwww.webofscience.com%2Fwos%2Fwoscc%2Ffull-record%2FWOS:001058513100001","View Full Record in Web of Science")</f>
        <v>View Full Record in Web of Science</v>
      </c>
    </row>
    <row r="137" spans="1:72" x14ac:dyDescent="0.15">
      <c r="A137" t="s">
        <v>72</v>
      </c>
      <c r="B137" t="s">
        <v>2517</v>
      </c>
      <c r="C137" t="s">
        <v>74</v>
      </c>
      <c r="D137" t="s">
        <v>74</v>
      </c>
      <c r="E137" t="s">
        <v>74</v>
      </c>
      <c r="F137" t="s">
        <v>2518</v>
      </c>
      <c r="G137" t="s">
        <v>74</v>
      </c>
      <c r="H137" t="s">
        <v>74</v>
      </c>
      <c r="I137" t="s">
        <v>2519</v>
      </c>
      <c r="J137" t="s">
        <v>2101</v>
      </c>
      <c r="K137" t="s">
        <v>74</v>
      </c>
      <c r="L137" t="s">
        <v>74</v>
      </c>
      <c r="M137" t="s">
        <v>78</v>
      </c>
      <c r="N137" t="s">
        <v>79</v>
      </c>
      <c r="O137" t="s">
        <v>74</v>
      </c>
      <c r="P137" t="s">
        <v>74</v>
      </c>
      <c r="Q137" t="s">
        <v>74</v>
      </c>
      <c r="R137" t="s">
        <v>74</v>
      </c>
      <c r="S137" t="s">
        <v>74</v>
      </c>
      <c r="T137" t="s">
        <v>2520</v>
      </c>
      <c r="U137" t="s">
        <v>2521</v>
      </c>
      <c r="V137" t="s">
        <v>2522</v>
      </c>
      <c r="W137" t="s">
        <v>2523</v>
      </c>
      <c r="X137" t="s">
        <v>2524</v>
      </c>
      <c r="Y137" t="s">
        <v>2525</v>
      </c>
      <c r="Z137" t="s">
        <v>2526</v>
      </c>
      <c r="AA137" t="s">
        <v>74</v>
      </c>
      <c r="AB137" t="s">
        <v>74</v>
      </c>
      <c r="AC137" t="s">
        <v>2527</v>
      </c>
      <c r="AD137" t="s">
        <v>2528</v>
      </c>
      <c r="AE137" t="s">
        <v>2529</v>
      </c>
      <c r="AF137" t="s">
        <v>74</v>
      </c>
      <c r="AG137">
        <v>66</v>
      </c>
      <c r="AH137">
        <v>0</v>
      </c>
      <c r="AI137">
        <v>0</v>
      </c>
      <c r="AJ137">
        <v>29</v>
      </c>
      <c r="AK137">
        <v>29</v>
      </c>
      <c r="AL137" t="s">
        <v>955</v>
      </c>
      <c r="AM137" t="s">
        <v>956</v>
      </c>
      <c r="AN137" t="s">
        <v>957</v>
      </c>
      <c r="AO137" t="s">
        <v>2112</v>
      </c>
      <c r="AP137" t="s">
        <v>2113</v>
      </c>
      <c r="AQ137" t="s">
        <v>74</v>
      </c>
      <c r="AR137" t="s">
        <v>2114</v>
      </c>
      <c r="AS137" t="s">
        <v>2115</v>
      </c>
      <c r="AT137" t="s">
        <v>2319</v>
      </c>
      <c r="AU137">
        <v>2023</v>
      </c>
      <c r="AV137">
        <v>966</v>
      </c>
      <c r="AW137" t="s">
        <v>74</v>
      </c>
      <c r="AX137" t="s">
        <v>74</v>
      </c>
      <c r="AY137" t="s">
        <v>74</v>
      </c>
      <c r="AZ137" t="s">
        <v>74</v>
      </c>
      <c r="BA137" t="s">
        <v>74</v>
      </c>
      <c r="BB137" t="s">
        <v>74</v>
      </c>
      <c r="BC137" t="s">
        <v>74</v>
      </c>
      <c r="BD137">
        <v>171550</v>
      </c>
      <c r="BE137" t="s">
        <v>2530</v>
      </c>
      <c r="BF137" t="str">
        <f>HYPERLINK("http://dx.doi.org/10.1016/j.jallcom.2023.171550","http://dx.doi.org/10.1016/j.jallcom.2023.171550")</f>
        <v>http://dx.doi.org/10.1016/j.jallcom.2023.171550</v>
      </c>
      <c r="BG137" t="s">
        <v>74</v>
      </c>
      <c r="BH137" t="s">
        <v>74</v>
      </c>
      <c r="BI137">
        <v>9</v>
      </c>
      <c r="BJ137" t="s">
        <v>2118</v>
      </c>
      <c r="BK137" t="s">
        <v>100</v>
      </c>
      <c r="BL137" t="s">
        <v>2119</v>
      </c>
      <c r="BM137" t="s">
        <v>2531</v>
      </c>
      <c r="BN137" t="s">
        <v>74</v>
      </c>
      <c r="BO137" t="s">
        <v>74</v>
      </c>
      <c r="BP137" t="s">
        <v>74</v>
      </c>
      <c r="BQ137" t="s">
        <v>74</v>
      </c>
      <c r="BR137" t="s">
        <v>104</v>
      </c>
      <c r="BS137" t="s">
        <v>2532</v>
      </c>
      <c r="BT137" t="str">
        <f>HYPERLINK("https%3A%2F%2Fwww.webofscience.com%2Fwos%2Fwoscc%2Ffull-record%2FWOS:001053002400001","View Full Record in Web of Science")</f>
        <v>View Full Record in Web of Science</v>
      </c>
    </row>
    <row r="138" spans="1:72" x14ac:dyDescent="0.15">
      <c r="A138" t="s">
        <v>72</v>
      </c>
      <c r="B138" t="s">
        <v>2533</v>
      </c>
      <c r="C138" t="s">
        <v>74</v>
      </c>
      <c r="D138" t="s">
        <v>74</v>
      </c>
      <c r="E138" t="s">
        <v>74</v>
      </c>
      <c r="F138" t="s">
        <v>2534</v>
      </c>
      <c r="G138" t="s">
        <v>74</v>
      </c>
      <c r="H138" t="s">
        <v>74</v>
      </c>
      <c r="I138" t="s">
        <v>2535</v>
      </c>
      <c r="J138" t="s">
        <v>2101</v>
      </c>
      <c r="K138" t="s">
        <v>74</v>
      </c>
      <c r="L138" t="s">
        <v>74</v>
      </c>
      <c r="M138" t="s">
        <v>78</v>
      </c>
      <c r="N138" t="s">
        <v>79</v>
      </c>
      <c r="O138" t="s">
        <v>74</v>
      </c>
      <c r="P138" t="s">
        <v>74</v>
      </c>
      <c r="Q138" t="s">
        <v>74</v>
      </c>
      <c r="R138" t="s">
        <v>74</v>
      </c>
      <c r="S138" t="s">
        <v>74</v>
      </c>
      <c r="T138" t="s">
        <v>2536</v>
      </c>
      <c r="U138" t="s">
        <v>2537</v>
      </c>
      <c r="V138" t="s">
        <v>2538</v>
      </c>
      <c r="W138" t="s">
        <v>2539</v>
      </c>
      <c r="X138" t="s">
        <v>2540</v>
      </c>
      <c r="Y138" t="s">
        <v>2541</v>
      </c>
      <c r="Z138" t="s">
        <v>2542</v>
      </c>
      <c r="AA138" t="s">
        <v>74</v>
      </c>
      <c r="AB138" t="s">
        <v>74</v>
      </c>
      <c r="AC138" t="s">
        <v>2543</v>
      </c>
      <c r="AD138" t="s">
        <v>2544</v>
      </c>
      <c r="AE138" t="s">
        <v>2545</v>
      </c>
      <c r="AF138" t="s">
        <v>74</v>
      </c>
      <c r="AG138">
        <v>26</v>
      </c>
      <c r="AH138">
        <v>0</v>
      </c>
      <c r="AI138">
        <v>0</v>
      </c>
      <c r="AJ138">
        <v>5</v>
      </c>
      <c r="AK138">
        <v>5</v>
      </c>
      <c r="AL138" t="s">
        <v>955</v>
      </c>
      <c r="AM138" t="s">
        <v>956</v>
      </c>
      <c r="AN138" t="s">
        <v>957</v>
      </c>
      <c r="AO138" t="s">
        <v>2112</v>
      </c>
      <c r="AP138" t="s">
        <v>2113</v>
      </c>
      <c r="AQ138" t="s">
        <v>74</v>
      </c>
      <c r="AR138" t="s">
        <v>2114</v>
      </c>
      <c r="AS138" t="s">
        <v>2115</v>
      </c>
      <c r="AT138" t="s">
        <v>2319</v>
      </c>
      <c r="AU138">
        <v>2023</v>
      </c>
      <c r="AV138">
        <v>966</v>
      </c>
      <c r="AW138" t="s">
        <v>74</v>
      </c>
      <c r="AX138" t="s">
        <v>74</v>
      </c>
      <c r="AY138" t="s">
        <v>74</v>
      </c>
      <c r="AZ138" t="s">
        <v>74</v>
      </c>
      <c r="BA138" t="s">
        <v>74</v>
      </c>
      <c r="BB138" t="s">
        <v>74</v>
      </c>
      <c r="BC138" t="s">
        <v>74</v>
      </c>
      <c r="BD138">
        <v>171543</v>
      </c>
      <c r="BE138" t="s">
        <v>2546</v>
      </c>
      <c r="BF138" t="str">
        <f>HYPERLINK("http://dx.doi.org/10.1016/j.jallcom.2023.171543","http://dx.doi.org/10.1016/j.jallcom.2023.171543")</f>
        <v>http://dx.doi.org/10.1016/j.jallcom.2023.171543</v>
      </c>
      <c r="BG138" t="s">
        <v>74</v>
      </c>
      <c r="BH138" t="s">
        <v>74</v>
      </c>
      <c r="BI138">
        <v>10</v>
      </c>
      <c r="BJ138" t="s">
        <v>2118</v>
      </c>
      <c r="BK138" t="s">
        <v>100</v>
      </c>
      <c r="BL138" t="s">
        <v>2119</v>
      </c>
      <c r="BM138" t="s">
        <v>2547</v>
      </c>
      <c r="BN138" t="s">
        <v>74</v>
      </c>
      <c r="BO138" t="s">
        <v>74</v>
      </c>
      <c r="BP138" t="s">
        <v>74</v>
      </c>
      <c r="BQ138" t="s">
        <v>74</v>
      </c>
      <c r="BR138" t="s">
        <v>104</v>
      </c>
      <c r="BS138" t="s">
        <v>2548</v>
      </c>
      <c r="BT138" t="str">
        <f>HYPERLINK("https%3A%2F%2Fwww.webofscience.com%2Fwos%2Fwoscc%2Ffull-record%2FWOS:001051615700001","View Full Record in Web of Science")</f>
        <v>View Full Record in Web of Science</v>
      </c>
    </row>
    <row r="139" spans="1:72" x14ac:dyDescent="0.15">
      <c r="A139" t="s">
        <v>72</v>
      </c>
      <c r="B139" t="s">
        <v>2549</v>
      </c>
      <c r="C139" t="s">
        <v>74</v>
      </c>
      <c r="D139" t="s">
        <v>74</v>
      </c>
      <c r="E139" t="s">
        <v>74</v>
      </c>
      <c r="F139" t="s">
        <v>2550</v>
      </c>
      <c r="G139" t="s">
        <v>74</v>
      </c>
      <c r="H139" t="s">
        <v>74</v>
      </c>
      <c r="I139" t="s">
        <v>2551</v>
      </c>
      <c r="J139" t="s">
        <v>1793</v>
      </c>
      <c r="K139" t="s">
        <v>74</v>
      </c>
      <c r="L139" t="s">
        <v>74</v>
      </c>
      <c r="M139" t="s">
        <v>78</v>
      </c>
      <c r="N139" t="s">
        <v>79</v>
      </c>
      <c r="O139" t="s">
        <v>74</v>
      </c>
      <c r="P139" t="s">
        <v>74</v>
      </c>
      <c r="Q139" t="s">
        <v>74</v>
      </c>
      <c r="R139" t="s">
        <v>74</v>
      </c>
      <c r="S139" t="s">
        <v>74</v>
      </c>
      <c r="T139" t="s">
        <v>2552</v>
      </c>
      <c r="U139" t="s">
        <v>2553</v>
      </c>
      <c r="V139" t="s">
        <v>2554</v>
      </c>
      <c r="W139" t="s">
        <v>2555</v>
      </c>
      <c r="X139" t="s">
        <v>2556</v>
      </c>
      <c r="Y139" t="s">
        <v>2557</v>
      </c>
      <c r="Z139" t="s">
        <v>2558</v>
      </c>
      <c r="AA139" t="s">
        <v>74</v>
      </c>
      <c r="AB139" t="s">
        <v>74</v>
      </c>
      <c r="AC139" t="s">
        <v>2559</v>
      </c>
      <c r="AD139" t="s">
        <v>2560</v>
      </c>
      <c r="AE139" t="s">
        <v>2561</v>
      </c>
      <c r="AF139" t="s">
        <v>74</v>
      </c>
      <c r="AG139">
        <v>42</v>
      </c>
      <c r="AH139">
        <v>0</v>
      </c>
      <c r="AI139">
        <v>0</v>
      </c>
      <c r="AJ139">
        <v>13</v>
      </c>
      <c r="AK139">
        <v>13</v>
      </c>
      <c r="AL139" t="s">
        <v>173</v>
      </c>
      <c r="AM139" t="s">
        <v>121</v>
      </c>
      <c r="AN139" t="s">
        <v>174</v>
      </c>
      <c r="AO139" t="s">
        <v>1805</v>
      </c>
      <c r="AP139" t="s">
        <v>1806</v>
      </c>
      <c r="AQ139" t="s">
        <v>74</v>
      </c>
      <c r="AR139" t="s">
        <v>1807</v>
      </c>
      <c r="AS139" t="s">
        <v>1808</v>
      </c>
      <c r="AT139" t="s">
        <v>2319</v>
      </c>
      <c r="AU139">
        <v>2023</v>
      </c>
      <c r="AV139">
        <v>302</v>
      </c>
      <c r="AW139" t="s">
        <v>74</v>
      </c>
      <c r="AX139" t="s">
        <v>74</v>
      </c>
      <c r="AY139" t="s">
        <v>74</v>
      </c>
      <c r="AZ139" t="s">
        <v>74</v>
      </c>
      <c r="BA139" t="s">
        <v>74</v>
      </c>
      <c r="BB139" t="s">
        <v>74</v>
      </c>
      <c r="BC139" t="s">
        <v>74</v>
      </c>
      <c r="BD139">
        <v>123120</v>
      </c>
      <c r="BE139" t="s">
        <v>2562</v>
      </c>
      <c r="BF139" t="str">
        <f>HYPERLINK("http://dx.doi.org/10.1016/j.saa.2023.123120","http://dx.doi.org/10.1016/j.saa.2023.123120")</f>
        <v>http://dx.doi.org/10.1016/j.saa.2023.123120</v>
      </c>
      <c r="BG139" t="s">
        <v>74</v>
      </c>
      <c r="BH139" t="s">
        <v>74</v>
      </c>
      <c r="BI139">
        <v>8</v>
      </c>
      <c r="BJ139" t="s">
        <v>1810</v>
      </c>
      <c r="BK139" t="s">
        <v>100</v>
      </c>
      <c r="BL139" t="s">
        <v>1810</v>
      </c>
      <c r="BM139" t="s">
        <v>2563</v>
      </c>
      <c r="BN139">
        <v>37453381</v>
      </c>
      <c r="BO139" t="s">
        <v>74</v>
      </c>
      <c r="BP139" t="s">
        <v>74</v>
      </c>
      <c r="BQ139" t="s">
        <v>74</v>
      </c>
      <c r="BR139" t="s">
        <v>104</v>
      </c>
      <c r="BS139" t="s">
        <v>2564</v>
      </c>
      <c r="BT139" t="str">
        <f>HYPERLINK("https%3A%2F%2Fwww.webofscience.com%2Fwos%2Fwoscc%2Ffull-record%2FWOS:001058525300001","View Full Record in Web of Science")</f>
        <v>View Full Record in Web of Science</v>
      </c>
    </row>
    <row r="140" spans="1:72" x14ac:dyDescent="0.15">
      <c r="A140" t="s">
        <v>72</v>
      </c>
      <c r="B140" t="s">
        <v>2565</v>
      </c>
      <c r="C140" t="s">
        <v>74</v>
      </c>
      <c r="D140" t="s">
        <v>74</v>
      </c>
      <c r="E140" t="s">
        <v>74</v>
      </c>
      <c r="F140" t="s">
        <v>2566</v>
      </c>
      <c r="G140" t="s">
        <v>74</v>
      </c>
      <c r="H140" t="s">
        <v>74</v>
      </c>
      <c r="I140" t="s">
        <v>2567</v>
      </c>
      <c r="J140" t="s">
        <v>2568</v>
      </c>
      <c r="K140" t="s">
        <v>74</v>
      </c>
      <c r="L140" t="s">
        <v>74</v>
      </c>
      <c r="M140" t="s">
        <v>78</v>
      </c>
      <c r="N140" t="s">
        <v>79</v>
      </c>
      <c r="O140" t="s">
        <v>74</v>
      </c>
      <c r="P140" t="s">
        <v>74</v>
      </c>
      <c r="Q140" t="s">
        <v>74</v>
      </c>
      <c r="R140" t="s">
        <v>74</v>
      </c>
      <c r="S140" t="s">
        <v>74</v>
      </c>
      <c r="T140" t="s">
        <v>2569</v>
      </c>
      <c r="U140" t="s">
        <v>2570</v>
      </c>
      <c r="V140" t="s">
        <v>2571</v>
      </c>
      <c r="W140" t="s">
        <v>2572</v>
      </c>
      <c r="X140" t="s">
        <v>2573</v>
      </c>
      <c r="Y140" t="s">
        <v>2574</v>
      </c>
      <c r="Z140" t="s">
        <v>2575</v>
      </c>
      <c r="AA140" t="s">
        <v>74</v>
      </c>
      <c r="AB140" t="s">
        <v>74</v>
      </c>
      <c r="AC140" t="s">
        <v>74</v>
      </c>
      <c r="AD140" t="s">
        <v>74</v>
      </c>
      <c r="AE140" t="s">
        <v>74</v>
      </c>
      <c r="AF140" t="s">
        <v>74</v>
      </c>
      <c r="AG140">
        <v>23</v>
      </c>
      <c r="AH140">
        <v>0</v>
      </c>
      <c r="AI140">
        <v>0</v>
      </c>
      <c r="AJ140">
        <v>0</v>
      </c>
      <c r="AK140">
        <v>0</v>
      </c>
      <c r="AL140" t="s">
        <v>90</v>
      </c>
      <c r="AM140" t="s">
        <v>91</v>
      </c>
      <c r="AN140" t="s">
        <v>92</v>
      </c>
      <c r="AO140" t="s">
        <v>74</v>
      </c>
      <c r="AP140" t="s">
        <v>2576</v>
      </c>
      <c r="AQ140" t="s">
        <v>74</v>
      </c>
      <c r="AR140" t="s">
        <v>2577</v>
      </c>
      <c r="AS140" t="s">
        <v>2578</v>
      </c>
      <c r="AT140" t="s">
        <v>2579</v>
      </c>
      <c r="AU140">
        <v>2023</v>
      </c>
      <c r="AV140">
        <v>11</v>
      </c>
      <c r="AW140" t="s">
        <v>74</v>
      </c>
      <c r="AX140" t="s">
        <v>74</v>
      </c>
      <c r="AY140" t="s">
        <v>74</v>
      </c>
      <c r="AZ140" t="s">
        <v>74</v>
      </c>
      <c r="BA140" t="s">
        <v>74</v>
      </c>
      <c r="BB140" t="s">
        <v>74</v>
      </c>
      <c r="BC140" t="s">
        <v>74</v>
      </c>
      <c r="BD140">
        <v>100517</v>
      </c>
      <c r="BE140" t="s">
        <v>2580</v>
      </c>
      <c r="BF140" t="str">
        <f>HYPERLINK("http://dx.doi.org/10.1016/j.ejro.2023.100517","http://dx.doi.org/10.1016/j.ejro.2023.100517")</f>
        <v>http://dx.doi.org/10.1016/j.ejro.2023.100517</v>
      </c>
      <c r="BG140" t="s">
        <v>74</v>
      </c>
      <c r="BH140" t="s">
        <v>74</v>
      </c>
      <c r="BI140">
        <v>5</v>
      </c>
      <c r="BJ140" t="s">
        <v>2581</v>
      </c>
      <c r="BK140" t="s">
        <v>1850</v>
      </c>
      <c r="BL140" t="s">
        <v>2581</v>
      </c>
      <c r="BM140" t="s">
        <v>2582</v>
      </c>
      <c r="BN140">
        <v>37609046</v>
      </c>
      <c r="BO140" t="s">
        <v>2583</v>
      </c>
      <c r="BP140" t="s">
        <v>74</v>
      </c>
      <c r="BQ140" t="s">
        <v>74</v>
      </c>
      <c r="BR140" t="s">
        <v>104</v>
      </c>
      <c r="BS140" t="s">
        <v>2584</v>
      </c>
      <c r="BT140" t="str">
        <f>HYPERLINK("https%3A%2F%2Fwww.webofscience.com%2Fwos%2Fwoscc%2Ffull-record%2FWOS:001058498000001","View Full Record in Web of Science")</f>
        <v>View Full Record in Web of Science</v>
      </c>
    </row>
    <row r="141" spans="1:72" x14ac:dyDescent="0.15">
      <c r="A141" t="s">
        <v>72</v>
      </c>
      <c r="B141" t="s">
        <v>2585</v>
      </c>
      <c r="C141" t="s">
        <v>74</v>
      </c>
      <c r="D141" t="s">
        <v>74</v>
      </c>
      <c r="E141" t="s">
        <v>74</v>
      </c>
      <c r="F141" t="s">
        <v>2586</v>
      </c>
      <c r="G141" t="s">
        <v>74</v>
      </c>
      <c r="H141" t="s">
        <v>74</v>
      </c>
      <c r="I141" t="s">
        <v>2587</v>
      </c>
      <c r="J141" t="s">
        <v>2588</v>
      </c>
      <c r="K141" t="s">
        <v>74</v>
      </c>
      <c r="L141" t="s">
        <v>74</v>
      </c>
      <c r="M141" t="s">
        <v>78</v>
      </c>
      <c r="N141" t="s">
        <v>79</v>
      </c>
      <c r="O141" t="s">
        <v>74</v>
      </c>
      <c r="P141" t="s">
        <v>74</v>
      </c>
      <c r="Q141" t="s">
        <v>74</v>
      </c>
      <c r="R141" t="s">
        <v>74</v>
      </c>
      <c r="S141" t="s">
        <v>74</v>
      </c>
      <c r="T141" t="s">
        <v>2589</v>
      </c>
      <c r="U141" t="s">
        <v>2590</v>
      </c>
      <c r="V141" t="s">
        <v>2591</v>
      </c>
      <c r="W141" t="s">
        <v>2592</v>
      </c>
      <c r="X141" t="s">
        <v>2593</v>
      </c>
      <c r="Y141" t="s">
        <v>2594</v>
      </c>
      <c r="Z141" t="s">
        <v>2595</v>
      </c>
      <c r="AA141" t="s">
        <v>2596</v>
      </c>
      <c r="AB141" t="s">
        <v>2597</v>
      </c>
      <c r="AC141" t="s">
        <v>2598</v>
      </c>
      <c r="AD141" t="s">
        <v>2599</v>
      </c>
      <c r="AE141" t="s">
        <v>2600</v>
      </c>
      <c r="AF141" t="s">
        <v>74</v>
      </c>
      <c r="AG141">
        <v>67</v>
      </c>
      <c r="AH141">
        <v>1</v>
      </c>
      <c r="AI141">
        <v>1</v>
      </c>
      <c r="AJ141">
        <v>3</v>
      </c>
      <c r="AK141">
        <v>3</v>
      </c>
      <c r="AL141" t="s">
        <v>90</v>
      </c>
      <c r="AM141" t="s">
        <v>91</v>
      </c>
      <c r="AN141" t="s">
        <v>92</v>
      </c>
      <c r="AO141" t="s">
        <v>74</v>
      </c>
      <c r="AP141" t="s">
        <v>2601</v>
      </c>
      <c r="AQ141" t="s">
        <v>74</v>
      </c>
      <c r="AR141" t="s">
        <v>2602</v>
      </c>
      <c r="AS141" t="s">
        <v>2603</v>
      </c>
      <c r="AT141" t="s">
        <v>2579</v>
      </c>
      <c r="AU141">
        <v>2023</v>
      </c>
      <c r="AV141">
        <v>5</v>
      </c>
      <c r="AW141" t="s">
        <v>74</v>
      </c>
      <c r="AX141" t="s">
        <v>74</v>
      </c>
      <c r="AY141" t="s">
        <v>74</v>
      </c>
      <c r="AZ141" t="s">
        <v>74</v>
      </c>
      <c r="BA141" t="s">
        <v>74</v>
      </c>
      <c r="BB141" t="s">
        <v>74</v>
      </c>
      <c r="BC141" t="s">
        <v>74</v>
      </c>
      <c r="BD141">
        <v>100176</v>
      </c>
      <c r="BE141" t="s">
        <v>2604</v>
      </c>
      <c r="BF141" t="str">
        <f>HYPERLINK("http://dx.doi.org/10.1016/j.ijpx.2023.100176","http://dx.doi.org/10.1016/j.ijpx.2023.100176")</f>
        <v>http://dx.doi.org/10.1016/j.ijpx.2023.100176</v>
      </c>
      <c r="BG141" t="s">
        <v>74</v>
      </c>
      <c r="BH141" t="s">
        <v>74</v>
      </c>
      <c r="BI141">
        <v>9</v>
      </c>
      <c r="BJ141" t="s">
        <v>2605</v>
      </c>
      <c r="BK141" t="s">
        <v>100</v>
      </c>
      <c r="BL141" t="s">
        <v>2605</v>
      </c>
      <c r="BM141" t="s">
        <v>2606</v>
      </c>
      <c r="BN141">
        <v>37396625</v>
      </c>
      <c r="BO141" t="s">
        <v>2425</v>
      </c>
      <c r="BP141" t="s">
        <v>74</v>
      </c>
      <c r="BQ141" t="s">
        <v>74</v>
      </c>
      <c r="BR141" t="s">
        <v>104</v>
      </c>
      <c r="BS141" t="s">
        <v>2607</v>
      </c>
      <c r="BT141" t="str">
        <f>HYPERLINK("https%3A%2F%2Fwww.webofscience.com%2Fwos%2Fwoscc%2Ffull-record%2FWOS:001062738600001","View Full Record in Web of Science")</f>
        <v>View Full Record in Web of Science</v>
      </c>
    </row>
    <row r="142" spans="1:72" x14ac:dyDescent="0.15">
      <c r="A142" t="s">
        <v>72</v>
      </c>
      <c r="B142" t="s">
        <v>2608</v>
      </c>
      <c r="C142" t="s">
        <v>74</v>
      </c>
      <c r="D142" t="s">
        <v>74</v>
      </c>
      <c r="E142" t="s">
        <v>74</v>
      </c>
      <c r="F142" t="s">
        <v>2609</v>
      </c>
      <c r="G142" t="s">
        <v>74</v>
      </c>
      <c r="H142" t="s">
        <v>74</v>
      </c>
      <c r="I142" t="s">
        <v>2610</v>
      </c>
      <c r="J142" t="s">
        <v>2611</v>
      </c>
      <c r="K142" t="s">
        <v>74</v>
      </c>
      <c r="L142" t="s">
        <v>74</v>
      </c>
      <c r="M142" t="s">
        <v>78</v>
      </c>
      <c r="N142" t="s">
        <v>79</v>
      </c>
      <c r="O142" t="s">
        <v>74</v>
      </c>
      <c r="P142" t="s">
        <v>74</v>
      </c>
      <c r="Q142" t="s">
        <v>74</v>
      </c>
      <c r="R142" t="s">
        <v>74</v>
      </c>
      <c r="S142" t="s">
        <v>74</v>
      </c>
      <c r="T142" t="s">
        <v>2612</v>
      </c>
      <c r="U142" t="s">
        <v>2613</v>
      </c>
      <c r="V142" t="s">
        <v>2614</v>
      </c>
      <c r="W142" t="s">
        <v>2615</v>
      </c>
      <c r="X142" t="s">
        <v>2616</v>
      </c>
      <c r="Y142" t="s">
        <v>2617</v>
      </c>
      <c r="Z142" t="s">
        <v>2618</v>
      </c>
      <c r="AA142" t="s">
        <v>74</v>
      </c>
      <c r="AB142" t="s">
        <v>74</v>
      </c>
      <c r="AC142" t="s">
        <v>74</v>
      </c>
      <c r="AD142" t="s">
        <v>74</v>
      </c>
      <c r="AE142" t="s">
        <v>74</v>
      </c>
      <c r="AF142" t="s">
        <v>74</v>
      </c>
      <c r="AG142">
        <v>44</v>
      </c>
      <c r="AH142">
        <v>0</v>
      </c>
      <c r="AI142">
        <v>0</v>
      </c>
      <c r="AJ142">
        <v>0</v>
      </c>
      <c r="AK142">
        <v>0</v>
      </c>
      <c r="AL142" t="s">
        <v>90</v>
      </c>
      <c r="AM142" t="s">
        <v>91</v>
      </c>
      <c r="AN142" t="s">
        <v>92</v>
      </c>
      <c r="AO142" t="s">
        <v>2619</v>
      </c>
      <c r="AP142" t="s">
        <v>2620</v>
      </c>
      <c r="AQ142" t="s">
        <v>74</v>
      </c>
      <c r="AR142" t="s">
        <v>2621</v>
      </c>
      <c r="AS142" t="s">
        <v>2622</v>
      </c>
      <c r="AT142" t="s">
        <v>2579</v>
      </c>
      <c r="AU142">
        <v>2023</v>
      </c>
      <c r="AV142">
        <v>188</v>
      </c>
      <c r="AW142" t="s">
        <v>74</v>
      </c>
      <c r="AX142" t="s">
        <v>74</v>
      </c>
      <c r="AY142" t="s">
        <v>74</v>
      </c>
      <c r="AZ142" t="s">
        <v>74</v>
      </c>
      <c r="BA142" t="s">
        <v>74</v>
      </c>
      <c r="BB142" t="s">
        <v>74</v>
      </c>
      <c r="BC142" t="s">
        <v>74</v>
      </c>
      <c r="BD142">
        <v>107815</v>
      </c>
      <c r="BE142" t="s">
        <v>2623</v>
      </c>
      <c r="BF142" t="str">
        <f>HYPERLINK("http://dx.doi.org/10.1016/j.csda.2023.107815","http://dx.doi.org/10.1016/j.csda.2023.107815")</f>
        <v>http://dx.doi.org/10.1016/j.csda.2023.107815</v>
      </c>
      <c r="BG142" t="s">
        <v>74</v>
      </c>
      <c r="BH142" t="s">
        <v>74</v>
      </c>
      <c r="BI142">
        <v>22</v>
      </c>
      <c r="BJ142" t="s">
        <v>2624</v>
      </c>
      <c r="BK142" t="s">
        <v>100</v>
      </c>
      <c r="BL142" t="s">
        <v>2625</v>
      </c>
      <c r="BM142" t="s">
        <v>2626</v>
      </c>
      <c r="BN142" t="s">
        <v>74</v>
      </c>
      <c r="BO142" t="s">
        <v>74</v>
      </c>
      <c r="BP142" t="s">
        <v>74</v>
      </c>
      <c r="BQ142" t="s">
        <v>74</v>
      </c>
      <c r="BR142" t="s">
        <v>104</v>
      </c>
      <c r="BS142" t="s">
        <v>2627</v>
      </c>
      <c r="BT142" t="str">
        <f>HYPERLINK("https%3A%2F%2Fwww.webofscience.com%2Fwos%2Fwoscc%2Ffull-record%2FWOS:001069937300001","View Full Record in Web of Science")</f>
        <v>View Full Record in Web of Science</v>
      </c>
    </row>
    <row r="143" spans="1:72" x14ac:dyDescent="0.15">
      <c r="A143" t="s">
        <v>72</v>
      </c>
      <c r="B143" t="s">
        <v>2628</v>
      </c>
      <c r="C143" t="s">
        <v>74</v>
      </c>
      <c r="D143" t="s">
        <v>74</v>
      </c>
      <c r="E143" t="s">
        <v>74</v>
      </c>
      <c r="F143" t="s">
        <v>2629</v>
      </c>
      <c r="G143" t="s">
        <v>74</v>
      </c>
      <c r="H143" t="s">
        <v>74</v>
      </c>
      <c r="I143" t="s">
        <v>2630</v>
      </c>
      <c r="J143" t="s">
        <v>2631</v>
      </c>
      <c r="K143" t="s">
        <v>74</v>
      </c>
      <c r="L143" t="s">
        <v>74</v>
      </c>
      <c r="M143" t="s">
        <v>78</v>
      </c>
      <c r="N143" t="s">
        <v>79</v>
      </c>
      <c r="O143" t="s">
        <v>74</v>
      </c>
      <c r="P143" t="s">
        <v>74</v>
      </c>
      <c r="Q143" t="s">
        <v>74</v>
      </c>
      <c r="R143" t="s">
        <v>74</v>
      </c>
      <c r="S143" t="s">
        <v>74</v>
      </c>
      <c r="T143" t="s">
        <v>2632</v>
      </c>
      <c r="U143" t="s">
        <v>2633</v>
      </c>
      <c r="V143" t="s">
        <v>2634</v>
      </c>
      <c r="W143" t="s">
        <v>2635</v>
      </c>
      <c r="X143" t="s">
        <v>2636</v>
      </c>
      <c r="Y143" t="s">
        <v>2637</v>
      </c>
      <c r="Z143" t="s">
        <v>2638</v>
      </c>
      <c r="AA143" t="s">
        <v>2639</v>
      </c>
      <c r="AB143" t="s">
        <v>74</v>
      </c>
      <c r="AC143" t="s">
        <v>2640</v>
      </c>
      <c r="AD143" t="s">
        <v>2641</v>
      </c>
      <c r="AE143" t="s">
        <v>2642</v>
      </c>
      <c r="AF143" t="s">
        <v>74</v>
      </c>
      <c r="AG143">
        <v>57</v>
      </c>
      <c r="AH143">
        <v>0</v>
      </c>
      <c r="AI143">
        <v>0</v>
      </c>
      <c r="AJ143">
        <v>8</v>
      </c>
      <c r="AK143">
        <v>8</v>
      </c>
      <c r="AL143" t="s">
        <v>90</v>
      </c>
      <c r="AM143" t="s">
        <v>91</v>
      </c>
      <c r="AN143" t="s">
        <v>92</v>
      </c>
      <c r="AO143" t="s">
        <v>2643</v>
      </c>
      <c r="AP143" t="s">
        <v>74</v>
      </c>
      <c r="AQ143" t="s">
        <v>74</v>
      </c>
      <c r="AR143" t="s">
        <v>2644</v>
      </c>
      <c r="AS143" t="s">
        <v>2645</v>
      </c>
      <c r="AT143" t="s">
        <v>2579</v>
      </c>
      <c r="AU143">
        <v>2023</v>
      </c>
      <c r="AV143">
        <v>19</v>
      </c>
      <c r="AW143" t="s">
        <v>74</v>
      </c>
      <c r="AX143" t="s">
        <v>74</v>
      </c>
      <c r="AY143" t="s">
        <v>74</v>
      </c>
      <c r="AZ143" t="s">
        <v>74</v>
      </c>
      <c r="BA143" t="s">
        <v>74</v>
      </c>
      <c r="BB143" t="s">
        <v>74</v>
      </c>
      <c r="BC143" t="s">
        <v>74</v>
      </c>
      <c r="BD143" t="s">
        <v>2646</v>
      </c>
      <c r="BE143" t="s">
        <v>2647</v>
      </c>
      <c r="BF143" t="str">
        <f>HYPERLINK("http://dx.doi.org/10.1016/j.cscm.2023.e02388","http://dx.doi.org/10.1016/j.cscm.2023.e02388")</f>
        <v>http://dx.doi.org/10.1016/j.cscm.2023.e02388</v>
      </c>
      <c r="BG143" t="s">
        <v>74</v>
      </c>
      <c r="BH143" t="s">
        <v>74</v>
      </c>
      <c r="BI143">
        <v>18</v>
      </c>
      <c r="BJ143" t="s">
        <v>2648</v>
      </c>
      <c r="BK143" t="s">
        <v>100</v>
      </c>
      <c r="BL143" t="s">
        <v>2649</v>
      </c>
      <c r="BM143" t="s">
        <v>2650</v>
      </c>
      <c r="BN143" t="s">
        <v>74</v>
      </c>
      <c r="BO143" t="s">
        <v>295</v>
      </c>
      <c r="BP143" t="s">
        <v>74</v>
      </c>
      <c r="BQ143" t="s">
        <v>74</v>
      </c>
      <c r="BR143" t="s">
        <v>104</v>
      </c>
      <c r="BS143" t="s">
        <v>2651</v>
      </c>
      <c r="BT143" t="str">
        <f>HYPERLINK("https%3A%2F%2Fwww.webofscience.com%2Fwos%2Fwoscc%2Ffull-record%2FWOS:001057990500001","View Full Record in Web of Science")</f>
        <v>View Full Record in Web of Science</v>
      </c>
    </row>
    <row r="144" spans="1:72" x14ac:dyDescent="0.15">
      <c r="A144" t="s">
        <v>72</v>
      </c>
      <c r="B144" t="s">
        <v>2652</v>
      </c>
      <c r="C144" t="s">
        <v>74</v>
      </c>
      <c r="D144" t="s">
        <v>74</v>
      </c>
      <c r="E144" t="s">
        <v>74</v>
      </c>
      <c r="F144" t="s">
        <v>2653</v>
      </c>
      <c r="G144" t="s">
        <v>74</v>
      </c>
      <c r="H144" t="s">
        <v>74</v>
      </c>
      <c r="I144" t="s">
        <v>2654</v>
      </c>
      <c r="J144" t="s">
        <v>2655</v>
      </c>
      <c r="K144" t="s">
        <v>74</v>
      </c>
      <c r="L144" t="s">
        <v>74</v>
      </c>
      <c r="M144" t="s">
        <v>78</v>
      </c>
      <c r="N144" t="s">
        <v>79</v>
      </c>
      <c r="O144" t="s">
        <v>74</v>
      </c>
      <c r="P144" t="s">
        <v>74</v>
      </c>
      <c r="Q144" t="s">
        <v>74</v>
      </c>
      <c r="R144" t="s">
        <v>74</v>
      </c>
      <c r="S144" t="s">
        <v>74</v>
      </c>
      <c r="T144" t="s">
        <v>2656</v>
      </c>
      <c r="U144" t="s">
        <v>2657</v>
      </c>
      <c r="V144" t="s">
        <v>2658</v>
      </c>
      <c r="W144" t="s">
        <v>2659</v>
      </c>
      <c r="X144" t="s">
        <v>74</v>
      </c>
      <c r="Y144" t="s">
        <v>2660</v>
      </c>
      <c r="Z144" t="s">
        <v>2661</v>
      </c>
      <c r="AA144" t="s">
        <v>2662</v>
      </c>
      <c r="AB144" t="s">
        <v>2663</v>
      </c>
      <c r="AC144" t="s">
        <v>74</v>
      </c>
      <c r="AD144" t="s">
        <v>74</v>
      </c>
      <c r="AE144" t="s">
        <v>74</v>
      </c>
      <c r="AF144" t="s">
        <v>74</v>
      </c>
      <c r="AG144">
        <v>53</v>
      </c>
      <c r="AH144">
        <v>0</v>
      </c>
      <c r="AI144">
        <v>0</v>
      </c>
      <c r="AJ144">
        <v>0</v>
      </c>
      <c r="AK144">
        <v>0</v>
      </c>
      <c r="AL144" t="s">
        <v>90</v>
      </c>
      <c r="AM144" t="s">
        <v>91</v>
      </c>
      <c r="AN144" t="s">
        <v>92</v>
      </c>
      <c r="AO144" t="s">
        <v>2664</v>
      </c>
      <c r="AP144" t="s">
        <v>74</v>
      </c>
      <c r="AQ144" t="s">
        <v>74</v>
      </c>
      <c r="AR144" t="s">
        <v>2665</v>
      </c>
      <c r="AS144" t="s">
        <v>2666</v>
      </c>
      <c r="AT144" t="s">
        <v>2579</v>
      </c>
      <c r="AU144">
        <v>2023</v>
      </c>
      <c r="AV144">
        <v>14</v>
      </c>
      <c r="AW144" t="s">
        <v>74</v>
      </c>
      <c r="AX144" t="s">
        <v>74</v>
      </c>
      <c r="AY144" t="s">
        <v>74</v>
      </c>
      <c r="AZ144" t="s">
        <v>74</v>
      </c>
      <c r="BA144" t="s">
        <v>74</v>
      </c>
      <c r="BB144" t="s">
        <v>74</v>
      </c>
      <c r="BC144" t="s">
        <v>74</v>
      </c>
      <c r="BD144">
        <v>100705</v>
      </c>
      <c r="BE144" t="s">
        <v>2667</v>
      </c>
      <c r="BF144" t="str">
        <f>HYPERLINK("http://dx.doi.org/10.1016/j.jafr.2023.100705","http://dx.doi.org/10.1016/j.jafr.2023.100705")</f>
        <v>http://dx.doi.org/10.1016/j.jafr.2023.100705</v>
      </c>
      <c r="BG144" t="s">
        <v>74</v>
      </c>
      <c r="BH144" t="s">
        <v>74</v>
      </c>
      <c r="BI144">
        <v>8</v>
      </c>
      <c r="BJ144" t="s">
        <v>2668</v>
      </c>
      <c r="BK144" t="s">
        <v>1850</v>
      </c>
      <c r="BL144" t="s">
        <v>2669</v>
      </c>
      <c r="BM144" t="s">
        <v>2670</v>
      </c>
      <c r="BN144" t="s">
        <v>74</v>
      </c>
      <c r="BO144" t="s">
        <v>295</v>
      </c>
      <c r="BP144" t="s">
        <v>74</v>
      </c>
      <c r="BQ144" t="s">
        <v>74</v>
      </c>
      <c r="BR144" t="s">
        <v>104</v>
      </c>
      <c r="BS144" t="s">
        <v>2671</v>
      </c>
      <c r="BT144" t="str">
        <f>HYPERLINK("https%3A%2F%2Fwww.webofscience.com%2Fwos%2Fwoscc%2Ffull-record%2FWOS:001055413600001","View Full Record in Web of Science")</f>
        <v>View Full Record in Web of Science</v>
      </c>
    </row>
    <row r="145" spans="1:72" x14ac:dyDescent="0.15">
      <c r="A145" t="s">
        <v>72</v>
      </c>
      <c r="B145" t="s">
        <v>2672</v>
      </c>
      <c r="C145" t="s">
        <v>74</v>
      </c>
      <c r="D145" t="s">
        <v>74</v>
      </c>
      <c r="E145" t="s">
        <v>74</v>
      </c>
      <c r="F145" t="s">
        <v>2673</v>
      </c>
      <c r="G145" t="s">
        <v>74</v>
      </c>
      <c r="H145" t="s">
        <v>74</v>
      </c>
      <c r="I145" t="s">
        <v>2674</v>
      </c>
      <c r="J145" t="s">
        <v>2675</v>
      </c>
      <c r="K145" t="s">
        <v>74</v>
      </c>
      <c r="L145" t="s">
        <v>74</v>
      </c>
      <c r="M145" t="s">
        <v>78</v>
      </c>
      <c r="N145" t="s">
        <v>241</v>
      </c>
      <c r="O145" t="s">
        <v>74</v>
      </c>
      <c r="P145" t="s">
        <v>74</v>
      </c>
      <c r="Q145" t="s">
        <v>74</v>
      </c>
      <c r="R145" t="s">
        <v>74</v>
      </c>
      <c r="S145" t="s">
        <v>74</v>
      </c>
      <c r="T145" t="s">
        <v>2676</v>
      </c>
      <c r="U145" t="s">
        <v>2677</v>
      </c>
      <c r="V145" t="s">
        <v>2678</v>
      </c>
      <c r="W145" t="s">
        <v>2679</v>
      </c>
      <c r="X145" t="s">
        <v>2680</v>
      </c>
      <c r="Y145" t="s">
        <v>2681</v>
      </c>
      <c r="Z145" t="s">
        <v>2682</v>
      </c>
      <c r="AA145" t="s">
        <v>74</v>
      </c>
      <c r="AB145" t="s">
        <v>2683</v>
      </c>
      <c r="AC145" t="s">
        <v>74</v>
      </c>
      <c r="AD145" t="s">
        <v>74</v>
      </c>
      <c r="AE145" t="s">
        <v>74</v>
      </c>
      <c r="AF145" t="s">
        <v>74</v>
      </c>
      <c r="AG145">
        <v>37</v>
      </c>
      <c r="AH145">
        <v>0</v>
      </c>
      <c r="AI145">
        <v>0</v>
      </c>
      <c r="AJ145">
        <v>0</v>
      </c>
      <c r="AK145">
        <v>0</v>
      </c>
      <c r="AL145" t="s">
        <v>90</v>
      </c>
      <c r="AM145" t="s">
        <v>91</v>
      </c>
      <c r="AN145" t="s">
        <v>92</v>
      </c>
      <c r="AO145" t="s">
        <v>2684</v>
      </c>
      <c r="AP145" t="s">
        <v>2685</v>
      </c>
      <c r="AQ145" t="s">
        <v>74</v>
      </c>
      <c r="AR145" t="s">
        <v>2686</v>
      </c>
      <c r="AS145" t="s">
        <v>2687</v>
      </c>
      <c r="AT145" t="s">
        <v>2579</v>
      </c>
      <c r="AU145">
        <v>2023</v>
      </c>
      <c r="AV145">
        <v>124</v>
      </c>
      <c r="AW145">
        <v>6</v>
      </c>
      <c r="AX145" t="s">
        <v>74</v>
      </c>
      <c r="AY145" t="s">
        <v>74</v>
      </c>
      <c r="AZ145" t="s">
        <v>74</v>
      </c>
      <c r="BA145" t="s">
        <v>74</v>
      </c>
      <c r="BB145" t="s">
        <v>74</v>
      </c>
      <c r="BC145" t="s">
        <v>74</v>
      </c>
      <c r="BD145">
        <v>101467</v>
      </c>
      <c r="BE145" t="s">
        <v>2688</v>
      </c>
      <c r="BF145" t="str">
        <f>HYPERLINK("http://dx.doi.org/10.1016/j.jormas.2023.101467","http://dx.doi.org/10.1016/j.jormas.2023.101467")</f>
        <v>http://dx.doi.org/10.1016/j.jormas.2023.101467</v>
      </c>
      <c r="BG145" t="s">
        <v>74</v>
      </c>
      <c r="BH145" t="s">
        <v>74</v>
      </c>
      <c r="BI145">
        <v>8</v>
      </c>
      <c r="BJ145" t="s">
        <v>2689</v>
      </c>
      <c r="BK145" t="s">
        <v>100</v>
      </c>
      <c r="BL145" t="s">
        <v>2689</v>
      </c>
      <c r="BM145" t="s">
        <v>2690</v>
      </c>
      <c r="BN145">
        <v>37054884</v>
      </c>
      <c r="BO145" t="s">
        <v>74</v>
      </c>
      <c r="BP145" t="s">
        <v>74</v>
      </c>
      <c r="BQ145" t="s">
        <v>74</v>
      </c>
      <c r="BR145" t="s">
        <v>104</v>
      </c>
      <c r="BS145" t="s">
        <v>2691</v>
      </c>
      <c r="BT145" t="str">
        <f>HYPERLINK("https%3A%2F%2Fwww.webofscience.com%2Fwos%2Fwoscc%2Ffull-record%2FWOS:001072029600001","View Full Record in Web of Science")</f>
        <v>View Full Record in Web of Science</v>
      </c>
    </row>
    <row r="146" spans="1:72" x14ac:dyDescent="0.15">
      <c r="A146" t="s">
        <v>72</v>
      </c>
      <c r="B146" t="s">
        <v>2692</v>
      </c>
      <c r="C146" t="s">
        <v>74</v>
      </c>
      <c r="D146" t="s">
        <v>74</v>
      </c>
      <c r="E146" t="s">
        <v>74</v>
      </c>
      <c r="F146" t="s">
        <v>2693</v>
      </c>
      <c r="G146" t="s">
        <v>74</v>
      </c>
      <c r="H146" t="s">
        <v>74</v>
      </c>
      <c r="I146" t="s">
        <v>2694</v>
      </c>
      <c r="J146" t="s">
        <v>2695</v>
      </c>
      <c r="K146" t="s">
        <v>74</v>
      </c>
      <c r="L146" t="s">
        <v>74</v>
      </c>
      <c r="M146" t="s">
        <v>78</v>
      </c>
      <c r="N146" t="s">
        <v>79</v>
      </c>
      <c r="O146" t="s">
        <v>74</v>
      </c>
      <c r="P146" t="s">
        <v>74</v>
      </c>
      <c r="Q146" t="s">
        <v>74</v>
      </c>
      <c r="R146" t="s">
        <v>74</v>
      </c>
      <c r="S146" t="s">
        <v>74</v>
      </c>
      <c r="T146" t="s">
        <v>74</v>
      </c>
      <c r="U146" t="s">
        <v>2696</v>
      </c>
      <c r="V146" t="s">
        <v>2697</v>
      </c>
      <c r="W146" t="s">
        <v>2698</v>
      </c>
      <c r="X146" t="s">
        <v>2699</v>
      </c>
      <c r="Y146" t="s">
        <v>2700</v>
      </c>
      <c r="Z146" t="s">
        <v>2701</v>
      </c>
      <c r="AA146" t="s">
        <v>74</v>
      </c>
      <c r="AB146" t="s">
        <v>74</v>
      </c>
      <c r="AC146" t="s">
        <v>74</v>
      </c>
      <c r="AD146" t="s">
        <v>74</v>
      </c>
      <c r="AE146" t="s">
        <v>74</v>
      </c>
      <c r="AF146" t="s">
        <v>74</v>
      </c>
      <c r="AG146">
        <v>50</v>
      </c>
      <c r="AH146">
        <v>0</v>
      </c>
      <c r="AI146">
        <v>0</v>
      </c>
      <c r="AJ146">
        <v>0</v>
      </c>
      <c r="AK146">
        <v>0</v>
      </c>
      <c r="AL146" t="s">
        <v>90</v>
      </c>
      <c r="AM146" t="s">
        <v>91</v>
      </c>
      <c r="AN146" t="s">
        <v>92</v>
      </c>
      <c r="AO146" t="s">
        <v>2702</v>
      </c>
      <c r="AP146" t="s">
        <v>74</v>
      </c>
      <c r="AQ146" t="s">
        <v>74</v>
      </c>
      <c r="AR146" t="s">
        <v>2703</v>
      </c>
      <c r="AS146" t="s">
        <v>2704</v>
      </c>
      <c r="AT146" t="s">
        <v>2579</v>
      </c>
      <c r="AU146">
        <v>2023</v>
      </c>
      <c r="AV146">
        <v>6</v>
      </c>
      <c r="AW146" t="s">
        <v>74</v>
      </c>
      <c r="AX146" t="s">
        <v>74</v>
      </c>
      <c r="AY146" t="s">
        <v>74</v>
      </c>
      <c r="AZ146" t="s">
        <v>74</v>
      </c>
      <c r="BA146" t="s">
        <v>74</v>
      </c>
      <c r="BB146" t="s">
        <v>74</v>
      </c>
      <c r="BC146" t="s">
        <v>74</v>
      </c>
      <c r="BD146">
        <v>101056</v>
      </c>
      <c r="BE146" t="s">
        <v>2705</v>
      </c>
      <c r="BF146" t="str">
        <f>HYPERLINK("http://dx.doi.org/10.1016/j.rechem.2023.101056","http://dx.doi.org/10.1016/j.rechem.2023.101056")</f>
        <v>http://dx.doi.org/10.1016/j.rechem.2023.101056</v>
      </c>
      <c r="BG146" t="s">
        <v>74</v>
      </c>
      <c r="BH146" t="s">
        <v>74</v>
      </c>
      <c r="BI146">
        <v>7</v>
      </c>
      <c r="BJ146" t="s">
        <v>2706</v>
      </c>
      <c r="BK146" t="s">
        <v>1850</v>
      </c>
      <c r="BL146" t="s">
        <v>395</v>
      </c>
      <c r="BM146" t="s">
        <v>2707</v>
      </c>
      <c r="BN146" t="s">
        <v>74</v>
      </c>
      <c r="BO146" t="s">
        <v>295</v>
      </c>
      <c r="BP146" t="s">
        <v>74</v>
      </c>
      <c r="BQ146" t="s">
        <v>74</v>
      </c>
      <c r="BR146" t="s">
        <v>104</v>
      </c>
      <c r="BS146" t="s">
        <v>2708</v>
      </c>
      <c r="BT146" t="str">
        <f>HYPERLINK("https%3A%2F%2Fwww.webofscience.com%2Fwos%2Fwoscc%2Ffull-record%2FWOS:001053293200001","View Full Record in Web of Science")</f>
        <v>View Full Record in Web of Science</v>
      </c>
    </row>
    <row r="147" spans="1:72" x14ac:dyDescent="0.15">
      <c r="A147" t="s">
        <v>72</v>
      </c>
      <c r="B147" t="s">
        <v>2709</v>
      </c>
      <c r="C147" t="s">
        <v>74</v>
      </c>
      <c r="D147" t="s">
        <v>74</v>
      </c>
      <c r="E147" t="s">
        <v>74</v>
      </c>
      <c r="F147" t="s">
        <v>2710</v>
      </c>
      <c r="G147" t="s">
        <v>74</v>
      </c>
      <c r="H147" t="s">
        <v>74</v>
      </c>
      <c r="I147" t="s">
        <v>2711</v>
      </c>
      <c r="J147" t="s">
        <v>2655</v>
      </c>
      <c r="K147" t="s">
        <v>74</v>
      </c>
      <c r="L147" t="s">
        <v>74</v>
      </c>
      <c r="M147" t="s">
        <v>78</v>
      </c>
      <c r="N147" t="s">
        <v>79</v>
      </c>
      <c r="O147" t="s">
        <v>74</v>
      </c>
      <c r="P147" t="s">
        <v>74</v>
      </c>
      <c r="Q147" t="s">
        <v>74</v>
      </c>
      <c r="R147" t="s">
        <v>74</v>
      </c>
      <c r="S147" t="s">
        <v>74</v>
      </c>
      <c r="T147" t="s">
        <v>2712</v>
      </c>
      <c r="U147" t="s">
        <v>2713</v>
      </c>
      <c r="V147" t="s">
        <v>2714</v>
      </c>
      <c r="W147" t="s">
        <v>2715</v>
      </c>
      <c r="X147" t="s">
        <v>2716</v>
      </c>
      <c r="Y147" t="s">
        <v>2717</v>
      </c>
      <c r="Z147" t="s">
        <v>2718</v>
      </c>
      <c r="AA147" t="s">
        <v>2719</v>
      </c>
      <c r="AB147" t="s">
        <v>2720</v>
      </c>
      <c r="AC147" t="s">
        <v>2721</v>
      </c>
      <c r="AD147" t="s">
        <v>2722</v>
      </c>
      <c r="AE147" t="s">
        <v>2723</v>
      </c>
      <c r="AF147" t="s">
        <v>74</v>
      </c>
      <c r="AG147">
        <v>194</v>
      </c>
      <c r="AH147">
        <v>0</v>
      </c>
      <c r="AI147">
        <v>0</v>
      </c>
      <c r="AJ147">
        <v>3</v>
      </c>
      <c r="AK147">
        <v>3</v>
      </c>
      <c r="AL147" t="s">
        <v>90</v>
      </c>
      <c r="AM147" t="s">
        <v>91</v>
      </c>
      <c r="AN147" t="s">
        <v>92</v>
      </c>
      <c r="AO147" t="s">
        <v>2664</v>
      </c>
      <c r="AP147" t="s">
        <v>74</v>
      </c>
      <c r="AQ147" t="s">
        <v>74</v>
      </c>
      <c r="AR147" t="s">
        <v>2665</v>
      </c>
      <c r="AS147" t="s">
        <v>2666</v>
      </c>
      <c r="AT147" t="s">
        <v>2579</v>
      </c>
      <c r="AU147">
        <v>2023</v>
      </c>
      <c r="AV147">
        <v>14</v>
      </c>
      <c r="AW147" t="s">
        <v>74</v>
      </c>
      <c r="AX147" t="s">
        <v>74</v>
      </c>
      <c r="AY147" t="s">
        <v>74</v>
      </c>
      <c r="AZ147" t="s">
        <v>74</v>
      </c>
      <c r="BA147" t="s">
        <v>74</v>
      </c>
      <c r="BB147" t="s">
        <v>74</v>
      </c>
      <c r="BC147" t="s">
        <v>74</v>
      </c>
      <c r="BD147">
        <v>100714</v>
      </c>
      <c r="BE147" t="s">
        <v>2724</v>
      </c>
      <c r="BF147" t="str">
        <f>HYPERLINK("http://dx.doi.org/10.1016/j.jafr.2023.100714","http://dx.doi.org/10.1016/j.jafr.2023.100714")</f>
        <v>http://dx.doi.org/10.1016/j.jafr.2023.100714</v>
      </c>
      <c r="BG147" t="s">
        <v>74</v>
      </c>
      <c r="BH147" t="s">
        <v>74</v>
      </c>
      <c r="BI147">
        <v>17</v>
      </c>
      <c r="BJ147" t="s">
        <v>2668</v>
      </c>
      <c r="BK147" t="s">
        <v>1850</v>
      </c>
      <c r="BL147" t="s">
        <v>2669</v>
      </c>
      <c r="BM147" t="s">
        <v>2725</v>
      </c>
      <c r="BN147" t="s">
        <v>74</v>
      </c>
      <c r="BO147" t="s">
        <v>295</v>
      </c>
      <c r="BP147" t="s">
        <v>74</v>
      </c>
      <c r="BQ147" t="s">
        <v>74</v>
      </c>
      <c r="BR147" t="s">
        <v>104</v>
      </c>
      <c r="BS147" t="s">
        <v>2726</v>
      </c>
      <c r="BT147" t="str">
        <f>HYPERLINK("https%3A%2F%2Fwww.webofscience.com%2Fwos%2Fwoscc%2Ffull-record%2FWOS:001053015700001","View Full Record in Web of Science")</f>
        <v>View Full Record in Web of Science</v>
      </c>
    </row>
    <row r="148" spans="1:72" x14ac:dyDescent="0.15">
      <c r="A148" t="s">
        <v>72</v>
      </c>
      <c r="B148" t="s">
        <v>2727</v>
      </c>
      <c r="C148" t="s">
        <v>74</v>
      </c>
      <c r="D148" t="s">
        <v>74</v>
      </c>
      <c r="E148" t="s">
        <v>74</v>
      </c>
      <c r="F148" t="s">
        <v>2728</v>
      </c>
      <c r="G148" t="s">
        <v>74</v>
      </c>
      <c r="H148" t="s">
        <v>74</v>
      </c>
      <c r="I148" t="s">
        <v>2729</v>
      </c>
      <c r="J148" t="s">
        <v>2730</v>
      </c>
      <c r="K148" t="s">
        <v>74</v>
      </c>
      <c r="L148" t="s">
        <v>74</v>
      </c>
      <c r="M148" t="s">
        <v>78</v>
      </c>
      <c r="N148" t="s">
        <v>79</v>
      </c>
      <c r="O148" t="s">
        <v>74</v>
      </c>
      <c r="P148" t="s">
        <v>74</v>
      </c>
      <c r="Q148" t="s">
        <v>74</v>
      </c>
      <c r="R148" t="s">
        <v>74</v>
      </c>
      <c r="S148" t="s">
        <v>74</v>
      </c>
      <c r="T148" t="s">
        <v>2731</v>
      </c>
      <c r="U148" t="s">
        <v>2732</v>
      </c>
      <c r="V148" t="s">
        <v>2733</v>
      </c>
      <c r="W148" t="s">
        <v>2734</v>
      </c>
      <c r="X148" t="s">
        <v>2735</v>
      </c>
      <c r="Y148" t="s">
        <v>2736</v>
      </c>
      <c r="Z148" t="s">
        <v>2737</v>
      </c>
      <c r="AA148" t="s">
        <v>2738</v>
      </c>
      <c r="AB148" t="s">
        <v>2739</v>
      </c>
      <c r="AC148" t="s">
        <v>2740</v>
      </c>
      <c r="AD148" t="s">
        <v>2741</v>
      </c>
      <c r="AE148" t="s">
        <v>2742</v>
      </c>
      <c r="AF148" t="s">
        <v>74</v>
      </c>
      <c r="AG148">
        <v>140</v>
      </c>
      <c r="AH148">
        <v>1</v>
      </c>
      <c r="AI148">
        <v>1</v>
      </c>
      <c r="AJ148">
        <v>2</v>
      </c>
      <c r="AK148">
        <v>2</v>
      </c>
      <c r="AL148" t="s">
        <v>90</v>
      </c>
      <c r="AM148" t="s">
        <v>91</v>
      </c>
      <c r="AN148" t="s">
        <v>92</v>
      </c>
      <c r="AO148" t="s">
        <v>2743</v>
      </c>
      <c r="AP148" t="s">
        <v>2744</v>
      </c>
      <c r="AQ148" t="s">
        <v>74</v>
      </c>
      <c r="AR148" t="s">
        <v>2745</v>
      </c>
      <c r="AS148" t="s">
        <v>2746</v>
      </c>
      <c r="AT148" t="s">
        <v>2579</v>
      </c>
      <c r="AU148">
        <v>2023</v>
      </c>
      <c r="AV148">
        <v>124</v>
      </c>
      <c r="AW148" t="s">
        <v>74</v>
      </c>
      <c r="AX148" t="s">
        <v>74</v>
      </c>
      <c r="AY148" t="s">
        <v>74</v>
      </c>
      <c r="AZ148" t="s">
        <v>74</v>
      </c>
      <c r="BA148" t="s">
        <v>74</v>
      </c>
      <c r="BB148">
        <v>165</v>
      </c>
      <c r="BC148">
        <v>187</v>
      </c>
      <c r="BD148" t="s">
        <v>74</v>
      </c>
      <c r="BE148" t="s">
        <v>2747</v>
      </c>
      <c r="BF148" t="str">
        <f>HYPERLINK("http://dx.doi.org/10.1016/j.gr.2023.07.001","http://dx.doi.org/10.1016/j.gr.2023.07.001")</f>
        <v>http://dx.doi.org/10.1016/j.gr.2023.07.001</v>
      </c>
      <c r="BG148" t="s">
        <v>74</v>
      </c>
      <c r="BH148" t="s">
        <v>74</v>
      </c>
      <c r="BI148">
        <v>23</v>
      </c>
      <c r="BJ148" t="s">
        <v>2748</v>
      </c>
      <c r="BK148" t="s">
        <v>100</v>
      </c>
      <c r="BL148" t="s">
        <v>2749</v>
      </c>
      <c r="BM148" t="s">
        <v>2750</v>
      </c>
      <c r="BN148" t="s">
        <v>74</v>
      </c>
      <c r="BO148" t="s">
        <v>74</v>
      </c>
      <c r="BP148" t="s">
        <v>74</v>
      </c>
      <c r="BQ148" t="s">
        <v>74</v>
      </c>
      <c r="BR148" t="s">
        <v>104</v>
      </c>
      <c r="BS148" t="s">
        <v>2751</v>
      </c>
      <c r="BT148" t="str">
        <f>HYPERLINK("https%3A%2F%2Fwww.webofscience.com%2Fwos%2Fwoscc%2Ffull-record%2FWOS:001042950800001","View Full Record in Web of Science")</f>
        <v>View Full Record in Web of Science</v>
      </c>
    </row>
    <row r="149" spans="1:72" x14ac:dyDescent="0.15">
      <c r="A149" t="s">
        <v>72</v>
      </c>
      <c r="B149" t="s">
        <v>2752</v>
      </c>
      <c r="C149" t="s">
        <v>74</v>
      </c>
      <c r="D149" t="s">
        <v>74</v>
      </c>
      <c r="E149" t="s">
        <v>74</v>
      </c>
      <c r="F149" t="s">
        <v>2753</v>
      </c>
      <c r="G149" t="s">
        <v>74</v>
      </c>
      <c r="H149" t="s">
        <v>74</v>
      </c>
      <c r="I149" t="s">
        <v>2754</v>
      </c>
      <c r="J149" t="s">
        <v>2755</v>
      </c>
      <c r="K149" t="s">
        <v>74</v>
      </c>
      <c r="L149" t="s">
        <v>74</v>
      </c>
      <c r="M149" t="s">
        <v>78</v>
      </c>
      <c r="N149" t="s">
        <v>79</v>
      </c>
      <c r="O149" t="s">
        <v>74</v>
      </c>
      <c r="P149" t="s">
        <v>74</v>
      </c>
      <c r="Q149" t="s">
        <v>74</v>
      </c>
      <c r="R149" t="s">
        <v>74</v>
      </c>
      <c r="S149" t="s">
        <v>74</v>
      </c>
      <c r="T149" t="s">
        <v>2756</v>
      </c>
      <c r="U149" t="s">
        <v>2757</v>
      </c>
      <c r="V149" t="s">
        <v>2758</v>
      </c>
      <c r="W149" t="s">
        <v>2759</v>
      </c>
      <c r="X149" t="s">
        <v>2760</v>
      </c>
      <c r="Y149" t="s">
        <v>2761</v>
      </c>
      <c r="Z149" t="s">
        <v>2762</v>
      </c>
      <c r="AA149" t="s">
        <v>74</v>
      </c>
      <c r="AB149" t="s">
        <v>74</v>
      </c>
      <c r="AC149" t="s">
        <v>2763</v>
      </c>
      <c r="AD149" t="s">
        <v>2764</v>
      </c>
      <c r="AE149" t="s">
        <v>2765</v>
      </c>
      <c r="AF149" t="s">
        <v>74</v>
      </c>
      <c r="AG149">
        <v>86</v>
      </c>
      <c r="AH149">
        <v>0</v>
      </c>
      <c r="AI149">
        <v>0</v>
      </c>
      <c r="AJ149">
        <v>2</v>
      </c>
      <c r="AK149">
        <v>2</v>
      </c>
      <c r="AL149" t="s">
        <v>90</v>
      </c>
      <c r="AM149" t="s">
        <v>91</v>
      </c>
      <c r="AN149" t="s">
        <v>92</v>
      </c>
      <c r="AO149" t="s">
        <v>74</v>
      </c>
      <c r="AP149" t="s">
        <v>2766</v>
      </c>
      <c r="AQ149" t="s">
        <v>74</v>
      </c>
      <c r="AR149" t="s">
        <v>2767</v>
      </c>
      <c r="AS149" t="s">
        <v>2768</v>
      </c>
      <c r="AT149" t="s">
        <v>2579</v>
      </c>
      <c r="AU149">
        <v>2023</v>
      </c>
      <c r="AV149">
        <v>42</v>
      </c>
      <c r="AW149" t="s">
        <v>74</v>
      </c>
      <c r="AX149" t="s">
        <v>74</v>
      </c>
      <c r="AY149" t="s">
        <v>74</v>
      </c>
      <c r="AZ149" t="s">
        <v>74</v>
      </c>
      <c r="BA149" t="s">
        <v>74</v>
      </c>
      <c r="BB149" t="s">
        <v>74</v>
      </c>
      <c r="BC149" t="s">
        <v>74</v>
      </c>
      <c r="BD149">
        <v>101290</v>
      </c>
      <c r="BE149" t="s">
        <v>2769</v>
      </c>
      <c r="BF149" t="str">
        <f>HYPERLINK("http://dx.doi.org/10.1016/j.dark.2023.101290","http://dx.doi.org/10.1016/j.dark.2023.101290")</f>
        <v>http://dx.doi.org/10.1016/j.dark.2023.101290</v>
      </c>
      <c r="BG149" t="s">
        <v>74</v>
      </c>
      <c r="BH149" t="s">
        <v>74</v>
      </c>
      <c r="BI149">
        <v>10</v>
      </c>
      <c r="BJ149" t="s">
        <v>585</v>
      </c>
      <c r="BK149" t="s">
        <v>100</v>
      </c>
      <c r="BL149" t="s">
        <v>585</v>
      </c>
      <c r="BM149" t="s">
        <v>2770</v>
      </c>
      <c r="BN149" t="s">
        <v>74</v>
      </c>
      <c r="BO149" t="s">
        <v>103</v>
      </c>
      <c r="BP149" t="s">
        <v>74</v>
      </c>
      <c r="BQ149" t="s">
        <v>74</v>
      </c>
      <c r="BR149" t="s">
        <v>104</v>
      </c>
      <c r="BS149" t="s">
        <v>2771</v>
      </c>
      <c r="BT149" t="str">
        <f>HYPERLINK("https%3A%2F%2Fwww.webofscience.com%2Fwos%2Fwoscc%2Ffull-record%2FWOS:001050766900001","View Full Record in Web of Science")</f>
        <v>View Full Record in Web of Science</v>
      </c>
    </row>
    <row r="150" spans="1:72" x14ac:dyDescent="0.15">
      <c r="A150" t="s">
        <v>72</v>
      </c>
      <c r="B150" t="s">
        <v>2772</v>
      </c>
      <c r="C150" t="s">
        <v>74</v>
      </c>
      <c r="D150" t="s">
        <v>74</v>
      </c>
      <c r="E150" t="s">
        <v>74</v>
      </c>
      <c r="F150" t="s">
        <v>2773</v>
      </c>
      <c r="G150" t="s">
        <v>74</v>
      </c>
      <c r="H150" t="s">
        <v>74</v>
      </c>
      <c r="I150" t="s">
        <v>2774</v>
      </c>
      <c r="J150" t="s">
        <v>2775</v>
      </c>
      <c r="K150" t="s">
        <v>74</v>
      </c>
      <c r="L150" t="s">
        <v>74</v>
      </c>
      <c r="M150" t="s">
        <v>78</v>
      </c>
      <c r="N150" t="s">
        <v>79</v>
      </c>
      <c r="O150" t="s">
        <v>74</v>
      </c>
      <c r="P150" t="s">
        <v>74</v>
      </c>
      <c r="Q150" t="s">
        <v>74</v>
      </c>
      <c r="R150" t="s">
        <v>74</v>
      </c>
      <c r="S150" t="s">
        <v>74</v>
      </c>
      <c r="T150" t="s">
        <v>2776</v>
      </c>
      <c r="U150" t="s">
        <v>2777</v>
      </c>
      <c r="V150" t="s">
        <v>2778</v>
      </c>
      <c r="W150" t="s">
        <v>2779</v>
      </c>
      <c r="X150" t="s">
        <v>2780</v>
      </c>
      <c r="Y150" t="s">
        <v>2781</v>
      </c>
      <c r="Z150" t="s">
        <v>2782</v>
      </c>
      <c r="AA150" t="s">
        <v>74</v>
      </c>
      <c r="AB150" t="s">
        <v>2783</v>
      </c>
      <c r="AC150" t="s">
        <v>74</v>
      </c>
      <c r="AD150" t="s">
        <v>74</v>
      </c>
      <c r="AE150" t="s">
        <v>74</v>
      </c>
      <c r="AF150" t="s">
        <v>74</v>
      </c>
      <c r="AG150">
        <v>102</v>
      </c>
      <c r="AH150">
        <v>1</v>
      </c>
      <c r="AI150">
        <v>1</v>
      </c>
      <c r="AJ150">
        <v>1</v>
      </c>
      <c r="AK150">
        <v>1</v>
      </c>
      <c r="AL150" t="s">
        <v>90</v>
      </c>
      <c r="AM150" t="s">
        <v>91</v>
      </c>
      <c r="AN150" t="s">
        <v>92</v>
      </c>
      <c r="AO150" t="s">
        <v>2784</v>
      </c>
      <c r="AP150" t="s">
        <v>2785</v>
      </c>
      <c r="AQ150" t="s">
        <v>74</v>
      </c>
      <c r="AR150" t="s">
        <v>2786</v>
      </c>
      <c r="AS150" t="s">
        <v>2787</v>
      </c>
      <c r="AT150" t="s">
        <v>2579</v>
      </c>
      <c r="AU150">
        <v>2023</v>
      </c>
      <c r="AV150">
        <v>67</v>
      </c>
      <c r="AW150" t="s">
        <v>74</v>
      </c>
      <c r="AX150" t="s">
        <v>74</v>
      </c>
      <c r="AY150" t="s">
        <v>74</v>
      </c>
      <c r="AZ150" t="s">
        <v>74</v>
      </c>
      <c r="BA150" t="s">
        <v>74</v>
      </c>
      <c r="BB150">
        <v>182</v>
      </c>
      <c r="BC150">
        <v>192</v>
      </c>
      <c r="BD150" t="s">
        <v>74</v>
      </c>
      <c r="BE150" t="s">
        <v>2788</v>
      </c>
      <c r="BF150" t="str">
        <f>HYPERLINK("http://dx.doi.org/10.1016/j.strueco.2023.07.007","http://dx.doi.org/10.1016/j.strueco.2023.07.007")</f>
        <v>http://dx.doi.org/10.1016/j.strueco.2023.07.007</v>
      </c>
      <c r="BG150" t="s">
        <v>74</v>
      </c>
      <c r="BH150" t="s">
        <v>74</v>
      </c>
      <c r="BI150">
        <v>11</v>
      </c>
      <c r="BJ150" t="s">
        <v>2789</v>
      </c>
      <c r="BK150" t="s">
        <v>627</v>
      </c>
      <c r="BL150" t="s">
        <v>628</v>
      </c>
      <c r="BM150" t="s">
        <v>2790</v>
      </c>
      <c r="BN150" t="s">
        <v>74</v>
      </c>
      <c r="BO150" t="s">
        <v>295</v>
      </c>
      <c r="BP150" t="s">
        <v>74</v>
      </c>
      <c r="BQ150" t="s">
        <v>74</v>
      </c>
      <c r="BR150" t="s">
        <v>104</v>
      </c>
      <c r="BS150" t="s">
        <v>2791</v>
      </c>
      <c r="BT150" t="str">
        <f>HYPERLINK("https%3A%2F%2Fwww.webofscience.com%2Fwos%2Fwoscc%2Ffull-record%2FWOS:001059581400001","View Full Record in Web of Science")</f>
        <v>View Full Record in Web of Science</v>
      </c>
    </row>
    <row r="151" spans="1:72" x14ac:dyDescent="0.15">
      <c r="A151" t="s">
        <v>72</v>
      </c>
      <c r="B151" t="s">
        <v>2792</v>
      </c>
      <c r="C151" t="s">
        <v>74</v>
      </c>
      <c r="D151" t="s">
        <v>74</v>
      </c>
      <c r="E151" t="s">
        <v>74</v>
      </c>
      <c r="F151" t="s">
        <v>2793</v>
      </c>
      <c r="G151" t="s">
        <v>74</v>
      </c>
      <c r="H151" t="s">
        <v>74</v>
      </c>
      <c r="I151" t="s">
        <v>2794</v>
      </c>
      <c r="J151" t="s">
        <v>488</v>
      </c>
      <c r="K151" t="s">
        <v>74</v>
      </c>
      <c r="L151" t="s">
        <v>74</v>
      </c>
      <c r="M151" t="s">
        <v>78</v>
      </c>
      <c r="N151" t="s">
        <v>79</v>
      </c>
      <c r="O151" t="s">
        <v>74</v>
      </c>
      <c r="P151" t="s">
        <v>74</v>
      </c>
      <c r="Q151" t="s">
        <v>74</v>
      </c>
      <c r="R151" t="s">
        <v>74</v>
      </c>
      <c r="S151" t="s">
        <v>74</v>
      </c>
      <c r="T151" t="s">
        <v>2795</v>
      </c>
      <c r="U151" t="s">
        <v>2796</v>
      </c>
      <c r="V151" t="s">
        <v>2797</v>
      </c>
      <c r="W151" t="s">
        <v>2798</v>
      </c>
      <c r="X151" t="s">
        <v>2799</v>
      </c>
      <c r="Y151" t="s">
        <v>2800</v>
      </c>
      <c r="Z151" t="s">
        <v>2801</v>
      </c>
      <c r="AA151" t="s">
        <v>74</v>
      </c>
      <c r="AB151" t="s">
        <v>2802</v>
      </c>
      <c r="AC151" t="s">
        <v>2803</v>
      </c>
      <c r="AD151" t="s">
        <v>2804</v>
      </c>
      <c r="AE151" t="s">
        <v>2805</v>
      </c>
      <c r="AF151" t="s">
        <v>74</v>
      </c>
      <c r="AG151">
        <v>44</v>
      </c>
      <c r="AH151">
        <v>0</v>
      </c>
      <c r="AI151">
        <v>0</v>
      </c>
      <c r="AJ151">
        <v>4</v>
      </c>
      <c r="AK151">
        <v>4</v>
      </c>
      <c r="AL151" t="s">
        <v>120</v>
      </c>
      <c r="AM151" t="s">
        <v>121</v>
      </c>
      <c r="AN151" t="s">
        <v>122</v>
      </c>
      <c r="AO151" t="s">
        <v>496</v>
      </c>
      <c r="AP151" t="s">
        <v>497</v>
      </c>
      <c r="AQ151" t="s">
        <v>74</v>
      </c>
      <c r="AR151" t="s">
        <v>498</v>
      </c>
      <c r="AS151" t="s">
        <v>499</v>
      </c>
      <c r="AT151" t="s">
        <v>2579</v>
      </c>
      <c r="AU151">
        <v>2023</v>
      </c>
      <c r="AV151">
        <v>167</v>
      </c>
      <c r="AW151" t="s">
        <v>74</v>
      </c>
      <c r="AX151" t="s">
        <v>74</v>
      </c>
      <c r="AY151" t="s">
        <v>74</v>
      </c>
      <c r="AZ151" t="s">
        <v>74</v>
      </c>
      <c r="BA151" t="s">
        <v>74</v>
      </c>
      <c r="BB151" t="s">
        <v>74</v>
      </c>
      <c r="BC151" t="s">
        <v>74</v>
      </c>
      <c r="BD151">
        <v>109805</v>
      </c>
      <c r="BE151" t="s">
        <v>2806</v>
      </c>
      <c r="BF151" t="str">
        <f>HYPERLINK("http://dx.doi.org/10.1016/j.optlastec.2023.109805","http://dx.doi.org/10.1016/j.optlastec.2023.109805")</f>
        <v>http://dx.doi.org/10.1016/j.optlastec.2023.109805</v>
      </c>
      <c r="BG151" t="s">
        <v>74</v>
      </c>
      <c r="BH151" t="s">
        <v>74</v>
      </c>
      <c r="BI151">
        <v>7</v>
      </c>
      <c r="BJ151" t="s">
        <v>501</v>
      </c>
      <c r="BK151" t="s">
        <v>100</v>
      </c>
      <c r="BL151" t="s">
        <v>502</v>
      </c>
      <c r="BM151" t="s">
        <v>2807</v>
      </c>
      <c r="BN151" t="s">
        <v>74</v>
      </c>
      <c r="BO151" t="s">
        <v>74</v>
      </c>
      <c r="BP151" t="s">
        <v>74</v>
      </c>
      <c r="BQ151" t="s">
        <v>74</v>
      </c>
      <c r="BR151" t="s">
        <v>104</v>
      </c>
      <c r="BS151" t="s">
        <v>2808</v>
      </c>
      <c r="BT151" t="str">
        <f>HYPERLINK("https%3A%2F%2Fwww.webofscience.com%2Fwos%2Fwoscc%2Ffull-record%2FWOS:001047909200001","View Full Record in Web of Science")</f>
        <v>View Full Record in Web of Science</v>
      </c>
    </row>
    <row r="152" spans="1:72" x14ac:dyDescent="0.15">
      <c r="A152" t="s">
        <v>72</v>
      </c>
      <c r="B152" t="s">
        <v>2809</v>
      </c>
      <c r="C152" t="s">
        <v>74</v>
      </c>
      <c r="D152" t="s">
        <v>74</v>
      </c>
      <c r="E152" t="s">
        <v>74</v>
      </c>
      <c r="F152" t="s">
        <v>2810</v>
      </c>
      <c r="G152" t="s">
        <v>74</v>
      </c>
      <c r="H152" t="s">
        <v>74</v>
      </c>
      <c r="I152" t="s">
        <v>2811</v>
      </c>
      <c r="J152" t="s">
        <v>2812</v>
      </c>
      <c r="K152" t="s">
        <v>74</v>
      </c>
      <c r="L152" t="s">
        <v>74</v>
      </c>
      <c r="M152" t="s">
        <v>78</v>
      </c>
      <c r="N152" t="s">
        <v>79</v>
      </c>
      <c r="O152" t="s">
        <v>74</v>
      </c>
      <c r="P152" t="s">
        <v>74</v>
      </c>
      <c r="Q152" t="s">
        <v>74</v>
      </c>
      <c r="R152" t="s">
        <v>74</v>
      </c>
      <c r="S152" t="s">
        <v>74</v>
      </c>
      <c r="T152" t="s">
        <v>2813</v>
      </c>
      <c r="U152" t="s">
        <v>74</v>
      </c>
      <c r="V152" t="s">
        <v>2814</v>
      </c>
      <c r="W152" t="s">
        <v>2815</v>
      </c>
      <c r="X152" t="s">
        <v>2816</v>
      </c>
      <c r="Y152" t="s">
        <v>2817</v>
      </c>
      <c r="Z152" t="s">
        <v>2818</v>
      </c>
      <c r="AA152" t="s">
        <v>74</v>
      </c>
      <c r="AB152" t="s">
        <v>74</v>
      </c>
      <c r="AC152" t="s">
        <v>74</v>
      </c>
      <c r="AD152" t="s">
        <v>74</v>
      </c>
      <c r="AE152" t="s">
        <v>74</v>
      </c>
      <c r="AF152" t="s">
        <v>74</v>
      </c>
      <c r="AG152">
        <v>15</v>
      </c>
      <c r="AH152">
        <v>0</v>
      </c>
      <c r="AI152">
        <v>0</v>
      </c>
      <c r="AJ152">
        <v>0</v>
      </c>
      <c r="AK152">
        <v>0</v>
      </c>
      <c r="AL152" t="s">
        <v>475</v>
      </c>
      <c r="AM152" t="s">
        <v>476</v>
      </c>
      <c r="AN152" t="s">
        <v>477</v>
      </c>
      <c r="AO152" t="s">
        <v>2819</v>
      </c>
      <c r="AP152" t="s">
        <v>2820</v>
      </c>
      <c r="AQ152" t="s">
        <v>74</v>
      </c>
      <c r="AR152" t="s">
        <v>2821</v>
      </c>
      <c r="AS152" t="s">
        <v>2822</v>
      </c>
      <c r="AT152" t="s">
        <v>2579</v>
      </c>
      <c r="AU152">
        <v>2023</v>
      </c>
      <c r="AV152">
        <v>58</v>
      </c>
      <c r="AW152" t="s">
        <v>74</v>
      </c>
      <c r="AX152" t="s">
        <v>373</v>
      </c>
      <c r="AY152" t="s">
        <v>74</v>
      </c>
      <c r="AZ152" t="s">
        <v>74</v>
      </c>
      <c r="BA152" t="s">
        <v>74</v>
      </c>
      <c r="BB152" t="s">
        <v>74</v>
      </c>
      <c r="BC152" t="s">
        <v>74</v>
      </c>
      <c r="BD152">
        <v>104417</v>
      </c>
      <c r="BE152" t="s">
        <v>2823</v>
      </c>
      <c r="BF152" t="str">
        <f>HYPERLINK("http://dx.doi.org/10.1016/j.frl.2023.104417","http://dx.doi.org/10.1016/j.frl.2023.104417")</f>
        <v>http://dx.doi.org/10.1016/j.frl.2023.104417</v>
      </c>
      <c r="BG152" t="s">
        <v>74</v>
      </c>
      <c r="BH152" t="s">
        <v>74</v>
      </c>
      <c r="BI152">
        <v>5</v>
      </c>
      <c r="BJ152" t="s">
        <v>2824</v>
      </c>
      <c r="BK152" t="s">
        <v>627</v>
      </c>
      <c r="BL152" t="s">
        <v>628</v>
      </c>
      <c r="BM152" t="s">
        <v>2825</v>
      </c>
      <c r="BN152" t="s">
        <v>74</v>
      </c>
      <c r="BO152" t="s">
        <v>74</v>
      </c>
      <c r="BP152" t="s">
        <v>74</v>
      </c>
      <c r="BQ152" t="s">
        <v>74</v>
      </c>
      <c r="BR152" t="s">
        <v>104</v>
      </c>
      <c r="BS152" t="s">
        <v>2826</v>
      </c>
      <c r="BT152" t="str">
        <f>HYPERLINK("https%3A%2F%2Fwww.webofscience.com%2Fwos%2Fwoscc%2Ffull-record%2FWOS:001071013700001","View Full Record in Web of Science")</f>
        <v>View Full Record in Web of Science</v>
      </c>
    </row>
    <row r="153" spans="1:72" x14ac:dyDescent="0.15">
      <c r="A153" t="s">
        <v>72</v>
      </c>
      <c r="B153" t="s">
        <v>2827</v>
      </c>
      <c r="C153" t="s">
        <v>74</v>
      </c>
      <c r="D153" t="s">
        <v>74</v>
      </c>
      <c r="E153" t="s">
        <v>74</v>
      </c>
      <c r="F153" t="s">
        <v>2828</v>
      </c>
      <c r="G153" t="s">
        <v>74</v>
      </c>
      <c r="H153" t="s">
        <v>74</v>
      </c>
      <c r="I153" t="s">
        <v>2829</v>
      </c>
      <c r="J153" t="s">
        <v>527</v>
      </c>
      <c r="K153" t="s">
        <v>74</v>
      </c>
      <c r="L153" t="s">
        <v>74</v>
      </c>
      <c r="M153" t="s">
        <v>78</v>
      </c>
      <c r="N153" t="s">
        <v>79</v>
      </c>
      <c r="O153" t="s">
        <v>74</v>
      </c>
      <c r="P153" t="s">
        <v>74</v>
      </c>
      <c r="Q153" t="s">
        <v>74</v>
      </c>
      <c r="R153" t="s">
        <v>74</v>
      </c>
      <c r="S153" t="s">
        <v>74</v>
      </c>
      <c r="T153" t="s">
        <v>2830</v>
      </c>
      <c r="U153" t="s">
        <v>2831</v>
      </c>
      <c r="V153" t="s">
        <v>2832</v>
      </c>
      <c r="W153" t="s">
        <v>2833</v>
      </c>
      <c r="X153" t="s">
        <v>2834</v>
      </c>
      <c r="Y153" t="s">
        <v>2835</v>
      </c>
      <c r="Z153" t="s">
        <v>2836</v>
      </c>
      <c r="AA153" t="s">
        <v>74</v>
      </c>
      <c r="AB153" t="s">
        <v>2837</v>
      </c>
      <c r="AC153" t="s">
        <v>2838</v>
      </c>
      <c r="AD153" t="s">
        <v>2421</v>
      </c>
      <c r="AE153" t="s">
        <v>2839</v>
      </c>
      <c r="AF153" t="s">
        <v>74</v>
      </c>
      <c r="AG153">
        <v>41</v>
      </c>
      <c r="AH153">
        <v>0</v>
      </c>
      <c r="AI153">
        <v>0</v>
      </c>
      <c r="AJ153">
        <v>33</v>
      </c>
      <c r="AK153">
        <v>33</v>
      </c>
      <c r="AL153" t="s">
        <v>90</v>
      </c>
      <c r="AM153" t="s">
        <v>91</v>
      </c>
      <c r="AN153" t="s">
        <v>92</v>
      </c>
      <c r="AO153" t="s">
        <v>537</v>
      </c>
      <c r="AP153" t="s">
        <v>538</v>
      </c>
      <c r="AQ153" t="s">
        <v>74</v>
      </c>
      <c r="AR153" t="s">
        <v>527</v>
      </c>
      <c r="AS153" t="s">
        <v>539</v>
      </c>
      <c r="AT153" t="s">
        <v>2840</v>
      </c>
      <c r="AU153">
        <v>2023</v>
      </c>
      <c r="AV153">
        <v>265</v>
      </c>
      <c r="AW153" t="s">
        <v>74</v>
      </c>
      <c r="AX153" t="s">
        <v>74</v>
      </c>
      <c r="AY153" t="s">
        <v>74</v>
      </c>
      <c r="AZ153" t="s">
        <v>74</v>
      </c>
      <c r="BA153" t="s">
        <v>74</v>
      </c>
      <c r="BB153" t="s">
        <v>74</v>
      </c>
      <c r="BC153" t="s">
        <v>74</v>
      </c>
      <c r="BD153">
        <v>124795</v>
      </c>
      <c r="BE153" t="s">
        <v>2841</v>
      </c>
      <c r="BF153" t="str">
        <f>HYPERLINK("http://dx.doi.org/10.1016/j.talanta.2023.124795","http://dx.doi.org/10.1016/j.talanta.2023.124795")</f>
        <v>http://dx.doi.org/10.1016/j.talanta.2023.124795</v>
      </c>
      <c r="BG153" t="s">
        <v>74</v>
      </c>
      <c r="BH153" t="s">
        <v>74</v>
      </c>
      <c r="BI153">
        <v>8</v>
      </c>
      <c r="BJ153" t="s">
        <v>541</v>
      </c>
      <c r="BK153" t="s">
        <v>100</v>
      </c>
      <c r="BL153" t="s">
        <v>395</v>
      </c>
      <c r="BM153" t="s">
        <v>2842</v>
      </c>
      <c r="BN153">
        <v>37364385</v>
      </c>
      <c r="BO153" t="s">
        <v>74</v>
      </c>
      <c r="BP153" t="s">
        <v>74</v>
      </c>
      <c r="BQ153" t="s">
        <v>74</v>
      </c>
      <c r="BR153" t="s">
        <v>104</v>
      </c>
      <c r="BS153" t="s">
        <v>2843</v>
      </c>
      <c r="BT153" t="str">
        <f>HYPERLINK("https%3A%2F%2Fwww.webofscience.com%2Fwos%2Fwoscc%2Ffull-record%2FWOS:001058337400001","View Full Record in Web of Science")</f>
        <v>View Full Record in Web of Science</v>
      </c>
    </row>
    <row r="154" spans="1:72" x14ac:dyDescent="0.15">
      <c r="A154" t="s">
        <v>72</v>
      </c>
      <c r="B154" t="s">
        <v>2844</v>
      </c>
      <c r="C154" t="s">
        <v>74</v>
      </c>
      <c r="D154" t="s">
        <v>74</v>
      </c>
      <c r="E154" t="s">
        <v>74</v>
      </c>
      <c r="F154" t="s">
        <v>2845</v>
      </c>
      <c r="G154" t="s">
        <v>74</v>
      </c>
      <c r="H154" t="s">
        <v>74</v>
      </c>
      <c r="I154" t="s">
        <v>2846</v>
      </c>
      <c r="J154" t="s">
        <v>2847</v>
      </c>
      <c r="K154" t="s">
        <v>74</v>
      </c>
      <c r="L154" t="s">
        <v>74</v>
      </c>
      <c r="M154" t="s">
        <v>78</v>
      </c>
      <c r="N154" t="s">
        <v>79</v>
      </c>
      <c r="O154" t="s">
        <v>74</v>
      </c>
      <c r="P154" t="s">
        <v>74</v>
      </c>
      <c r="Q154" t="s">
        <v>74</v>
      </c>
      <c r="R154" t="s">
        <v>74</v>
      </c>
      <c r="S154" t="s">
        <v>74</v>
      </c>
      <c r="T154" t="s">
        <v>2848</v>
      </c>
      <c r="U154" t="s">
        <v>2849</v>
      </c>
      <c r="V154" t="s">
        <v>2850</v>
      </c>
      <c r="W154" t="s">
        <v>2851</v>
      </c>
      <c r="X154" t="s">
        <v>2852</v>
      </c>
      <c r="Y154" t="s">
        <v>2853</v>
      </c>
      <c r="Z154" t="s">
        <v>2854</v>
      </c>
      <c r="AA154" t="s">
        <v>74</v>
      </c>
      <c r="AB154" t="s">
        <v>74</v>
      </c>
      <c r="AC154" t="s">
        <v>2855</v>
      </c>
      <c r="AD154" t="s">
        <v>2856</v>
      </c>
      <c r="AE154" t="s">
        <v>2857</v>
      </c>
      <c r="AF154" t="s">
        <v>74</v>
      </c>
      <c r="AG154">
        <v>23</v>
      </c>
      <c r="AH154">
        <v>0</v>
      </c>
      <c r="AI154">
        <v>0</v>
      </c>
      <c r="AJ154">
        <v>0</v>
      </c>
      <c r="AK154">
        <v>0</v>
      </c>
      <c r="AL154" t="s">
        <v>90</v>
      </c>
      <c r="AM154" t="s">
        <v>91</v>
      </c>
      <c r="AN154" t="s">
        <v>92</v>
      </c>
      <c r="AO154" t="s">
        <v>74</v>
      </c>
      <c r="AP154" t="s">
        <v>2858</v>
      </c>
      <c r="AQ154" t="s">
        <v>74</v>
      </c>
      <c r="AR154" t="s">
        <v>2859</v>
      </c>
      <c r="AS154" t="s">
        <v>2860</v>
      </c>
      <c r="AT154" t="s">
        <v>2579</v>
      </c>
      <c r="AU154">
        <v>2023</v>
      </c>
      <c r="AV154">
        <v>33</v>
      </c>
      <c r="AW154" t="s">
        <v>74</v>
      </c>
      <c r="AX154" t="s">
        <v>74</v>
      </c>
      <c r="AY154" t="s">
        <v>74</v>
      </c>
      <c r="AZ154" t="s">
        <v>74</v>
      </c>
      <c r="BA154" t="s">
        <v>74</v>
      </c>
      <c r="BB154" t="s">
        <v>74</v>
      </c>
      <c r="BC154" t="s">
        <v>74</v>
      </c>
      <c r="BD154">
        <v>101823</v>
      </c>
      <c r="BE154" t="s">
        <v>2861</v>
      </c>
      <c r="BF154" t="str">
        <f>HYPERLINK("http://dx.doi.org/10.1016/j.genrep.2023.101823","http://dx.doi.org/10.1016/j.genrep.2023.101823")</f>
        <v>http://dx.doi.org/10.1016/j.genrep.2023.101823</v>
      </c>
      <c r="BG154" t="s">
        <v>74</v>
      </c>
      <c r="BH154" t="s">
        <v>74</v>
      </c>
      <c r="BI154">
        <v>7</v>
      </c>
      <c r="BJ154" t="s">
        <v>2862</v>
      </c>
      <c r="BK154" t="s">
        <v>1850</v>
      </c>
      <c r="BL154" t="s">
        <v>2862</v>
      </c>
      <c r="BM154" t="s">
        <v>2863</v>
      </c>
      <c r="BN154" t="s">
        <v>74</v>
      </c>
      <c r="BO154" t="s">
        <v>74</v>
      </c>
      <c r="BP154" t="s">
        <v>74</v>
      </c>
      <c r="BQ154" t="s">
        <v>74</v>
      </c>
      <c r="BR154" t="s">
        <v>104</v>
      </c>
      <c r="BS154" t="s">
        <v>2864</v>
      </c>
      <c r="BT154" t="str">
        <f>HYPERLINK("https%3A%2F%2Fwww.webofscience.com%2Fwos%2Fwoscc%2Ffull-record%2FWOS:001059470200001","View Full Record in Web of Science")</f>
        <v>View Full Record in Web of Science</v>
      </c>
    </row>
    <row r="155" spans="1:72" x14ac:dyDescent="0.15">
      <c r="A155" t="s">
        <v>72</v>
      </c>
      <c r="B155" t="s">
        <v>2865</v>
      </c>
      <c r="C155" t="s">
        <v>74</v>
      </c>
      <c r="D155" t="s">
        <v>74</v>
      </c>
      <c r="E155" t="s">
        <v>74</v>
      </c>
      <c r="F155" t="s">
        <v>2866</v>
      </c>
      <c r="G155" t="s">
        <v>74</v>
      </c>
      <c r="H155" t="s">
        <v>74</v>
      </c>
      <c r="I155" t="s">
        <v>2867</v>
      </c>
      <c r="J155" t="s">
        <v>2868</v>
      </c>
      <c r="K155" t="s">
        <v>74</v>
      </c>
      <c r="L155" t="s">
        <v>74</v>
      </c>
      <c r="M155" t="s">
        <v>78</v>
      </c>
      <c r="N155" t="s">
        <v>79</v>
      </c>
      <c r="O155" t="s">
        <v>74</v>
      </c>
      <c r="P155" t="s">
        <v>74</v>
      </c>
      <c r="Q155" t="s">
        <v>74</v>
      </c>
      <c r="R155" t="s">
        <v>74</v>
      </c>
      <c r="S155" t="s">
        <v>74</v>
      </c>
      <c r="T155" t="s">
        <v>2869</v>
      </c>
      <c r="U155" t="s">
        <v>74</v>
      </c>
      <c r="V155" t="s">
        <v>2870</v>
      </c>
      <c r="W155" t="s">
        <v>2871</v>
      </c>
      <c r="X155" t="s">
        <v>2872</v>
      </c>
      <c r="Y155" t="s">
        <v>2873</v>
      </c>
      <c r="Z155" t="s">
        <v>2874</v>
      </c>
      <c r="AA155" t="s">
        <v>74</v>
      </c>
      <c r="AB155" t="s">
        <v>74</v>
      </c>
      <c r="AC155" t="s">
        <v>2875</v>
      </c>
      <c r="AD155" t="s">
        <v>252</v>
      </c>
      <c r="AE155" t="s">
        <v>2876</v>
      </c>
      <c r="AF155" t="s">
        <v>74</v>
      </c>
      <c r="AG155">
        <v>81</v>
      </c>
      <c r="AH155">
        <v>0</v>
      </c>
      <c r="AI155">
        <v>0</v>
      </c>
      <c r="AJ155">
        <v>16</v>
      </c>
      <c r="AK155">
        <v>16</v>
      </c>
      <c r="AL155" t="s">
        <v>173</v>
      </c>
      <c r="AM155" t="s">
        <v>121</v>
      </c>
      <c r="AN155" t="s">
        <v>174</v>
      </c>
      <c r="AO155" t="s">
        <v>2877</v>
      </c>
      <c r="AP155" t="s">
        <v>2878</v>
      </c>
      <c r="AQ155" t="s">
        <v>74</v>
      </c>
      <c r="AR155" t="s">
        <v>2879</v>
      </c>
      <c r="AS155" t="s">
        <v>2880</v>
      </c>
      <c r="AT155" t="s">
        <v>2840</v>
      </c>
      <c r="AU155">
        <v>2023</v>
      </c>
      <c r="AV155">
        <v>259</v>
      </c>
      <c r="AW155" t="s">
        <v>74</v>
      </c>
      <c r="AX155" t="s">
        <v>74</v>
      </c>
      <c r="AY155" t="s">
        <v>74</v>
      </c>
      <c r="AZ155" t="s">
        <v>74</v>
      </c>
      <c r="BA155" t="s">
        <v>74</v>
      </c>
      <c r="BB155" t="s">
        <v>74</v>
      </c>
      <c r="BC155" t="s">
        <v>74</v>
      </c>
      <c r="BD155">
        <v>108589</v>
      </c>
      <c r="BE155" t="s">
        <v>2881</v>
      </c>
      <c r="BF155" t="str">
        <f>HYPERLINK("http://dx.doi.org/10.1016/j.ijmecsci.2023.108589","http://dx.doi.org/10.1016/j.ijmecsci.2023.108589")</f>
        <v>http://dx.doi.org/10.1016/j.ijmecsci.2023.108589</v>
      </c>
      <c r="BG155" t="s">
        <v>74</v>
      </c>
      <c r="BH155" t="s">
        <v>74</v>
      </c>
      <c r="BI155">
        <v>14</v>
      </c>
      <c r="BJ155" t="s">
        <v>2882</v>
      </c>
      <c r="BK155" t="s">
        <v>100</v>
      </c>
      <c r="BL155" t="s">
        <v>2883</v>
      </c>
      <c r="BM155" t="s">
        <v>2884</v>
      </c>
      <c r="BN155" t="s">
        <v>74</v>
      </c>
      <c r="BO155" t="s">
        <v>74</v>
      </c>
      <c r="BP155" t="s">
        <v>74</v>
      </c>
      <c r="BQ155" t="s">
        <v>74</v>
      </c>
      <c r="BR155" t="s">
        <v>104</v>
      </c>
      <c r="BS155" t="s">
        <v>2885</v>
      </c>
      <c r="BT155" t="str">
        <f>HYPERLINK("https%3A%2F%2Fwww.webofscience.com%2Fwos%2Fwoscc%2Ffull-record%2FWOS:001048673800001","View Full Record in Web of Science")</f>
        <v>View Full Record in Web of Science</v>
      </c>
    </row>
    <row r="156" spans="1:72" x14ac:dyDescent="0.15">
      <c r="A156" t="s">
        <v>72</v>
      </c>
      <c r="B156" t="s">
        <v>2886</v>
      </c>
      <c r="C156" t="s">
        <v>74</v>
      </c>
      <c r="D156" t="s">
        <v>74</v>
      </c>
      <c r="E156" t="s">
        <v>74</v>
      </c>
      <c r="F156" t="s">
        <v>2887</v>
      </c>
      <c r="G156" t="s">
        <v>74</v>
      </c>
      <c r="H156" t="s">
        <v>74</v>
      </c>
      <c r="I156" t="s">
        <v>2888</v>
      </c>
      <c r="J156" t="s">
        <v>1524</v>
      </c>
      <c r="K156" t="s">
        <v>74</v>
      </c>
      <c r="L156" t="s">
        <v>74</v>
      </c>
      <c r="M156" t="s">
        <v>78</v>
      </c>
      <c r="N156" t="s">
        <v>79</v>
      </c>
      <c r="O156" t="s">
        <v>74</v>
      </c>
      <c r="P156" t="s">
        <v>74</v>
      </c>
      <c r="Q156" t="s">
        <v>74</v>
      </c>
      <c r="R156" t="s">
        <v>74</v>
      </c>
      <c r="S156" t="s">
        <v>74</v>
      </c>
      <c r="T156" t="s">
        <v>2889</v>
      </c>
      <c r="U156" t="s">
        <v>2890</v>
      </c>
      <c r="V156" t="s">
        <v>2891</v>
      </c>
      <c r="W156" t="s">
        <v>2892</v>
      </c>
      <c r="X156" t="s">
        <v>2893</v>
      </c>
      <c r="Y156" t="s">
        <v>2894</v>
      </c>
      <c r="Z156" t="s">
        <v>2895</v>
      </c>
      <c r="AA156" t="s">
        <v>74</v>
      </c>
      <c r="AB156" t="s">
        <v>74</v>
      </c>
      <c r="AC156" t="s">
        <v>2896</v>
      </c>
      <c r="AD156" t="s">
        <v>2897</v>
      </c>
      <c r="AE156" t="s">
        <v>2898</v>
      </c>
      <c r="AF156" t="s">
        <v>74</v>
      </c>
      <c r="AG156">
        <v>101</v>
      </c>
      <c r="AH156">
        <v>0</v>
      </c>
      <c r="AI156">
        <v>0</v>
      </c>
      <c r="AJ156">
        <v>10</v>
      </c>
      <c r="AK156">
        <v>10</v>
      </c>
      <c r="AL156" t="s">
        <v>90</v>
      </c>
      <c r="AM156" t="s">
        <v>91</v>
      </c>
      <c r="AN156" t="s">
        <v>92</v>
      </c>
      <c r="AO156" t="s">
        <v>1534</v>
      </c>
      <c r="AP156" t="s">
        <v>1535</v>
      </c>
      <c r="AQ156" t="s">
        <v>74</v>
      </c>
      <c r="AR156" t="s">
        <v>1536</v>
      </c>
      <c r="AS156" t="s">
        <v>1537</v>
      </c>
      <c r="AT156" t="s">
        <v>2840</v>
      </c>
      <c r="AU156">
        <v>2023</v>
      </c>
      <c r="AV156">
        <v>902</v>
      </c>
      <c r="AW156" t="s">
        <v>74</v>
      </c>
      <c r="AX156" t="s">
        <v>74</v>
      </c>
      <c r="AY156" t="s">
        <v>74</v>
      </c>
      <c r="AZ156" t="s">
        <v>74</v>
      </c>
      <c r="BA156" t="s">
        <v>74</v>
      </c>
      <c r="BB156" t="s">
        <v>74</v>
      </c>
      <c r="BC156" t="s">
        <v>74</v>
      </c>
      <c r="BD156">
        <v>166076</v>
      </c>
      <c r="BE156" t="s">
        <v>2899</v>
      </c>
      <c r="BF156" t="str">
        <f>HYPERLINK("http://dx.doi.org/10.1016/j.scitotenv.2023.166076","http://dx.doi.org/10.1016/j.scitotenv.2023.166076")</f>
        <v>http://dx.doi.org/10.1016/j.scitotenv.2023.166076</v>
      </c>
      <c r="BG156" t="s">
        <v>74</v>
      </c>
      <c r="BH156" t="s">
        <v>74</v>
      </c>
      <c r="BI156">
        <v>12</v>
      </c>
      <c r="BJ156" t="s">
        <v>1539</v>
      </c>
      <c r="BK156" t="s">
        <v>100</v>
      </c>
      <c r="BL156" t="s">
        <v>1540</v>
      </c>
      <c r="BM156" t="s">
        <v>2900</v>
      </c>
      <c r="BN156">
        <v>37558078</v>
      </c>
      <c r="BO156" t="s">
        <v>74</v>
      </c>
      <c r="BP156" t="s">
        <v>74</v>
      </c>
      <c r="BQ156" t="s">
        <v>74</v>
      </c>
      <c r="BR156" t="s">
        <v>104</v>
      </c>
      <c r="BS156" t="s">
        <v>2901</v>
      </c>
      <c r="BT156" t="str">
        <f>HYPERLINK("https%3A%2F%2Fwww.webofscience.com%2Fwos%2Fwoscc%2Ffull-record%2FWOS:001066213400001","View Full Record in Web of Science")</f>
        <v>View Full Record in Web of Science</v>
      </c>
    </row>
    <row r="157" spans="1:72" x14ac:dyDescent="0.15">
      <c r="A157" t="s">
        <v>72</v>
      </c>
      <c r="B157" t="s">
        <v>2902</v>
      </c>
      <c r="C157" t="s">
        <v>74</v>
      </c>
      <c r="D157" t="s">
        <v>74</v>
      </c>
      <c r="E157" t="s">
        <v>74</v>
      </c>
      <c r="F157" t="s">
        <v>2903</v>
      </c>
      <c r="G157" t="s">
        <v>74</v>
      </c>
      <c r="H157" t="s">
        <v>74</v>
      </c>
      <c r="I157" t="s">
        <v>2904</v>
      </c>
      <c r="J157" t="s">
        <v>2905</v>
      </c>
      <c r="K157" t="s">
        <v>74</v>
      </c>
      <c r="L157" t="s">
        <v>74</v>
      </c>
      <c r="M157" t="s">
        <v>78</v>
      </c>
      <c r="N157" t="s">
        <v>79</v>
      </c>
      <c r="O157" t="s">
        <v>74</v>
      </c>
      <c r="P157" t="s">
        <v>74</v>
      </c>
      <c r="Q157" t="s">
        <v>74</v>
      </c>
      <c r="R157" t="s">
        <v>74</v>
      </c>
      <c r="S157" t="s">
        <v>74</v>
      </c>
      <c r="T157" t="s">
        <v>2906</v>
      </c>
      <c r="U157" t="s">
        <v>2907</v>
      </c>
      <c r="V157" t="s">
        <v>2908</v>
      </c>
      <c r="W157" t="s">
        <v>2909</v>
      </c>
      <c r="X157" t="s">
        <v>2910</v>
      </c>
      <c r="Y157" t="s">
        <v>2911</v>
      </c>
      <c r="Z157" t="s">
        <v>2912</v>
      </c>
      <c r="AA157" t="s">
        <v>74</v>
      </c>
      <c r="AB157" t="s">
        <v>74</v>
      </c>
      <c r="AC157" t="s">
        <v>2913</v>
      </c>
      <c r="AD157" t="s">
        <v>252</v>
      </c>
      <c r="AE157" t="s">
        <v>2914</v>
      </c>
      <c r="AF157" t="s">
        <v>74</v>
      </c>
      <c r="AG157">
        <v>41</v>
      </c>
      <c r="AH157">
        <v>0</v>
      </c>
      <c r="AI157">
        <v>0</v>
      </c>
      <c r="AJ157">
        <v>0</v>
      </c>
      <c r="AK157">
        <v>0</v>
      </c>
      <c r="AL157" t="s">
        <v>120</v>
      </c>
      <c r="AM157" t="s">
        <v>121</v>
      </c>
      <c r="AN157" t="s">
        <v>122</v>
      </c>
      <c r="AO157" t="s">
        <v>2915</v>
      </c>
      <c r="AP157" t="s">
        <v>2916</v>
      </c>
      <c r="AQ157" t="s">
        <v>74</v>
      </c>
      <c r="AR157" t="s">
        <v>2917</v>
      </c>
      <c r="AS157" t="s">
        <v>2918</v>
      </c>
      <c r="AT157" t="s">
        <v>2579</v>
      </c>
      <c r="AU157">
        <v>2023</v>
      </c>
      <c r="AV157">
        <v>171</v>
      </c>
      <c r="AW157" t="s">
        <v>74</v>
      </c>
      <c r="AX157" t="s">
        <v>74</v>
      </c>
      <c r="AY157" t="s">
        <v>74</v>
      </c>
      <c r="AZ157" t="s">
        <v>74</v>
      </c>
      <c r="BA157" t="s">
        <v>74</v>
      </c>
      <c r="BB157" t="s">
        <v>74</v>
      </c>
      <c r="BC157" t="s">
        <v>74</v>
      </c>
      <c r="BD157">
        <v>107798</v>
      </c>
      <c r="BE157" t="s">
        <v>2919</v>
      </c>
      <c r="BF157" t="str">
        <f>HYPERLINK("http://dx.doi.org/10.1016/j.optlaseng.2023.107798","http://dx.doi.org/10.1016/j.optlaseng.2023.107798")</f>
        <v>http://dx.doi.org/10.1016/j.optlaseng.2023.107798</v>
      </c>
      <c r="BG157" t="s">
        <v>74</v>
      </c>
      <c r="BH157" t="s">
        <v>74</v>
      </c>
      <c r="BI157">
        <v>10</v>
      </c>
      <c r="BJ157" t="s">
        <v>2920</v>
      </c>
      <c r="BK157" t="s">
        <v>100</v>
      </c>
      <c r="BL157" t="s">
        <v>2920</v>
      </c>
      <c r="BM157" t="s">
        <v>2921</v>
      </c>
      <c r="BN157" t="s">
        <v>74</v>
      </c>
      <c r="BO157" t="s">
        <v>295</v>
      </c>
      <c r="BP157" t="s">
        <v>74</v>
      </c>
      <c r="BQ157" t="s">
        <v>74</v>
      </c>
      <c r="BR157" t="s">
        <v>104</v>
      </c>
      <c r="BS157" t="s">
        <v>2922</v>
      </c>
      <c r="BT157" t="str">
        <f>HYPERLINK("https%3A%2F%2Fwww.webofscience.com%2Fwos%2Fwoscc%2Ffull-record%2FWOS:001066334100001","View Full Record in Web of Science")</f>
        <v>View Full Record in Web of Science</v>
      </c>
    </row>
    <row r="158" spans="1:72" x14ac:dyDescent="0.15">
      <c r="A158" t="s">
        <v>72</v>
      </c>
      <c r="B158" t="s">
        <v>2923</v>
      </c>
      <c r="C158" t="s">
        <v>74</v>
      </c>
      <c r="D158" t="s">
        <v>74</v>
      </c>
      <c r="E158" t="s">
        <v>74</v>
      </c>
      <c r="F158" t="s">
        <v>2924</v>
      </c>
      <c r="G158" t="s">
        <v>74</v>
      </c>
      <c r="H158" t="s">
        <v>74</v>
      </c>
      <c r="I158" t="s">
        <v>2925</v>
      </c>
      <c r="J158" t="s">
        <v>2926</v>
      </c>
      <c r="K158" t="s">
        <v>74</v>
      </c>
      <c r="L158" t="s">
        <v>74</v>
      </c>
      <c r="M158" t="s">
        <v>78</v>
      </c>
      <c r="N158" t="s">
        <v>79</v>
      </c>
      <c r="O158" t="s">
        <v>74</v>
      </c>
      <c r="P158" t="s">
        <v>74</v>
      </c>
      <c r="Q158" t="s">
        <v>74</v>
      </c>
      <c r="R158" t="s">
        <v>74</v>
      </c>
      <c r="S158" t="s">
        <v>74</v>
      </c>
      <c r="T158" t="s">
        <v>2927</v>
      </c>
      <c r="U158" t="s">
        <v>74</v>
      </c>
      <c r="V158" t="s">
        <v>2928</v>
      </c>
      <c r="W158" t="s">
        <v>2929</v>
      </c>
      <c r="X158" t="s">
        <v>2930</v>
      </c>
      <c r="Y158" t="s">
        <v>2931</v>
      </c>
      <c r="Z158" t="s">
        <v>2932</v>
      </c>
      <c r="AA158" t="s">
        <v>74</v>
      </c>
      <c r="AB158" t="s">
        <v>74</v>
      </c>
      <c r="AC158" t="s">
        <v>2933</v>
      </c>
      <c r="AD158" t="s">
        <v>2934</v>
      </c>
      <c r="AE158" t="s">
        <v>2935</v>
      </c>
      <c r="AF158" t="s">
        <v>74</v>
      </c>
      <c r="AG158">
        <v>35</v>
      </c>
      <c r="AH158">
        <v>0</v>
      </c>
      <c r="AI158">
        <v>0</v>
      </c>
      <c r="AJ158">
        <v>0</v>
      </c>
      <c r="AK158">
        <v>0</v>
      </c>
      <c r="AL158" t="s">
        <v>475</v>
      </c>
      <c r="AM158" t="s">
        <v>476</v>
      </c>
      <c r="AN158" t="s">
        <v>477</v>
      </c>
      <c r="AO158" t="s">
        <v>2936</v>
      </c>
      <c r="AP158" t="s">
        <v>2937</v>
      </c>
      <c r="AQ158" t="s">
        <v>74</v>
      </c>
      <c r="AR158" t="s">
        <v>2938</v>
      </c>
      <c r="AS158" t="s">
        <v>2939</v>
      </c>
      <c r="AT158" t="s">
        <v>2579</v>
      </c>
      <c r="AU158">
        <v>2023</v>
      </c>
      <c r="AV158">
        <v>182</v>
      </c>
      <c r="AW158" t="s">
        <v>74</v>
      </c>
      <c r="AX158" t="s">
        <v>74</v>
      </c>
      <c r="AY158" t="s">
        <v>74</v>
      </c>
      <c r="AZ158" t="s">
        <v>74</v>
      </c>
      <c r="BA158" t="s">
        <v>74</v>
      </c>
      <c r="BB158" t="s">
        <v>74</v>
      </c>
      <c r="BC158" t="s">
        <v>74</v>
      </c>
      <c r="BD158">
        <v>104748</v>
      </c>
      <c r="BE158" t="s">
        <v>2940</v>
      </c>
      <c r="BF158" t="str">
        <f>HYPERLINK("http://dx.doi.org/10.1016/j.jpdc.2023.104748","http://dx.doi.org/10.1016/j.jpdc.2023.104748")</f>
        <v>http://dx.doi.org/10.1016/j.jpdc.2023.104748</v>
      </c>
      <c r="BG158" t="s">
        <v>74</v>
      </c>
      <c r="BH158" t="s">
        <v>74</v>
      </c>
      <c r="BI158">
        <v>11</v>
      </c>
      <c r="BJ158" t="s">
        <v>2941</v>
      </c>
      <c r="BK158" t="s">
        <v>100</v>
      </c>
      <c r="BL158" t="s">
        <v>563</v>
      </c>
      <c r="BM158" t="s">
        <v>2942</v>
      </c>
      <c r="BN158" t="s">
        <v>74</v>
      </c>
      <c r="BO158" t="s">
        <v>74</v>
      </c>
      <c r="BP158" t="s">
        <v>74</v>
      </c>
      <c r="BQ158" t="s">
        <v>74</v>
      </c>
      <c r="BR158" t="s">
        <v>104</v>
      </c>
      <c r="BS158" t="s">
        <v>2943</v>
      </c>
      <c r="BT158" t="str">
        <f>HYPERLINK("https%3A%2F%2Fwww.webofscience.com%2Fwos%2Fwoscc%2Ffull-record%2FWOS:001063723300001","View Full Record in Web of Science")</f>
        <v>View Full Record in Web of Science</v>
      </c>
    </row>
    <row r="159" spans="1:72" x14ac:dyDescent="0.15">
      <c r="A159" t="s">
        <v>72</v>
      </c>
      <c r="B159" t="s">
        <v>2944</v>
      </c>
      <c r="C159" t="s">
        <v>74</v>
      </c>
      <c r="D159" t="s">
        <v>74</v>
      </c>
      <c r="E159" t="s">
        <v>74</v>
      </c>
      <c r="F159" t="s">
        <v>2945</v>
      </c>
      <c r="G159" t="s">
        <v>74</v>
      </c>
      <c r="H159" t="s">
        <v>74</v>
      </c>
      <c r="I159" t="s">
        <v>2946</v>
      </c>
      <c r="J159" t="s">
        <v>2730</v>
      </c>
      <c r="K159" t="s">
        <v>74</v>
      </c>
      <c r="L159" t="s">
        <v>74</v>
      </c>
      <c r="M159" t="s">
        <v>78</v>
      </c>
      <c r="N159" t="s">
        <v>2947</v>
      </c>
      <c r="O159" t="s">
        <v>74</v>
      </c>
      <c r="P159" t="s">
        <v>74</v>
      </c>
      <c r="Q159" t="s">
        <v>74</v>
      </c>
      <c r="R159" t="s">
        <v>74</v>
      </c>
      <c r="S159" t="s">
        <v>74</v>
      </c>
      <c r="T159" t="s">
        <v>74</v>
      </c>
      <c r="U159" t="s">
        <v>74</v>
      </c>
      <c r="V159" t="s">
        <v>74</v>
      </c>
      <c r="W159" t="s">
        <v>2948</v>
      </c>
      <c r="X159" t="s">
        <v>2949</v>
      </c>
      <c r="Y159" t="s">
        <v>2950</v>
      </c>
      <c r="Z159" t="s">
        <v>2951</v>
      </c>
      <c r="AA159" t="s">
        <v>74</v>
      </c>
      <c r="AB159" t="s">
        <v>74</v>
      </c>
      <c r="AC159" t="s">
        <v>74</v>
      </c>
      <c r="AD159" t="s">
        <v>74</v>
      </c>
      <c r="AE159" t="s">
        <v>74</v>
      </c>
      <c r="AF159" t="s">
        <v>74</v>
      </c>
      <c r="AG159">
        <v>4</v>
      </c>
      <c r="AH159">
        <v>0</v>
      </c>
      <c r="AI159">
        <v>0</v>
      </c>
      <c r="AJ159">
        <v>0</v>
      </c>
      <c r="AK159">
        <v>0</v>
      </c>
      <c r="AL159" t="s">
        <v>90</v>
      </c>
      <c r="AM159" t="s">
        <v>91</v>
      </c>
      <c r="AN159" t="s">
        <v>92</v>
      </c>
      <c r="AO159" t="s">
        <v>2743</v>
      </c>
      <c r="AP159" t="s">
        <v>2744</v>
      </c>
      <c r="AQ159" t="s">
        <v>74</v>
      </c>
      <c r="AR159" t="s">
        <v>2745</v>
      </c>
      <c r="AS159" t="s">
        <v>2746</v>
      </c>
      <c r="AT159" t="s">
        <v>2579</v>
      </c>
      <c r="AU159">
        <v>2023</v>
      </c>
      <c r="AV159">
        <v>124</v>
      </c>
      <c r="AW159" t="s">
        <v>74</v>
      </c>
      <c r="AX159" t="s">
        <v>74</v>
      </c>
      <c r="AY159" t="s">
        <v>74</v>
      </c>
      <c r="AZ159" t="s">
        <v>74</v>
      </c>
      <c r="BA159" t="s">
        <v>74</v>
      </c>
      <c r="BB159">
        <v>141</v>
      </c>
      <c r="BC159">
        <v>142</v>
      </c>
      <c r="BD159" t="s">
        <v>74</v>
      </c>
      <c r="BE159" t="s">
        <v>2952</v>
      </c>
      <c r="BF159" t="str">
        <f>HYPERLINK("http://dx.doi.org/10.1016/j.gr.2023.06.016","http://dx.doi.org/10.1016/j.gr.2023.06.016")</f>
        <v>http://dx.doi.org/10.1016/j.gr.2023.06.016</v>
      </c>
      <c r="BG159" t="s">
        <v>74</v>
      </c>
      <c r="BH159" t="s">
        <v>74</v>
      </c>
      <c r="BI159">
        <v>2</v>
      </c>
      <c r="BJ159" t="s">
        <v>2748</v>
      </c>
      <c r="BK159" t="s">
        <v>100</v>
      </c>
      <c r="BL159" t="s">
        <v>2749</v>
      </c>
      <c r="BM159" t="s">
        <v>2953</v>
      </c>
      <c r="BN159" t="s">
        <v>74</v>
      </c>
      <c r="BO159" t="s">
        <v>504</v>
      </c>
      <c r="BP159" t="s">
        <v>74</v>
      </c>
      <c r="BQ159" t="s">
        <v>74</v>
      </c>
      <c r="BR159" t="s">
        <v>104</v>
      </c>
      <c r="BS159" t="s">
        <v>2954</v>
      </c>
      <c r="BT159" t="str">
        <f>HYPERLINK("https%3A%2F%2Fwww.webofscience.com%2Fwos%2Fwoscc%2Ffull-record%2FWOS:001047034500001","View Full Record in Web of Science")</f>
        <v>View Full Record in Web of Science</v>
      </c>
    </row>
    <row r="160" spans="1:72" x14ac:dyDescent="0.15">
      <c r="A160" t="s">
        <v>72</v>
      </c>
      <c r="B160" t="s">
        <v>2955</v>
      </c>
      <c r="C160" t="s">
        <v>74</v>
      </c>
      <c r="D160" t="s">
        <v>74</v>
      </c>
      <c r="E160" t="s">
        <v>74</v>
      </c>
      <c r="F160" t="s">
        <v>2956</v>
      </c>
      <c r="G160" t="s">
        <v>74</v>
      </c>
      <c r="H160" t="s">
        <v>74</v>
      </c>
      <c r="I160" t="s">
        <v>2957</v>
      </c>
      <c r="J160" t="s">
        <v>1524</v>
      </c>
      <c r="K160" t="s">
        <v>74</v>
      </c>
      <c r="L160" t="s">
        <v>74</v>
      </c>
      <c r="M160" t="s">
        <v>78</v>
      </c>
      <c r="N160" t="s">
        <v>79</v>
      </c>
      <c r="O160" t="s">
        <v>74</v>
      </c>
      <c r="P160" t="s">
        <v>74</v>
      </c>
      <c r="Q160" t="s">
        <v>74</v>
      </c>
      <c r="R160" t="s">
        <v>74</v>
      </c>
      <c r="S160" t="s">
        <v>74</v>
      </c>
      <c r="T160" t="s">
        <v>2958</v>
      </c>
      <c r="U160" t="s">
        <v>2959</v>
      </c>
      <c r="V160" t="s">
        <v>2960</v>
      </c>
      <c r="W160" t="s">
        <v>2961</v>
      </c>
      <c r="X160" t="s">
        <v>2962</v>
      </c>
      <c r="Y160" t="s">
        <v>2963</v>
      </c>
      <c r="Z160" t="s">
        <v>2964</v>
      </c>
      <c r="AA160" t="s">
        <v>74</v>
      </c>
      <c r="AB160" t="s">
        <v>74</v>
      </c>
      <c r="AC160" t="s">
        <v>74</v>
      </c>
      <c r="AD160" t="s">
        <v>74</v>
      </c>
      <c r="AE160" t="s">
        <v>74</v>
      </c>
      <c r="AF160" t="s">
        <v>74</v>
      </c>
      <c r="AG160">
        <v>38</v>
      </c>
      <c r="AH160">
        <v>0</v>
      </c>
      <c r="AI160">
        <v>0</v>
      </c>
      <c r="AJ160">
        <v>6</v>
      </c>
      <c r="AK160">
        <v>6</v>
      </c>
      <c r="AL160" t="s">
        <v>90</v>
      </c>
      <c r="AM160" t="s">
        <v>91</v>
      </c>
      <c r="AN160" t="s">
        <v>92</v>
      </c>
      <c r="AO160" t="s">
        <v>1534</v>
      </c>
      <c r="AP160" t="s">
        <v>1535</v>
      </c>
      <c r="AQ160" t="s">
        <v>74</v>
      </c>
      <c r="AR160" t="s">
        <v>1536</v>
      </c>
      <c r="AS160" t="s">
        <v>1537</v>
      </c>
      <c r="AT160" t="s">
        <v>2840</v>
      </c>
      <c r="AU160">
        <v>2023</v>
      </c>
      <c r="AV160">
        <v>902</v>
      </c>
      <c r="AW160" t="s">
        <v>74</v>
      </c>
      <c r="AX160" t="s">
        <v>74</v>
      </c>
      <c r="AY160" t="s">
        <v>74</v>
      </c>
      <c r="AZ160" t="s">
        <v>74</v>
      </c>
      <c r="BA160" t="s">
        <v>74</v>
      </c>
      <c r="BB160" t="s">
        <v>74</v>
      </c>
      <c r="BC160" t="s">
        <v>74</v>
      </c>
      <c r="BD160">
        <v>166166</v>
      </c>
      <c r="BE160" t="s">
        <v>2965</v>
      </c>
      <c r="BF160" t="str">
        <f>HYPERLINK("http://dx.doi.org/10.1016/j.scitotenv.2023.166166","http://dx.doi.org/10.1016/j.scitotenv.2023.166166")</f>
        <v>http://dx.doi.org/10.1016/j.scitotenv.2023.166166</v>
      </c>
      <c r="BG160" t="s">
        <v>74</v>
      </c>
      <c r="BH160" t="s">
        <v>74</v>
      </c>
      <c r="BI160">
        <v>9</v>
      </c>
      <c r="BJ160" t="s">
        <v>1539</v>
      </c>
      <c r="BK160" t="s">
        <v>100</v>
      </c>
      <c r="BL160" t="s">
        <v>1540</v>
      </c>
      <c r="BM160" t="s">
        <v>2966</v>
      </c>
      <c r="BN160">
        <v>37562628</v>
      </c>
      <c r="BO160" t="s">
        <v>74</v>
      </c>
      <c r="BP160" t="s">
        <v>74</v>
      </c>
      <c r="BQ160" t="s">
        <v>74</v>
      </c>
      <c r="BR160" t="s">
        <v>104</v>
      </c>
      <c r="BS160" t="s">
        <v>2967</v>
      </c>
      <c r="BT160" t="str">
        <f>HYPERLINK("https%3A%2F%2Fwww.webofscience.com%2Fwos%2Fwoscc%2Ffull-record%2FWOS:001061610400001","View Full Record in Web of Science")</f>
        <v>View Full Record in Web of Science</v>
      </c>
    </row>
    <row r="161" spans="1:72" x14ac:dyDescent="0.15">
      <c r="A161" t="s">
        <v>72</v>
      </c>
      <c r="B161" t="s">
        <v>2968</v>
      </c>
      <c r="C161" t="s">
        <v>74</v>
      </c>
      <c r="D161" t="s">
        <v>74</v>
      </c>
      <c r="E161" t="s">
        <v>74</v>
      </c>
      <c r="F161" t="s">
        <v>2969</v>
      </c>
      <c r="G161" t="s">
        <v>74</v>
      </c>
      <c r="H161" t="s">
        <v>74</v>
      </c>
      <c r="I161" t="s">
        <v>2970</v>
      </c>
      <c r="J161" t="s">
        <v>2730</v>
      </c>
      <c r="K161" t="s">
        <v>74</v>
      </c>
      <c r="L161" t="s">
        <v>74</v>
      </c>
      <c r="M161" t="s">
        <v>78</v>
      </c>
      <c r="N161" t="s">
        <v>79</v>
      </c>
      <c r="O161" t="s">
        <v>74</v>
      </c>
      <c r="P161" t="s">
        <v>74</v>
      </c>
      <c r="Q161" t="s">
        <v>74</v>
      </c>
      <c r="R161" t="s">
        <v>74</v>
      </c>
      <c r="S161" t="s">
        <v>74</v>
      </c>
      <c r="T161" t="s">
        <v>2971</v>
      </c>
      <c r="U161" t="s">
        <v>2972</v>
      </c>
      <c r="V161" t="s">
        <v>2973</v>
      </c>
      <c r="W161" t="s">
        <v>2974</v>
      </c>
      <c r="X161" t="s">
        <v>2975</v>
      </c>
      <c r="Y161" t="s">
        <v>2976</v>
      </c>
      <c r="Z161" t="s">
        <v>2977</v>
      </c>
      <c r="AA161" t="s">
        <v>74</v>
      </c>
      <c r="AB161" t="s">
        <v>74</v>
      </c>
      <c r="AC161" t="s">
        <v>2978</v>
      </c>
      <c r="AD161" t="s">
        <v>2979</v>
      </c>
      <c r="AE161" t="s">
        <v>2980</v>
      </c>
      <c r="AF161" t="s">
        <v>74</v>
      </c>
      <c r="AG161">
        <v>123</v>
      </c>
      <c r="AH161">
        <v>0</v>
      </c>
      <c r="AI161">
        <v>0</v>
      </c>
      <c r="AJ161">
        <v>0</v>
      </c>
      <c r="AK161">
        <v>0</v>
      </c>
      <c r="AL161" t="s">
        <v>90</v>
      </c>
      <c r="AM161" t="s">
        <v>91</v>
      </c>
      <c r="AN161" t="s">
        <v>92</v>
      </c>
      <c r="AO161" t="s">
        <v>2743</v>
      </c>
      <c r="AP161" t="s">
        <v>2744</v>
      </c>
      <c r="AQ161" t="s">
        <v>74</v>
      </c>
      <c r="AR161" t="s">
        <v>2745</v>
      </c>
      <c r="AS161" t="s">
        <v>2746</v>
      </c>
      <c r="AT161" t="s">
        <v>2579</v>
      </c>
      <c r="AU161">
        <v>2023</v>
      </c>
      <c r="AV161">
        <v>124</v>
      </c>
      <c r="AW161" t="s">
        <v>74</v>
      </c>
      <c r="AX161" t="s">
        <v>74</v>
      </c>
      <c r="AY161" t="s">
        <v>74</v>
      </c>
      <c r="AZ161" t="s">
        <v>74</v>
      </c>
      <c r="BA161" t="s">
        <v>74</v>
      </c>
      <c r="BB161">
        <v>188</v>
      </c>
      <c r="BC161">
        <v>205</v>
      </c>
      <c r="BD161" t="s">
        <v>74</v>
      </c>
      <c r="BE161" t="s">
        <v>2981</v>
      </c>
      <c r="BF161" t="str">
        <f>HYPERLINK("http://dx.doi.org/10.1016/j.gr.2023.07.007","http://dx.doi.org/10.1016/j.gr.2023.07.007")</f>
        <v>http://dx.doi.org/10.1016/j.gr.2023.07.007</v>
      </c>
      <c r="BG161" t="s">
        <v>74</v>
      </c>
      <c r="BH161" t="s">
        <v>74</v>
      </c>
      <c r="BI161">
        <v>18</v>
      </c>
      <c r="BJ161" t="s">
        <v>2748</v>
      </c>
      <c r="BK161" t="s">
        <v>100</v>
      </c>
      <c r="BL161" t="s">
        <v>2749</v>
      </c>
      <c r="BM161" t="s">
        <v>2982</v>
      </c>
      <c r="BN161" t="s">
        <v>74</v>
      </c>
      <c r="BO161" t="s">
        <v>74</v>
      </c>
      <c r="BP161" t="s">
        <v>74</v>
      </c>
      <c r="BQ161" t="s">
        <v>74</v>
      </c>
      <c r="BR161" t="s">
        <v>104</v>
      </c>
      <c r="BS161" t="s">
        <v>2983</v>
      </c>
      <c r="BT161" t="str">
        <f>HYPERLINK("https%3A%2F%2Fwww.webofscience.com%2Fwos%2Fwoscc%2Ffull-record%2FWOS:001047029900001","View Full Record in Web of Science")</f>
        <v>View Full Record in Web of Science</v>
      </c>
    </row>
    <row r="162" spans="1:72" x14ac:dyDescent="0.15">
      <c r="A162" t="s">
        <v>72</v>
      </c>
      <c r="B162" t="s">
        <v>2984</v>
      </c>
      <c r="C162" t="s">
        <v>74</v>
      </c>
      <c r="D162" t="s">
        <v>74</v>
      </c>
      <c r="E162" t="s">
        <v>74</v>
      </c>
      <c r="F162" t="s">
        <v>2985</v>
      </c>
      <c r="G162" t="s">
        <v>74</v>
      </c>
      <c r="H162" t="s">
        <v>74</v>
      </c>
      <c r="I162" t="s">
        <v>2986</v>
      </c>
      <c r="J162" t="s">
        <v>2987</v>
      </c>
      <c r="K162" t="s">
        <v>74</v>
      </c>
      <c r="L162" t="s">
        <v>74</v>
      </c>
      <c r="M162" t="s">
        <v>78</v>
      </c>
      <c r="N162" t="s">
        <v>241</v>
      </c>
      <c r="O162" t="s">
        <v>74</v>
      </c>
      <c r="P162" t="s">
        <v>74</v>
      </c>
      <c r="Q162" t="s">
        <v>74</v>
      </c>
      <c r="R162" t="s">
        <v>74</v>
      </c>
      <c r="S162" t="s">
        <v>74</v>
      </c>
      <c r="T162" t="s">
        <v>2988</v>
      </c>
      <c r="U162" t="s">
        <v>2989</v>
      </c>
      <c r="V162" t="s">
        <v>2990</v>
      </c>
      <c r="W162" t="s">
        <v>2991</v>
      </c>
      <c r="X162" t="s">
        <v>2992</v>
      </c>
      <c r="Y162" t="s">
        <v>2993</v>
      </c>
      <c r="Z162" t="s">
        <v>2994</v>
      </c>
      <c r="AA162" t="s">
        <v>74</v>
      </c>
      <c r="AB162" t="s">
        <v>74</v>
      </c>
      <c r="AC162" t="s">
        <v>74</v>
      </c>
      <c r="AD162" t="s">
        <v>74</v>
      </c>
      <c r="AE162" t="s">
        <v>74</v>
      </c>
      <c r="AF162" t="s">
        <v>74</v>
      </c>
      <c r="AG162">
        <v>252</v>
      </c>
      <c r="AH162">
        <v>0</v>
      </c>
      <c r="AI162">
        <v>0</v>
      </c>
      <c r="AJ162">
        <v>34</v>
      </c>
      <c r="AK162">
        <v>34</v>
      </c>
      <c r="AL162" t="s">
        <v>90</v>
      </c>
      <c r="AM162" t="s">
        <v>91</v>
      </c>
      <c r="AN162" t="s">
        <v>92</v>
      </c>
      <c r="AO162" t="s">
        <v>2995</v>
      </c>
      <c r="AP162" t="s">
        <v>74</v>
      </c>
      <c r="AQ162" t="s">
        <v>74</v>
      </c>
      <c r="AR162" t="s">
        <v>2996</v>
      </c>
      <c r="AS162" t="s">
        <v>2997</v>
      </c>
      <c r="AT162" t="s">
        <v>2579</v>
      </c>
      <c r="AU162">
        <v>2023</v>
      </c>
      <c r="AV162">
        <v>9</v>
      </c>
      <c r="AW162" t="s">
        <v>74</v>
      </c>
      <c r="AX162" t="s">
        <v>74</v>
      </c>
      <c r="AY162" t="s">
        <v>74</v>
      </c>
      <c r="AZ162" t="s">
        <v>74</v>
      </c>
      <c r="BA162" t="s">
        <v>74</v>
      </c>
      <c r="BB162">
        <v>6362</v>
      </c>
      <c r="BC162">
        <v>6395</v>
      </c>
      <c r="BD162" t="s">
        <v>74</v>
      </c>
      <c r="BE162" t="s">
        <v>2998</v>
      </c>
      <c r="BF162" t="str">
        <f>HYPERLINK("http://dx.doi.org/10.1016/j.egyr.2023.05.264","http://dx.doi.org/10.1016/j.egyr.2023.05.264")</f>
        <v>http://dx.doi.org/10.1016/j.egyr.2023.05.264</v>
      </c>
      <c r="BG162" t="s">
        <v>74</v>
      </c>
      <c r="BH162" t="s">
        <v>74</v>
      </c>
      <c r="BI162">
        <v>34</v>
      </c>
      <c r="BJ162" t="s">
        <v>2999</v>
      </c>
      <c r="BK162" t="s">
        <v>100</v>
      </c>
      <c r="BL162" t="s">
        <v>2999</v>
      </c>
      <c r="BM162" t="s">
        <v>3000</v>
      </c>
      <c r="BN162" t="s">
        <v>74</v>
      </c>
      <c r="BO162" t="s">
        <v>295</v>
      </c>
      <c r="BP162" t="s">
        <v>74</v>
      </c>
      <c r="BQ162" t="s">
        <v>74</v>
      </c>
      <c r="BR162" t="s">
        <v>104</v>
      </c>
      <c r="BS162" t="s">
        <v>3001</v>
      </c>
      <c r="BT162" t="str">
        <f>HYPERLINK("https%3A%2F%2Fwww.webofscience.com%2Fwos%2Fwoscc%2Ffull-record%2FWOS:001054039000001","View Full Record in Web of Science")</f>
        <v>View Full Record in Web of Science</v>
      </c>
    </row>
    <row r="163" spans="1:72" x14ac:dyDescent="0.15">
      <c r="A163" t="s">
        <v>72</v>
      </c>
      <c r="B163" t="s">
        <v>3002</v>
      </c>
      <c r="C163" t="s">
        <v>74</v>
      </c>
      <c r="D163" t="s">
        <v>74</v>
      </c>
      <c r="E163" t="s">
        <v>74</v>
      </c>
      <c r="F163" t="s">
        <v>3003</v>
      </c>
      <c r="G163" t="s">
        <v>74</v>
      </c>
      <c r="H163" t="s">
        <v>74</v>
      </c>
      <c r="I163" t="s">
        <v>3004</v>
      </c>
      <c r="J163" t="s">
        <v>3005</v>
      </c>
      <c r="K163" t="s">
        <v>74</v>
      </c>
      <c r="L163" t="s">
        <v>74</v>
      </c>
      <c r="M163" t="s">
        <v>78</v>
      </c>
      <c r="N163" t="s">
        <v>79</v>
      </c>
      <c r="O163" t="s">
        <v>74</v>
      </c>
      <c r="P163" t="s">
        <v>74</v>
      </c>
      <c r="Q163" t="s">
        <v>74</v>
      </c>
      <c r="R163" t="s">
        <v>74</v>
      </c>
      <c r="S163" t="s">
        <v>74</v>
      </c>
      <c r="T163" t="s">
        <v>3006</v>
      </c>
      <c r="U163" t="s">
        <v>3007</v>
      </c>
      <c r="V163" t="s">
        <v>3008</v>
      </c>
      <c r="W163" t="s">
        <v>3009</v>
      </c>
      <c r="X163" t="s">
        <v>3010</v>
      </c>
      <c r="Y163" t="s">
        <v>3011</v>
      </c>
      <c r="Z163" t="s">
        <v>3012</v>
      </c>
      <c r="AA163" t="s">
        <v>74</v>
      </c>
      <c r="AB163" t="s">
        <v>74</v>
      </c>
      <c r="AC163" t="s">
        <v>3013</v>
      </c>
      <c r="AD163" t="s">
        <v>3014</v>
      </c>
      <c r="AE163" t="s">
        <v>3015</v>
      </c>
      <c r="AF163" t="s">
        <v>74</v>
      </c>
      <c r="AG163">
        <v>16</v>
      </c>
      <c r="AH163">
        <v>0</v>
      </c>
      <c r="AI163">
        <v>0</v>
      </c>
      <c r="AJ163">
        <v>0</v>
      </c>
      <c r="AK163">
        <v>0</v>
      </c>
      <c r="AL163" t="s">
        <v>90</v>
      </c>
      <c r="AM163" t="s">
        <v>91</v>
      </c>
      <c r="AN163" t="s">
        <v>92</v>
      </c>
      <c r="AO163" t="s">
        <v>3016</v>
      </c>
      <c r="AP163" t="s">
        <v>3017</v>
      </c>
      <c r="AQ163" t="s">
        <v>74</v>
      </c>
      <c r="AR163" t="s">
        <v>3018</v>
      </c>
      <c r="AS163" t="s">
        <v>3019</v>
      </c>
      <c r="AT163" t="s">
        <v>2840</v>
      </c>
      <c r="AU163">
        <v>2023</v>
      </c>
      <c r="AV163">
        <v>352</v>
      </c>
      <c r="AW163" t="s">
        <v>74</v>
      </c>
      <c r="AX163" t="s">
        <v>74</v>
      </c>
      <c r="AY163" t="s">
        <v>74</v>
      </c>
      <c r="AZ163" t="s">
        <v>74</v>
      </c>
      <c r="BA163" t="s">
        <v>74</v>
      </c>
      <c r="BB163" t="s">
        <v>74</v>
      </c>
      <c r="BC163" t="s">
        <v>74</v>
      </c>
      <c r="BD163">
        <v>135129</v>
      </c>
      <c r="BE163" t="s">
        <v>3020</v>
      </c>
      <c r="BF163" t="str">
        <f>HYPERLINK("http://dx.doi.org/10.1016/j.matlet.2023.135129","http://dx.doi.org/10.1016/j.matlet.2023.135129")</f>
        <v>http://dx.doi.org/10.1016/j.matlet.2023.135129</v>
      </c>
      <c r="BG163" t="s">
        <v>74</v>
      </c>
      <c r="BH163" t="s">
        <v>74</v>
      </c>
      <c r="BI163">
        <v>4</v>
      </c>
      <c r="BJ163" t="s">
        <v>3021</v>
      </c>
      <c r="BK163" t="s">
        <v>100</v>
      </c>
      <c r="BL163" t="s">
        <v>3022</v>
      </c>
      <c r="BM163" t="s">
        <v>3023</v>
      </c>
      <c r="BN163" t="s">
        <v>74</v>
      </c>
      <c r="BO163" t="s">
        <v>74</v>
      </c>
      <c r="BP163" t="s">
        <v>74</v>
      </c>
      <c r="BQ163" t="s">
        <v>74</v>
      </c>
      <c r="BR163" t="s">
        <v>104</v>
      </c>
      <c r="BS163" t="s">
        <v>3024</v>
      </c>
      <c r="BT163" t="str">
        <f>HYPERLINK("https%3A%2F%2Fwww.webofscience.com%2Fwos%2Fwoscc%2Ffull-record%2FWOS:001069723300001","View Full Record in Web of Science")</f>
        <v>View Full Record in Web of Science</v>
      </c>
    </row>
    <row r="164" spans="1:72" x14ac:dyDescent="0.15">
      <c r="A164" t="s">
        <v>72</v>
      </c>
      <c r="B164" t="s">
        <v>3025</v>
      </c>
      <c r="C164" t="s">
        <v>74</v>
      </c>
      <c r="D164" t="s">
        <v>74</v>
      </c>
      <c r="E164" t="s">
        <v>74</v>
      </c>
      <c r="F164" t="s">
        <v>3026</v>
      </c>
      <c r="G164" t="s">
        <v>74</v>
      </c>
      <c r="H164" t="s">
        <v>74</v>
      </c>
      <c r="I164" t="s">
        <v>3027</v>
      </c>
      <c r="J164" t="s">
        <v>2868</v>
      </c>
      <c r="K164" t="s">
        <v>74</v>
      </c>
      <c r="L164" t="s">
        <v>74</v>
      </c>
      <c r="M164" t="s">
        <v>78</v>
      </c>
      <c r="N164" t="s">
        <v>79</v>
      </c>
      <c r="O164" t="s">
        <v>74</v>
      </c>
      <c r="P164" t="s">
        <v>74</v>
      </c>
      <c r="Q164" t="s">
        <v>74</v>
      </c>
      <c r="R164" t="s">
        <v>74</v>
      </c>
      <c r="S164" t="s">
        <v>74</v>
      </c>
      <c r="T164" t="s">
        <v>3028</v>
      </c>
      <c r="U164" t="s">
        <v>3029</v>
      </c>
      <c r="V164" t="s">
        <v>3030</v>
      </c>
      <c r="W164" t="s">
        <v>3031</v>
      </c>
      <c r="X164" t="s">
        <v>3032</v>
      </c>
      <c r="Y164" t="s">
        <v>3033</v>
      </c>
      <c r="Z164" t="s">
        <v>3034</v>
      </c>
      <c r="AA164" t="s">
        <v>74</v>
      </c>
      <c r="AB164" t="s">
        <v>3035</v>
      </c>
      <c r="AC164" t="s">
        <v>3036</v>
      </c>
      <c r="AD164" t="s">
        <v>3037</v>
      </c>
      <c r="AE164" t="s">
        <v>3038</v>
      </c>
      <c r="AF164" t="s">
        <v>74</v>
      </c>
      <c r="AG164">
        <v>75</v>
      </c>
      <c r="AH164">
        <v>0</v>
      </c>
      <c r="AI164">
        <v>0</v>
      </c>
      <c r="AJ164">
        <v>13</v>
      </c>
      <c r="AK164">
        <v>13</v>
      </c>
      <c r="AL164" t="s">
        <v>173</v>
      </c>
      <c r="AM164" t="s">
        <v>121</v>
      </c>
      <c r="AN164" t="s">
        <v>174</v>
      </c>
      <c r="AO164" t="s">
        <v>2877</v>
      </c>
      <c r="AP164" t="s">
        <v>2878</v>
      </c>
      <c r="AQ164" t="s">
        <v>74</v>
      </c>
      <c r="AR164" t="s">
        <v>2879</v>
      </c>
      <c r="AS164" t="s">
        <v>2880</v>
      </c>
      <c r="AT164" t="s">
        <v>2840</v>
      </c>
      <c r="AU164">
        <v>2023</v>
      </c>
      <c r="AV164">
        <v>259</v>
      </c>
      <c r="AW164" t="s">
        <v>74</v>
      </c>
      <c r="AX164" t="s">
        <v>74</v>
      </c>
      <c r="AY164" t="s">
        <v>74</v>
      </c>
      <c r="AZ164" t="s">
        <v>74</v>
      </c>
      <c r="BA164" t="s">
        <v>74</v>
      </c>
      <c r="BB164" t="s">
        <v>74</v>
      </c>
      <c r="BC164" t="s">
        <v>74</v>
      </c>
      <c r="BD164">
        <v>108631</v>
      </c>
      <c r="BE164" t="s">
        <v>3039</v>
      </c>
      <c r="BF164" t="str">
        <f>HYPERLINK("http://dx.doi.org/10.1016/j.ijmecsci.2023.108631","http://dx.doi.org/10.1016/j.ijmecsci.2023.108631")</f>
        <v>http://dx.doi.org/10.1016/j.ijmecsci.2023.108631</v>
      </c>
      <c r="BG164" t="s">
        <v>74</v>
      </c>
      <c r="BH164" t="s">
        <v>74</v>
      </c>
      <c r="BI164">
        <v>22</v>
      </c>
      <c r="BJ164" t="s">
        <v>2882</v>
      </c>
      <c r="BK164" t="s">
        <v>100</v>
      </c>
      <c r="BL164" t="s">
        <v>2883</v>
      </c>
      <c r="BM164" t="s">
        <v>3040</v>
      </c>
      <c r="BN164" t="s">
        <v>74</v>
      </c>
      <c r="BO164" t="s">
        <v>74</v>
      </c>
      <c r="BP164" t="s">
        <v>74</v>
      </c>
      <c r="BQ164" t="s">
        <v>74</v>
      </c>
      <c r="BR164" t="s">
        <v>104</v>
      </c>
      <c r="BS164" t="s">
        <v>3041</v>
      </c>
      <c r="BT164" t="str">
        <f>HYPERLINK("https%3A%2F%2Fwww.webofscience.com%2Fwos%2Fwoscc%2Ffull-record%2FWOS:001050897900001","View Full Record in Web of Science")</f>
        <v>View Full Record in Web of Science</v>
      </c>
    </row>
    <row r="165" spans="1:72" x14ac:dyDescent="0.15">
      <c r="A165" t="s">
        <v>72</v>
      </c>
      <c r="B165" t="s">
        <v>3042</v>
      </c>
      <c r="C165" t="s">
        <v>74</v>
      </c>
      <c r="D165" t="s">
        <v>74</v>
      </c>
      <c r="E165" t="s">
        <v>74</v>
      </c>
      <c r="F165" t="s">
        <v>3043</v>
      </c>
      <c r="G165" t="s">
        <v>74</v>
      </c>
      <c r="H165" t="s">
        <v>74</v>
      </c>
      <c r="I165" t="s">
        <v>3044</v>
      </c>
      <c r="J165" t="s">
        <v>527</v>
      </c>
      <c r="K165" t="s">
        <v>74</v>
      </c>
      <c r="L165" t="s">
        <v>74</v>
      </c>
      <c r="M165" t="s">
        <v>78</v>
      </c>
      <c r="N165" t="s">
        <v>79</v>
      </c>
      <c r="O165" t="s">
        <v>74</v>
      </c>
      <c r="P165" t="s">
        <v>74</v>
      </c>
      <c r="Q165" t="s">
        <v>74</v>
      </c>
      <c r="R165" t="s">
        <v>74</v>
      </c>
      <c r="S165" t="s">
        <v>74</v>
      </c>
      <c r="T165" t="s">
        <v>3045</v>
      </c>
      <c r="U165" t="s">
        <v>3046</v>
      </c>
      <c r="V165" t="s">
        <v>3047</v>
      </c>
      <c r="W165" t="s">
        <v>3048</v>
      </c>
      <c r="X165" t="s">
        <v>3049</v>
      </c>
      <c r="Y165" t="s">
        <v>3050</v>
      </c>
      <c r="Z165" t="s">
        <v>3051</v>
      </c>
      <c r="AA165" t="s">
        <v>74</v>
      </c>
      <c r="AB165" t="s">
        <v>74</v>
      </c>
      <c r="AC165" t="s">
        <v>3052</v>
      </c>
      <c r="AD165" t="s">
        <v>3053</v>
      </c>
      <c r="AE165" t="s">
        <v>3054</v>
      </c>
      <c r="AF165" t="s">
        <v>74</v>
      </c>
      <c r="AG165">
        <v>33</v>
      </c>
      <c r="AH165">
        <v>0</v>
      </c>
      <c r="AI165">
        <v>0</v>
      </c>
      <c r="AJ165">
        <v>21</v>
      </c>
      <c r="AK165">
        <v>21</v>
      </c>
      <c r="AL165" t="s">
        <v>90</v>
      </c>
      <c r="AM165" t="s">
        <v>91</v>
      </c>
      <c r="AN165" t="s">
        <v>92</v>
      </c>
      <c r="AO165" t="s">
        <v>537</v>
      </c>
      <c r="AP165" t="s">
        <v>538</v>
      </c>
      <c r="AQ165" t="s">
        <v>74</v>
      </c>
      <c r="AR165" t="s">
        <v>527</v>
      </c>
      <c r="AS165" t="s">
        <v>539</v>
      </c>
      <c r="AT165" t="s">
        <v>2840</v>
      </c>
      <c r="AU165">
        <v>2023</v>
      </c>
      <c r="AV165">
        <v>265</v>
      </c>
      <c r="AW165" t="s">
        <v>74</v>
      </c>
      <c r="AX165" t="s">
        <v>74</v>
      </c>
      <c r="AY165" t="s">
        <v>74</v>
      </c>
      <c r="AZ165" t="s">
        <v>74</v>
      </c>
      <c r="BA165" t="s">
        <v>74</v>
      </c>
      <c r="BB165" t="s">
        <v>74</v>
      </c>
      <c r="BC165" t="s">
        <v>74</v>
      </c>
      <c r="BD165">
        <v>124891</v>
      </c>
      <c r="BE165" t="s">
        <v>3055</v>
      </c>
      <c r="BF165" t="str">
        <f>HYPERLINK("http://dx.doi.org/10.1016/j.talanta.2023.124891","http://dx.doi.org/10.1016/j.talanta.2023.124891")</f>
        <v>http://dx.doi.org/10.1016/j.talanta.2023.124891</v>
      </c>
      <c r="BG165" t="s">
        <v>74</v>
      </c>
      <c r="BH165" t="s">
        <v>74</v>
      </c>
      <c r="BI165">
        <v>8</v>
      </c>
      <c r="BJ165" t="s">
        <v>541</v>
      </c>
      <c r="BK165" t="s">
        <v>100</v>
      </c>
      <c r="BL165" t="s">
        <v>395</v>
      </c>
      <c r="BM165" t="s">
        <v>3056</v>
      </c>
      <c r="BN165">
        <v>37442002</v>
      </c>
      <c r="BO165" t="s">
        <v>74</v>
      </c>
      <c r="BP165" t="s">
        <v>74</v>
      </c>
      <c r="BQ165" t="s">
        <v>74</v>
      </c>
      <c r="BR165" t="s">
        <v>104</v>
      </c>
      <c r="BS165" t="s">
        <v>3057</v>
      </c>
      <c r="BT165" t="str">
        <f>HYPERLINK("https%3A%2F%2Fwww.webofscience.com%2Fwos%2Fwoscc%2Ffull-record%2FWOS:001047843700001","View Full Record in Web of Science")</f>
        <v>View Full Record in Web of Science</v>
      </c>
    </row>
    <row r="166" spans="1:72" x14ac:dyDescent="0.15">
      <c r="A166" t="s">
        <v>72</v>
      </c>
      <c r="B166" t="s">
        <v>3058</v>
      </c>
      <c r="C166" t="s">
        <v>74</v>
      </c>
      <c r="D166" t="s">
        <v>74</v>
      </c>
      <c r="E166" t="s">
        <v>74</v>
      </c>
      <c r="F166" t="s">
        <v>3059</v>
      </c>
      <c r="G166" t="s">
        <v>74</v>
      </c>
      <c r="H166" t="s">
        <v>74</v>
      </c>
      <c r="I166" t="s">
        <v>3060</v>
      </c>
      <c r="J166" t="s">
        <v>3061</v>
      </c>
      <c r="K166" t="s">
        <v>74</v>
      </c>
      <c r="L166" t="s">
        <v>74</v>
      </c>
      <c r="M166" t="s">
        <v>78</v>
      </c>
      <c r="N166" t="s">
        <v>79</v>
      </c>
      <c r="O166" t="s">
        <v>74</v>
      </c>
      <c r="P166" t="s">
        <v>74</v>
      </c>
      <c r="Q166" t="s">
        <v>74</v>
      </c>
      <c r="R166" t="s">
        <v>74</v>
      </c>
      <c r="S166" t="s">
        <v>74</v>
      </c>
      <c r="T166" t="s">
        <v>3062</v>
      </c>
      <c r="U166" t="s">
        <v>3063</v>
      </c>
      <c r="V166" t="s">
        <v>3064</v>
      </c>
      <c r="W166" t="s">
        <v>3065</v>
      </c>
      <c r="X166" t="s">
        <v>3066</v>
      </c>
      <c r="Y166" t="s">
        <v>3067</v>
      </c>
      <c r="Z166" t="s">
        <v>3068</v>
      </c>
      <c r="AA166" t="s">
        <v>74</v>
      </c>
      <c r="AB166" t="s">
        <v>74</v>
      </c>
      <c r="AC166" t="s">
        <v>3069</v>
      </c>
      <c r="AD166" t="s">
        <v>3070</v>
      </c>
      <c r="AE166" t="s">
        <v>3071</v>
      </c>
      <c r="AF166" t="s">
        <v>74</v>
      </c>
      <c r="AG166">
        <v>34</v>
      </c>
      <c r="AH166">
        <v>0</v>
      </c>
      <c r="AI166">
        <v>0</v>
      </c>
      <c r="AJ166">
        <v>0</v>
      </c>
      <c r="AK166">
        <v>0</v>
      </c>
      <c r="AL166" t="s">
        <v>120</v>
      </c>
      <c r="AM166" t="s">
        <v>121</v>
      </c>
      <c r="AN166" t="s">
        <v>122</v>
      </c>
      <c r="AO166" t="s">
        <v>3072</v>
      </c>
      <c r="AP166" t="s">
        <v>3073</v>
      </c>
      <c r="AQ166" t="s">
        <v>74</v>
      </c>
      <c r="AR166" t="s">
        <v>3074</v>
      </c>
      <c r="AS166" t="s">
        <v>3075</v>
      </c>
      <c r="AT166" t="s">
        <v>2840</v>
      </c>
      <c r="AU166">
        <v>2023</v>
      </c>
      <c r="AV166">
        <v>351</v>
      </c>
      <c r="AW166" t="s">
        <v>74</v>
      </c>
      <c r="AX166" t="s">
        <v>74</v>
      </c>
      <c r="AY166" t="s">
        <v>74</v>
      </c>
      <c r="AZ166" t="s">
        <v>74</v>
      </c>
      <c r="BA166" t="s">
        <v>74</v>
      </c>
      <c r="BB166" t="s">
        <v>74</v>
      </c>
      <c r="BC166" t="s">
        <v>74</v>
      </c>
      <c r="BD166">
        <v>121673</v>
      </c>
      <c r="BE166" t="s">
        <v>3076</v>
      </c>
      <c r="BF166" t="str">
        <f>HYPERLINK("http://dx.doi.org/10.1016/j.apenergy.2023.121673","http://dx.doi.org/10.1016/j.apenergy.2023.121673")</f>
        <v>http://dx.doi.org/10.1016/j.apenergy.2023.121673</v>
      </c>
      <c r="BG166" t="s">
        <v>74</v>
      </c>
      <c r="BH166" t="s">
        <v>74</v>
      </c>
      <c r="BI166">
        <v>12</v>
      </c>
      <c r="BJ166" t="s">
        <v>276</v>
      </c>
      <c r="BK166" t="s">
        <v>100</v>
      </c>
      <c r="BL166" t="s">
        <v>277</v>
      </c>
      <c r="BM166" t="s">
        <v>3077</v>
      </c>
      <c r="BN166" t="s">
        <v>74</v>
      </c>
      <c r="BO166" t="s">
        <v>74</v>
      </c>
      <c r="BP166" t="s">
        <v>74</v>
      </c>
      <c r="BQ166" t="s">
        <v>74</v>
      </c>
      <c r="BR166" t="s">
        <v>104</v>
      </c>
      <c r="BS166" t="s">
        <v>3078</v>
      </c>
      <c r="BT166" t="str">
        <f>HYPERLINK("https%3A%2F%2Fwww.webofscience.com%2Fwos%2Fwoscc%2Ffull-record%2FWOS:001070927400001","View Full Record in Web of Science")</f>
        <v>View Full Record in Web of Science</v>
      </c>
    </row>
    <row r="167" spans="1:72" x14ac:dyDescent="0.15">
      <c r="A167" t="s">
        <v>72</v>
      </c>
      <c r="B167" t="s">
        <v>3079</v>
      </c>
      <c r="C167" t="s">
        <v>74</v>
      </c>
      <c r="D167" t="s">
        <v>74</v>
      </c>
      <c r="E167" t="s">
        <v>74</v>
      </c>
      <c r="F167" t="s">
        <v>3080</v>
      </c>
      <c r="G167" t="s">
        <v>74</v>
      </c>
      <c r="H167" t="s">
        <v>74</v>
      </c>
      <c r="I167" t="s">
        <v>3081</v>
      </c>
      <c r="J167" t="s">
        <v>1950</v>
      </c>
      <c r="K167" t="s">
        <v>74</v>
      </c>
      <c r="L167" t="s">
        <v>74</v>
      </c>
      <c r="M167" t="s">
        <v>78</v>
      </c>
      <c r="N167" t="s">
        <v>79</v>
      </c>
      <c r="O167" t="s">
        <v>74</v>
      </c>
      <c r="P167" t="s">
        <v>74</v>
      </c>
      <c r="Q167" t="s">
        <v>74</v>
      </c>
      <c r="R167" t="s">
        <v>74</v>
      </c>
      <c r="S167" t="s">
        <v>74</v>
      </c>
      <c r="T167" t="s">
        <v>3082</v>
      </c>
      <c r="U167" t="s">
        <v>3083</v>
      </c>
      <c r="V167" t="s">
        <v>3084</v>
      </c>
      <c r="W167" t="s">
        <v>3085</v>
      </c>
      <c r="X167" t="s">
        <v>3086</v>
      </c>
      <c r="Y167" t="s">
        <v>3087</v>
      </c>
      <c r="Z167" t="s">
        <v>3088</v>
      </c>
      <c r="AA167" t="s">
        <v>3089</v>
      </c>
      <c r="AB167" t="s">
        <v>3090</v>
      </c>
      <c r="AC167" t="s">
        <v>3091</v>
      </c>
      <c r="AD167" t="s">
        <v>3092</v>
      </c>
      <c r="AE167" t="s">
        <v>3093</v>
      </c>
      <c r="AF167" t="s">
        <v>74</v>
      </c>
      <c r="AG167">
        <v>79</v>
      </c>
      <c r="AH167">
        <v>0</v>
      </c>
      <c r="AI167">
        <v>0</v>
      </c>
      <c r="AJ167">
        <v>6</v>
      </c>
      <c r="AK167">
        <v>6</v>
      </c>
      <c r="AL167" t="s">
        <v>173</v>
      </c>
      <c r="AM167" t="s">
        <v>121</v>
      </c>
      <c r="AN167" t="s">
        <v>174</v>
      </c>
      <c r="AO167" t="s">
        <v>1963</v>
      </c>
      <c r="AP167" t="s">
        <v>1964</v>
      </c>
      <c r="AQ167" t="s">
        <v>74</v>
      </c>
      <c r="AR167" t="s">
        <v>1950</v>
      </c>
      <c r="AS167" t="s">
        <v>1965</v>
      </c>
      <c r="AT167" t="s">
        <v>2840</v>
      </c>
      <c r="AU167">
        <v>2023</v>
      </c>
      <c r="AV167">
        <v>284</v>
      </c>
      <c r="AW167" t="s">
        <v>74</v>
      </c>
      <c r="AX167" t="s">
        <v>74</v>
      </c>
      <c r="AY167" t="s">
        <v>74</v>
      </c>
      <c r="AZ167" t="s">
        <v>74</v>
      </c>
      <c r="BA167" t="s">
        <v>74</v>
      </c>
      <c r="BB167" t="s">
        <v>74</v>
      </c>
      <c r="BC167" t="s">
        <v>74</v>
      </c>
      <c r="BD167">
        <v>128709</v>
      </c>
      <c r="BE167" t="s">
        <v>3094</v>
      </c>
      <c r="BF167" t="str">
        <f>HYPERLINK("http://dx.doi.org/10.1016/j.energy.2023.128709","http://dx.doi.org/10.1016/j.energy.2023.128709")</f>
        <v>http://dx.doi.org/10.1016/j.energy.2023.128709</v>
      </c>
      <c r="BG167" t="s">
        <v>74</v>
      </c>
      <c r="BH167" t="s">
        <v>74</v>
      </c>
      <c r="BI167">
        <v>12</v>
      </c>
      <c r="BJ167" t="s">
        <v>1967</v>
      </c>
      <c r="BK167" t="s">
        <v>100</v>
      </c>
      <c r="BL167" t="s">
        <v>1967</v>
      </c>
      <c r="BM167" t="s">
        <v>3095</v>
      </c>
      <c r="BN167" t="s">
        <v>74</v>
      </c>
      <c r="BO167" t="s">
        <v>295</v>
      </c>
      <c r="BP167" t="s">
        <v>74</v>
      </c>
      <c r="BQ167" t="s">
        <v>74</v>
      </c>
      <c r="BR167" t="s">
        <v>104</v>
      </c>
      <c r="BS167" t="s">
        <v>3096</v>
      </c>
      <c r="BT167" t="str">
        <f>HYPERLINK("https%3A%2F%2Fwww.webofscience.com%2Fwos%2Fwoscc%2Ffull-record%2FWOS:001058059400001","View Full Record in Web of Science")</f>
        <v>View Full Record in Web of Science</v>
      </c>
    </row>
    <row r="168" spans="1:72" x14ac:dyDescent="0.15">
      <c r="A168" t="s">
        <v>72</v>
      </c>
      <c r="B168" t="s">
        <v>3097</v>
      </c>
      <c r="C168" t="s">
        <v>74</v>
      </c>
      <c r="D168" t="s">
        <v>74</v>
      </c>
      <c r="E168" t="s">
        <v>74</v>
      </c>
      <c r="F168" t="s">
        <v>3098</v>
      </c>
      <c r="G168" t="s">
        <v>74</v>
      </c>
      <c r="H168" t="s">
        <v>74</v>
      </c>
      <c r="I168" t="s">
        <v>3099</v>
      </c>
      <c r="J168" t="s">
        <v>3100</v>
      </c>
      <c r="K168" t="s">
        <v>74</v>
      </c>
      <c r="L168" t="s">
        <v>74</v>
      </c>
      <c r="M168" t="s">
        <v>78</v>
      </c>
      <c r="N168" t="s">
        <v>79</v>
      </c>
      <c r="O168" t="s">
        <v>74</v>
      </c>
      <c r="P168" t="s">
        <v>74</v>
      </c>
      <c r="Q168" t="s">
        <v>74</v>
      </c>
      <c r="R168" t="s">
        <v>74</v>
      </c>
      <c r="S168" t="s">
        <v>74</v>
      </c>
      <c r="T168" t="s">
        <v>3101</v>
      </c>
      <c r="U168" t="s">
        <v>3102</v>
      </c>
      <c r="V168" t="s">
        <v>3103</v>
      </c>
      <c r="W168" t="s">
        <v>3104</v>
      </c>
      <c r="X168" t="s">
        <v>3105</v>
      </c>
      <c r="Y168" t="s">
        <v>3106</v>
      </c>
      <c r="Z168" t="s">
        <v>3107</v>
      </c>
      <c r="AA168" t="s">
        <v>74</v>
      </c>
      <c r="AB168" t="s">
        <v>3108</v>
      </c>
      <c r="AC168" t="s">
        <v>74</v>
      </c>
      <c r="AD168" t="s">
        <v>74</v>
      </c>
      <c r="AE168" t="s">
        <v>74</v>
      </c>
      <c r="AF168" t="s">
        <v>74</v>
      </c>
      <c r="AG168">
        <v>64</v>
      </c>
      <c r="AH168">
        <v>0</v>
      </c>
      <c r="AI168">
        <v>0</v>
      </c>
      <c r="AJ168">
        <v>1</v>
      </c>
      <c r="AK168">
        <v>1</v>
      </c>
      <c r="AL168" t="s">
        <v>90</v>
      </c>
      <c r="AM168" t="s">
        <v>91</v>
      </c>
      <c r="AN168" t="s">
        <v>92</v>
      </c>
      <c r="AO168" t="s">
        <v>3109</v>
      </c>
      <c r="AP168" t="s">
        <v>3110</v>
      </c>
      <c r="AQ168" t="s">
        <v>74</v>
      </c>
      <c r="AR168" t="s">
        <v>3111</v>
      </c>
      <c r="AS168" t="s">
        <v>3112</v>
      </c>
      <c r="AT168" t="s">
        <v>2579</v>
      </c>
      <c r="AU168">
        <v>2023</v>
      </c>
      <c r="AV168">
        <v>149</v>
      </c>
      <c r="AW168" t="s">
        <v>74</v>
      </c>
      <c r="AX168" t="s">
        <v>74</v>
      </c>
      <c r="AY168" t="s">
        <v>74</v>
      </c>
      <c r="AZ168" t="s">
        <v>74</v>
      </c>
      <c r="BA168" t="s">
        <v>74</v>
      </c>
      <c r="BB168">
        <v>416</v>
      </c>
      <c r="BC168">
        <v>431</v>
      </c>
      <c r="BD168" t="s">
        <v>74</v>
      </c>
      <c r="BE168" t="s">
        <v>3113</v>
      </c>
      <c r="BF168" t="str">
        <f>HYPERLINK("http://dx.doi.org/10.1016/j.future.2023.07.027","http://dx.doi.org/10.1016/j.future.2023.07.027")</f>
        <v>http://dx.doi.org/10.1016/j.future.2023.07.027</v>
      </c>
      <c r="BG168" t="s">
        <v>74</v>
      </c>
      <c r="BH168" t="s">
        <v>74</v>
      </c>
      <c r="BI168">
        <v>16</v>
      </c>
      <c r="BJ168" t="s">
        <v>2941</v>
      </c>
      <c r="BK168" t="s">
        <v>100</v>
      </c>
      <c r="BL168" t="s">
        <v>563</v>
      </c>
      <c r="BM168" t="s">
        <v>3114</v>
      </c>
      <c r="BN168" t="s">
        <v>74</v>
      </c>
      <c r="BO168" t="s">
        <v>74</v>
      </c>
      <c r="BP168" t="s">
        <v>74</v>
      </c>
      <c r="BQ168" t="s">
        <v>74</v>
      </c>
      <c r="BR168" t="s">
        <v>104</v>
      </c>
      <c r="BS168" t="s">
        <v>3115</v>
      </c>
      <c r="BT168" t="str">
        <f>HYPERLINK("https%3A%2F%2Fwww.webofscience.com%2Fwos%2Fwoscc%2Ffull-record%2FWOS:001059328200001","View Full Record in Web of Science")</f>
        <v>View Full Record in Web of Science</v>
      </c>
    </row>
    <row r="169" spans="1:72" x14ac:dyDescent="0.15">
      <c r="A169" t="s">
        <v>72</v>
      </c>
      <c r="B169" t="s">
        <v>3116</v>
      </c>
      <c r="C169" t="s">
        <v>74</v>
      </c>
      <c r="D169" t="s">
        <v>74</v>
      </c>
      <c r="E169" t="s">
        <v>74</v>
      </c>
      <c r="F169" t="s">
        <v>3117</v>
      </c>
      <c r="G169" t="s">
        <v>74</v>
      </c>
      <c r="H169" t="s">
        <v>74</v>
      </c>
      <c r="I169" t="s">
        <v>3118</v>
      </c>
      <c r="J169" t="s">
        <v>1094</v>
      </c>
      <c r="K169" t="s">
        <v>74</v>
      </c>
      <c r="L169" t="s">
        <v>74</v>
      </c>
      <c r="M169" t="s">
        <v>78</v>
      </c>
      <c r="N169" t="s">
        <v>79</v>
      </c>
      <c r="O169" t="s">
        <v>74</v>
      </c>
      <c r="P169" t="s">
        <v>74</v>
      </c>
      <c r="Q169" t="s">
        <v>74</v>
      </c>
      <c r="R169" t="s">
        <v>74</v>
      </c>
      <c r="S169" t="s">
        <v>74</v>
      </c>
      <c r="T169" t="s">
        <v>3119</v>
      </c>
      <c r="U169" t="s">
        <v>3120</v>
      </c>
      <c r="V169" t="s">
        <v>3121</v>
      </c>
      <c r="W169" t="s">
        <v>3122</v>
      </c>
      <c r="X169" t="s">
        <v>3123</v>
      </c>
      <c r="Y169" t="s">
        <v>3124</v>
      </c>
      <c r="Z169" t="s">
        <v>3125</v>
      </c>
      <c r="AA169" t="s">
        <v>3126</v>
      </c>
      <c r="AB169" t="s">
        <v>3127</v>
      </c>
      <c r="AC169" t="s">
        <v>3128</v>
      </c>
      <c r="AD169" t="s">
        <v>3129</v>
      </c>
      <c r="AE169" t="s">
        <v>3130</v>
      </c>
      <c r="AF169" t="s">
        <v>74</v>
      </c>
      <c r="AG169">
        <v>66</v>
      </c>
      <c r="AH169">
        <v>0</v>
      </c>
      <c r="AI169">
        <v>0</v>
      </c>
      <c r="AJ169">
        <v>5</v>
      </c>
      <c r="AK169">
        <v>5</v>
      </c>
      <c r="AL169" t="s">
        <v>173</v>
      </c>
      <c r="AM169" t="s">
        <v>121</v>
      </c>
      <c r="AN169" t="s">
        <v>174</v>
      </c>
      <c r="AO169" t="s">
        <v>1106</v>
      </c>
      <c r="AP169" t="s">
        <v>1107</v>
      </c>
      <c r="AQ169" t="s">
        <v>74</v>
      </c>
      <c r="AR169" t="s">
        <v>1108</v>
      </c>
      <c r="AS169" t="s">
        <v>1109</v>
      </c>
      <c r="AT169" t="s">
        <v>2579</v>
      </c>
      <c r="AU169">
        <v>2023</v>
      </c>
      <c r="AV169">
        <v>168</v>
      </c>
      <c r="AW169" t="s">
        <v>74</v>
      </c>
      <c r="AX169" t="s">
        <v>74</v>
      </c>
      <c r="AY169" t="s">
        <v>74</v>
      </c>
      <c r="AZ169" t="s">
        <v>74</v>
      </c>
      <c r="BA169" t="s">
        <v>74</v>
      </c>
      <c r="BB169" t="s">
        <v>74</v>
      </c>
      <c r="BC169" t="s">
        <v>74</v>
      </c>
      <c r="BD169">
        <v>112491</v>
      </c>
      <c r="BE169" t="s">
        <v>3131</v>
      </c>
      <c r="BF169" t="str">
        <f>HYPERLINK("http://dx.doi.org/10.1016/j.materresbull.2023.112491","http://dx.doi.org/10.1016/j.materresbull.2023.112491")</f>
        <v>http://dx.doi.org/10.1016/j.materresbull.2023.112491</v>
      </c>
      <c r="BG169" t="s">
        <v>74</v>
      </c>
      <c r="BH169" t="s">
        <v>74</v>
      </c>
      <c r="BI169">
        <v>16</v>
      </c>
      <c r="BJ169" t="s">
        <v>1111</v>
      </c>
      <c r="BK169" t="s">
        <v>100</v>
      </c>
      <c r="BL169" t="s">
        <v>1112</v>
      </c>
      <c r="BM169" t="s">
        <v>3132</v>
      </c>
      <c r="BN169" t="s">
        <v>74</v>
      </c>
      <c r="BO169" t="s">
        <v>74</v>
      </c>
      <c r="BP169" t="s">
        <v>74</v>
      </c>
      <c r="BQ169" t="s">
        <v>74</v>
      </c>
      <c r="BR169" t="s">
        <v>104</v>
      </c>
      <c r="BS169" t="s">
        <v>3133</v>
      </c>
      <c r="BT169" t="str">
        <f>HYPERLINK("https%3A%2F%2Fwww.webofscience.com%2Fwos%2Fwoscc%2Ffull-record%2FWOS:001055245800001","View Full Record in Web of Science")</f>
        <v>View Full Record in Web of Science</v>
      </c>
    </row>
    <row r="170" spans="1:72" x14ac:dyDescent="0.15">
      <c r="A170" t="s">
        <v>72</v>
      </c>
      <c r="B170" t="s">
        <v>3134</v>
      </c>
      <c r="C170" t="s">
        <v>74</v>
      </c>
      <c r="D170" t="s">
        <v>74</v>
      </c>
      <c r="E170" t="s">
        <v>74</v>
      </c>
      <c r="F170" t="s">
        <v>3135</v>
      </c>
      <c r="G170" t="s">
        <v>74</v>
      </c>
      <c r="H170" t="s">
        <v>74</v>
      </c>
      <c r="I170" t="s">
        <v>3136</v>
      </c>
      <c r="J170" t="s">
        <v>1950</v>
      </c>
      <c r="K170" t="s">
        <v>74</v>
      </c>
      <c r="L170" t="s">
        <v>74</v>
      </c>
      <c r="M170" t="s">
        <v>78</v>
      </c>
      <c r="N170" t="s">
        <v>79</v>
      </c>
      <c r="O170" t="s">
        <v>74</v>
      </c>
      <c r="P170" t="s">
        <v>74</v>
      </c>
      <c r="Q170" t="s">
        <v>74</v>
      </c>
      <c r="R170" t="s">
        <v>74</v>
      </c>
      <c r="S170" t="s">
        <v>74</v>
      </c>
      <c r="T170" t="s">
        <v>3137</v>
      </c>
      <c r="U170" t="s">
        <v>3138</v>
      </c>
      <c r="V170" t="s">
        <v>3139</v>
      </c>
      <c r="W170" t="s">
        <v>3140</v>
      </c>
      <c r="X170" t="s">
        <v>3141</v>
      </c>
      <c r="Y170" t="s">
        <v>3142</v>
      </c>
      <c r="Z170" t="s">
        <v>3143</v>
      </c>
      <c r="AA170" t="s">
        <v>74</v>
      </c>
      <c r="AB170" t="s">
        <v>74</v>
      </c>
      <c r="AC170" t="s">
        <v>74</v>
      </c>
      <c r="AD170" t="s">
        <v>74</v>
      </c>
      <c r="AE170" t="s">
        <v>74</v>
      </c>
      <c r="AF170" t="s">
        <v>74</v>
      </c>
      <c r="AG170">
        <v>43</v>
      </c>
      <c r="AH170">
        <v>0</v>
      </c>
      <c r="AI170">
        <v>0</v>
      </c>
      <c r="AJ170">
        <v>6</v>
      </c>
      <c r="AK170">
        <v>6</v>
      </c>
      <c r="AL170" t="s">
        <v>173</v>
      </c>
      <c r="AM170" t="s">
        <v>121</v>
      </c>
      <c r="AN170" t="s">
        <v>174</v>
      </c>
      <c r="AO170" t="s">
        <v>1963</v>
      </c>
      <c r="AP170" t="s">
        <v>1964</v>
      </c>
      <c r="AQ170" t="s">
        <v>74</v>
      </c>
      <c r="AR170" t="s">
        <v>1950</v>
      </c>
      <c r="AS170" t="s">
        <v>1965</v>
      </c>
      <c r="AT170" t="s">
        <v>2840</v>
      </c>
      <c r="AU170">
        <v>2023</v>
      </c>
      <c r="AV170">
        <v>284</v>
      </c>
      <c r="AW170" t="s">
        <v>74</v>
      </c>
      <c r="AX170" t="s">
        <v>74</v>
      </c>
      <c r="AY170" t="s">
        <v>74</v>
      </c>
      <c r="AZ170" t="s">
        <v>74</v>
      </c>
      <c r="BA170" t="s">
        <v>74</v>
      </c>
      <c r="BB170" t="s">
        <v>74</v>
      </c>
      <c r="BC170" t="s">
        <v>74</v>
      </c>
      <c r="BD170">
        <v>128642</v>
      </c>
      <c r="BE170" t="s">
        <v>3144</v>
      </c>
      <c r="BF170" t="str">
        <f>HYPERLINK("http://dx.doi.org/10.1016/j.energy.2023.128642","http://dx.doi.org/10.1016/j.energy.2023.128642")</f>
        <v>http://dx.doi.org/10.1016/j.energy.2023.128642</v>
      </c>
      <c r="BG170" t="s">
        <v>74</v>
      </c>
      <c r="BH170" t="s">
        <v>74</v>
      </c>
      <c r="BI170">
        <v>14</v>
      </c>
      <c r="BJ170" t="s">
        <v>1967</v>
      </c>
      <c r="BK170" t="s">
        <v>100</v>
      </c>
      <c r="BL170" t="s">
        <v>1967</v>
      </c>
      <c r="BM170" t="s">
        <v>3145</v>
      </c>
      <c r="BN170" t="s">
        <v>74</v>
      </c>
      <c r="BO170" t="s">
        <v>74</v>
      </c>
      <c r="BP170" t="s">
        <v>74</v>
      </c>
      <c r="BQ170" t="s">
        <v>74</v>
      </c>
      <c r="BR170" t="s">
        <v>104</v>
      </c>
      <c r="BS170" t="s">
        <v>3146</v>
      </c>
      <c r="BT170" t="str">
        <f>HYPERLINK("https%3A%2F%2Fwww.webofscience.com%2Fwos%2Fwoscc%2Ffull-record%2FWOS:001053482300001","View Full Record in Web of Science")</f>
        <v>View Full Record in Web of Science</v>
      </c>
    </row>
    <row r="171" spans="1:72" x14ac:dyDescent="0.15">
      <c r="A171" t="s">
        <v>72</v>
      </c>
      <c r="B171" t="s">
        <v>3147</v>
      </c>
      <c r="C171" t="s">
        <v>74</v>
      </c>
      <c r="D171" t="s">
        <v>74</v>
      </c>
      <c r="E171" t="s">
        <v>74</v>
      </c>
      <c r="F171" t="s">
        <v>3148</v>
      </c>
      <c r="G171" t="s">
        <v>74</v>
      </c>
      <c r="H171" t="s">
        <v>74</v>
      </c>
      <c r="I171" t="s">
        <v>3149</v>
      </c>
      <c r="J171" t="s">
        <v>1094</v>
      </c>
      <c r="K171" t="s">
        <v>74</v>
      </c>
      <c r="L171" t="s">
        <v>74</v>
      </c>
      <c r="M171" t="s">
        <v>78</v>
      </c>
      <c r="N171" t="s">
        <v>241</v>
      </c>
      <c r="O171" t="s">
        <v>74</v>
      </c>
      <c r="P171" t="s">
        <v>74</v>
      </c>
      <c r="Q171" t="s">
        <v>74</v>
      </c>
      <c r="R171" t="s">
        <v>74</v>
      </c>
      <c r="S171" t="s">
        <v>74</v>
      </c>
      <c r="T171" t="s">
        <v>3150</v>
      </c>
      <c r="U171" t="s">
        <v>3151</v>
      </c>
      <c r="V171" t="s">
        <v>3152</v>
      </c>
      <c r="W171" t="s">
        <v>3153</v>
      </c>
      <c r="X171" t="s">
        <v>3154</v>
      </c>
      <c r="Y171" t="s">
        <v>3155</v>
      </c>
      <c r="Z171" t="s">
        <v>3156</v>
      </c>
      <c r="AA171" t="s">
        <v>3157</v>
      </c>
      <c r="AB171" t="s">
        <v>3158</v>
      </c>
      <c r="AC171" t="s">
        <v>3159</v>
      </c>
      <c r="AD171" t="s">
        <v>3160</v>
      </c>
      <c r="AE171" t="s">
        <v>3161</v>
      </c>
      <c r="AF171" t="s">
        <v>74</v>
      </c>
      <c r="AG171">
        <v>455</v>
      </c>
      <c r="AH171">
        <v>0</v>
      </c>
      <c r="AI171">
        <v>0</v>
      </c>
      <c r="AJ171">
        <v>27</v>
      </c>
      <c r="AK171">
        <v>27</v>
      </c>
      <c r="AL171" t="s">
        <v>173</v>
      </c>
      <c r="AM171" t="s">
        <v>121</v>
      </c>
      <c r="AN171" t="s">
        <v>174</v>
      </c>
      <c r="AO171" t="s">
        <v>1106</v>
      </c>
      <c r="AP171" t="s">
        <v>1107</v>
      </c>
      <c r="AQ171" t="s">
        <v>74</v>
      </c>
      <c r="AR171" t="s">
        <v>1108</v>
      </c>
      <c r="AS171" t="s">
        <v>1109</v>
      </c>
      <c r="AT171" t="s">
        <v>2579</v>
      </c>
      <c r="AU171">
        <v>2023</v>
      </c>
      <c r="AV171">
        <v>168</v>
      </c>
      <c r="AW171" t="s">
        <v>74</v>
      </c>
      <c r="AX171" t="s">
        <v>74</v>
      </c>
      <c r="AY171" t="s">
        <v>74</v>
      </c>
      <c r="AZ171" t="s">
        <v>74</v>
      </c>
      <c r="BA171" t="s">
        <v>74</v>
      </c>
      <c r="BB171" t="s">
        <v>74</v>
      </c>
      <c r="BC171" t="s">
        <v>74</v>
      </c>
      <c r="BD171">
        <v>112448</v>
      </c>
      <c r="BE171" t="s">
        <v>3162</v>
      </c>
      <c r="BF171" t="str">
        <f>HYPERLINK("http://dx.doi.org/10.1016/j.materresbull.2023.112448","http://dx.doi.org/10.1016/j.materresbull.2023.112448")</f>
        <v>http://dx.doi.org/10.1016/j.materresbull.2023.112448</v>
      </c>
      <c r="BG171" t="s">
        <v>74</v>
      </c>
      <c r="BH171" t="s">
        <v>74</v>
      </c>
      <c r="BI171">
        <v>47</v>
      </c>
      <c r="BJ171" t="s">
        <v>1111</v>
      </c>
      <c r="BK171" t="s">
        <v>100</v>
      </c>
      <c r="BL171" t="s">
        <v>1112</v>
      </c>
      <c r="BM171" t="s">
        <v>3163</v>
      </c>
      <c r="BN171" t="s">
        <v>74</v>
      </c>
      <c r="BO171" t="s">
        <v>74</v>
      </c>
      <c r="BP171" t="s">
        <v>74</v>
      </c>
      <c r="BQ171" t="s">
        <v>74</v>
      </c>
      <c r="BR171" t="s">
        <v>104</v>
      </c>
      <c r="BS171" t="s">
        <v>3164</v>
      </c>
      <c r="BT171" t="str">
        <f>HYPERLINK("https%3A%2F%2Fwww.webofscience.com%2Fwos%2Fwoscc%2Ffull-record%2FWOS:001053608000001","View Full Record in Web of Science")</f>
        <v>View Full Record in Web of Science</v>
      </c>
    </row>
    <row r="172" spans="1:72" x14ac:dyDescent="0.15">
      <c r="A172" t="s">
        <v>72</v>
      </c>
      <c r="B172" t="s">
        <v>3165</v>
      </c>
      <c r="C172" t="s">
        <v>74</v>
      </c>
      <c r="D172" t="s">
        <v>74</v>
      </c>
      <c r="E172" t="s">
        <v>74</v>
      </c>
      <c r="F172" t="s">
        <v>3166</v>
      </c>
      <c r="G172" t="s">
        <v>74</v>
      </c>
      <c r="H172" t="s">
        <v>74</v>
      </c>
      <c r="I172" t="s">
        <v>3167</v>
      </c>
      <c r="J172" t="s">
        <v>3168</v>
      </c>
      <c r="K172" t="s">
        <v>74</v>
      </c>
      <c r="L172" t="s">
        <v>74</v>
      </c>
      <c r="M172" t="s">
        <v>78</v>
      </c>
      <c r="N172" t="s">
        <v>79</v>
      </c>
      <c r="O172" t="s">
        <v>74</v>
      </c>
      <c r="P172" t="s">
        <v>74</v>
      </c>
      <c r="Q172" t="s">
        <v>74</v>
      </c>
      <c r="R172" t="s">
        <v>74</v>
      </c>
      <c r="S172" t="s">
        <v>74</v>
      </c>
      <c r="T172" t="s">
        <v>3169</v>
      </c>
      <c r="U172" t="s">
        <v>3170</v>
      </c>
      <c r="V172" t="s">
        <v>3171</v>
      </c>
      <c r="W172" t="s">
        <v>3172</v>
      </c>
      <c r="X172" t="s">
        <v>3173</v>
      </c>
      <c r="Y172" t="s">
        <v>3174</v>
      </c>
      <c r="Z172" t="s">
        <v>3175</v>
      </c>
      <c r="AA172" t="s">
        <v>74</v>
      </c>
      <c r="AB172" t="s">
        <v>74</v>
      </c>
      <c r="AC172" t="s">
        <v>3176</v>
      </c>
      <c r="AD172" t="s">
        <v>252</v>
      </c>
      <c r="AE172" t="s">
        <v>3177</v>
      </c>
      <c r="AF172" t="s">
        <v>74</v>
      </c>
      <c r="AG172">
        <v>47</v>
      </c>
      <c r="AH172">
        <v>0</v>
      </c>
      <c r="AI172">
        <v>0</v>
      </c>
      <c r="AJ172">
        <v>0</v>
      </c>
      <c r="AK172">
        <v>0</v>
      </c>
      <c r="AL172" t="s">
        <v>90</v>
      </c>
      <c r="AM172" t="s">
        <v>91</v>
      </c>
      <c r="AN172" t="s">
        <v>92</v>
      </c>
      <c r="AO172" t="s">
        <v>3178</v>
      </c>
      <c r="AP172" t="s">
        <v>3179</v>
      </c>
      <c r="AQ172" t="s">
        <v>74</v>
      </c>
      <c r="AR172" t="s">
        <v>3180</v>
      </c>
      <c r="AS172" t="s">
        <v>3181</v>
      </c>
      <c r="AT172" t="s">
        <v>2579</v>
      </c>
      <c r="AU172">
        <v>2023</v>
      </c>
      <c r="AV172">
        <v>100</v>
      </c>
      <c r="AW172" t="s">
        <v>74</v>
      </c>
      <c r="AX172" t="s">
        <v>74</v>
      </c>
      <c r="AY172" t="s">
        <v>74</v>
      </c>
      <c r="AZ172" t="s">
        <v>74</v>
      </c>
      <c r="BA172" t="s">
        <v>74</v>
      </c>
      <c r="BB172" t="s">
        <v>74</v>
      </c>
      <c r="BC172" t="s">
        <v>74</v>
      </c>
      <c r="BD172">
        <v>101962</v>
      </c>
      <c r="BE172" t="s">
        <v>3182</v>
      </c>
      <c r="BF172" t="str">
        <f>HYPERLINK("http://dx.doi.org/10.1016/j.inffus.2023.101962","http://dx.doi.org/10.1016/j.inffus.2023.101962")</f>
        <v>http://dx.doi.org/10.1016/j.inffus.2023.101962</v>
      </c>
      <c r="BG172" t="s">
        <v>74</v>
      </c>
      <c r="BH172" t="s">
        <v>74</v>
      </c>
      <c r="BI172">
        <v>16</v>
      </c>
      <c r="BJ172" t="s">
        <v>3183</v>
      </c>
      <c r="BK172" t="s">
        <v>100</v>
      </c>
      <c r="BL172" t="s">
        <v>563</v>
      </c>
      <c r="BM172" t="s">
        <v>3184</v>
      </c>
      <c r="BN172" t="s">
        <v>74</v>
      </c>
      <c r="BO172" t="s">
        <v>74</v>
      </c>
      <c r="BP172" t="s">
        <v>74</v>
      </c>
      <c r="BQ172" t="s">
        <v>74</v>
      </c>
      <c r="BR172" t="s">
        <v>104</v>
      </c>
      <c r="BS172" t="s">
        <v>3185</v>
      </c>
      <c r="BT172" t="str">
        <f>HYPERLINK("https%3A%2F%2Fwww.webofscience.com%2Fwos%2Fwoscc%2Ffull-record%2FWOS:001064571800001","View Full Record in Web of Science")</f>
        <v>View Full Record in Web of Science</v>
      </c>
    </row>
    <row r="173" spans="1:72" x14ac:dyDescent="0.15">
      <c r="A173" t="s">
        <v>72</v>
      </c>
      <c r="B173" t="s">
        <v>3186</v>
      </c>
      <c r="C173" t="s">
        <v>74</v>
      </c>
      <c r="D173" t="s">
        <v>74</v>
      </c>
      <c r="E173" t="s">
        <v>74</v>
      </c>
      <c r="F173" t="s">
        <v>3187</v>
      </c>
      <c r="G173" t="s">
        <v>74</v>
      </c>
      <c r="H173" t="s">
        <v>74</v>
      </c>
      <c r="I173" t="s">
        <v>3188</v>
      </c>
      <c r="J173" t="s">
        <v>1401</v>
      </c>
      <c r="K173" t="s">
        <v>74</v>
      </c>
      <c r="L173" t="s">
        <v>74</v>
      </c>
      <c r="M173" t="s">
        <v>78</v>
      </c>
      <c r="N173" t="s">
        <v>79</v>
      </c>
      <c r="O173" t="s">
        <v>74</v>
      </c>
      <c r="P173" t="s">
        <v>74</v>
      </c>
      <c r="Q173" t="s">
        <v>74</v>
      </c>
      <c r="R173" t="s">
        <v>74</v>
      </c>
      <c r="S173" t="s">
        <v>74</v>
      </c>
      <c r="T173" t="s">
        <v>3189</v>
      </c>
      <c r="U173" t="s">
        <v>3190</v>
      </c>
      <c r="V173" t="s">
        <v>3191</v>
      </c>
      <c r="W173" t="s">
        <v>3192</v>
      </c>
      <c r="X173" t="s">
        <v>3193</v>
      </c>
      <c r="Y173" t="s">
        <v>3194</v>
      </c>
      <c r="Z173" t="s">
        <v>3195</v>
      </c>
      <c r="AA173" t="s">
        <v>74</v>
      </c>
      <c r="AB173" t="s">
        <v>3196</v>
      </c>
      <c r="AC173" t="s">
        <v>3197</v>
      </c>
      <c r="AD173" t="s">
        <v>3198</v>
      </c>
      <c r="AE173" t="s">
        <v>3199</v>
      </c>
      <c r="AF173" t="s">
        <v>74</v>
      </c>
      <c r="AG173">
        <v>36</v>
      </c>
      <c r="AH173">
        <v>0</v>
      </c>
      <c r="AI173">
        <v>0</v>
      </c>
      <c r="AJ173">
        <v>15</v>
      </c>
      <c r="AK173">
        <v>15</v>
      </c>
      <c r="AL173" t="s">
        <v>475</v>
      </c>
      <c r="AM173" t="s">
        <v>476</v>
      </c>
      <c r="AN173" t="s">
        <v>477</v>
      </c>
      <c r="AO173" t="s">
        <v>1412</v>
      </c>
      <c r="AP173" t="s">
        <v>1413</v>
      </c>
      <c r="AQ173" t="s">
        <v>74</v>
      </c>
      <c r="AR173" t="s">
        <v>1414</v>
      </c>
      <c r="AS173" t="s">
        <v>1415</v>
      </c>
      <c r="AT173" t="s">
        <v>2579</v>
      </c>
      <c r="AU173">
        <v>2023</v>
      </c>
      <c r="AV173">
        <v>651</v>
      </c>
      <c r="AW173" t="s">
        <v>74</v>
      </c>
      <c r="AX173" t="s">
        <v>74</v>
      </c>
      <c r="AY173" t="s">
        <v>74</v>
      </c>
      <c r="AZ173" t="s">
        <v>74</v>
      </c>
      <c r="BA173" t="s">
        <v>74</v>
      </c>
      <c r="BB173">
        <v>172</v>
      </c>
      <c r="BC173">
        <v>181</v>
      </c>
      <c r="BD173" t="s">
        <v>74</v>
      </c>
      <c r="BE173" t="s">
        <v>3200</v>
      </c>
      <c r="BF173" t="str">
        <f>HYPERLINK("http://dx.doi.org/10.1016/j.jcis.2023.07.176","http://dx.doi.org/10.1016/j.jcis.2023.07.176")</f>
        <v>http://dx.doi.org/10.1016/j.jcis.2023.07.176</v>
      </c>
      <c r="BG173" t="s">
        <v>74</v>
      </c>
      <c r="BH173" t="s">
        <v>74</v>
      </c>
      <c r="BI173">
        <v>10</v>
      </c>
      <c r="BJ173" t="s">
        <v>394</v>
      </c>
      <c r="BK173" t="s">
        <v>100</v>
      </c>
      <c r="BL173" t="s">
        <v>395</v>
      </c>
      <c r="BM173" t="s">
        <v>3201</v>
      </c>
      <c r="BN173">
        <v>37542892</v>
      </c>
      <c r="BO173" t="s">
        <v>74</v>
      </c>
      <c r="BP173" t="s">
        <v>74</v>
      </c>
      <c r="BQ173" t="s">
        <v>74</v>
      </c>
      <c r="BR173" t="s">
        <v>104</v>
      </c>
      <c r="BS173" t="s">
        <v>3202</v>
      </c>
      <c r="BT173" t="str">
        <f>HYPERLINK("https%3A%2F%2Fwww.webofscience.com%2Fwos%2Fwoscc%2Ffull-record%2FWOS:001052903200001","View Full Record in Web of Science")</f>
        <v>View Full Record in Web of Science</v>
      </c>
    </row>
    <row r="174" spans="1:72" x14ac:dyDescent="0.15">
      <c r="A174" t="s">
        <v>72</v>
      </c>
      <c r="B174" t="s">
        <v>3203</v>
      </c>
      <c r="C174" t="s">
        <v>74</v>
      </c>
      <c r="D174" t="s">
        <v>74</v>
      </c>
      <c r="E174" t="s">
        <v>74</v>
      </c>
      <c r="F174" t="s">
        <v>3204</v>
      </c>
      <c r="G174" t="s">
        <v>74</v>
      </c>
      <c r="H174" t="s">
        <v>74</v>
      </c>
      <c r="I174" t="s">
        <v>3205</v>
      </c>
      <c r="J174" t="s">
        <v>2730</v>
      </c>
      <c r="K174" t="s">
        <v>74</v>
      </c>
      <c r="L174" t="s">
        <v>74</v>
      </c>
      <c r="M174" t="s">
        <v>78</v>
      </c>
      <c r="N174" t="s">
        <v>79</v>
      </c>
      <c r="O174" t="s">
        <v>74</v>
      </c>
      <c r="P174" t="s">
        <v>74</v>
      </c>
      <c r="Q174" t="s">
        <v>74</v>
      </c>
      <c r="R174" t="s">
        <v>74</v>
      </c>
      <c r="S174" t="s">
        <v>74</v>
      </c>
      <c r="T174" t="s">
        <v>3206</v>
      </c>
      <c r="U174" t="s">
        <v>3207</v>
      </c>
      <c r="V174" t="s">
        <v>3208</v>
      </c>
      <c r="W174" t="s">
        <v>3209</v>
      </c>
      <c r="X174" t="s">
        <v>3210</v>
      </c>
      <c r="Y174" t="s">
        <v>3211</v>
      </c>
      <c r="Z174" t="s">
        <v>3212</v>
      </c>
      <c r="AA174" t="s">
        <v>3213</v>
      </c>
      <c r="AB174" t="s">
        <v>3214</v>
      </c>
      <c r="AC174" t="s">
        <v>3215</v>
      </c>
      <c r="AD174" t="s">
        <v>3216</v>
      </c>
      <c r="AE174" t="s">
        <v>3217</v>
      </c>
      <c r="AF174" t="s">
        <v>74</v>
      </c>
      <c r="AG174">
        <v>112</v>
      </c>
      <c r="AH174">
        <v>0</v>
      </c>
      <c r="AI174">
        <v>0</v>
      </c>
      <c r="AJ174">
        <v>1</v>
      </c>
      <c r="AK174">
        <v>1</v>
      </c>
      <c r="AL174" t="s">
        <v>90</v>
      </c>
      <c r="AM174" t="s">
        <v>91</v>
      </c>
      <c r="AN174" t="s">
        <v>92</v>
      </c>
      <c r="AO174" t="s">
        <v>2743</v>
      </c>
      <c r="AP174" t="s">
        <v>2744</v>
      </c>
      <c r="AQ174" t="s">
        <v>74</v>
      </c>
      <c r="AR174" t="s">
        <v>2745</v>
      </c>
      <c r="AS174" t="s">
        <v>2746</v>
      </c>
      <c r="AT174" t="s">
        <v>2579</v>
      </c>
      <c r="AU174">
        <v>2023</v>
      </c>
      <c r="AV174">
        <v>124</v>
      </c>
      <c r="AW174" t="s">
        <v>74</v>
      </c>
      <c r="AX174" t="s">
        <v>74</v>
      </c>
      <c r="AY174" t="s">
        <v>74</v>
      </c>
      <c r="AZ174" t="s">
        <v>74</v>
      </c>
      <c r="BA174" t="s">
        <v>74</v>
      </c>
      <c r="BB174">
        <v>18</v>
      </c>
      <c r="BC174">
        <v>38</v>
      </c>
      <c r="BD174" t="s">
        <v>74</v>
      </c>
      <c r="BE174" t="s">
        <v>3218</v>
      </c>
      <c r="BF174" t="str">
        <f>HYPERLINK("http://dx.doi.org/10.1016/j.gr.2023.06.014","http://dx.doi.org/10.1016/j.gr.2023.06.014")</f>
        <v>http://dx.doi.org/10.1016/j.gr.2023.06.014</v>
      </c>
      <c r="BG174" t="s">
        <v>74</v>
      </c>
      <c r="BH174" t="s">
        <v>74</v>
      </c>
      <c r="BI174">
        <v>21</v>
      </c>
      <c r="BJ174" t="s">
        <v>2748</v>
      </c>
      <c r="BK174" t="s">
        <v>100</v>
      </c>
      <c r="BL174" t="s">
        <v>2749</v>
      </c>
      <c r="BM174" t="s">
        <v>3219</v>
      </c>
      <c r="BN174" t="s">
        <v>74</v>
      </c>
      <c r="BO174" t="s">
        <v>74</v>
      </c>
      <c r="BP174" t="s">
        <v>74</v>
      </c>
      <c r="BQ174" t="s">
        <v>74</v>
      </c>
      <c r="BR174" t="s">
        <v>104</v>
      </c>
      <c r="BS174" t="s">
        <v>3220</v>
      </c>
      <c r="BT174" t="str">
        <f>HYPERLINK("https%3A%2F%2Fwww.webofscience.com%2Fwos%2Fwoscc%2Ffull-record%2FWOS:001041085300001","View Full Record in Web of Science")</f>
        <v>View Full Record in Web of Science</v>
      </c>
    </row>
    <row r="175" spans="1:72" x14ac:dyDescent="0.15">
      <c r="A175" t="s">
        <v>72</v>
      </c>
      <c r="B175" t="s">
        <v>3221</v>
      </c>
      <c r="C175" t="s">
        <v>74</v>
      </c>
      <c r="D175" t="s">
        <v>74</v>
      </c>
      <c r="E175" t="s">
        <v>74</v>
      </c>
      <c r="F175" t="s">
        <v>3222</v>
      </c>
      <c r="G175" t="s">
        <v>74</v>
      </c>
      <c r="H175" t="s">
        <v>74</v>
      </c>
      <c r="I175" t="s">
        <v>3223</v>
      </c>
      <c r="J175" t="s">
        <v>3224</v>
      </c>
      <c r="K175" t="s">
        <v>74</v>
      </c>
      <c r="L175" t="s">
        <v>74</v>
      </c>
      <c r="M175" t="s">
        <v>78</v>
      </c>
      <c r="N175" t="s">
        <v>79</v>
      </c>
      <c r="O175" t="s">
        <v>74</v>
      </c>
      <c r="P175" t="s">
        <v>74</v>
      </c>
      <c r="Q175" t="s">
        <v>74</v>
      </c>
      <c r="R175" t="s">
        <v>74</v>
      </c>
      <c r="S175" t="s">
        <v>74</v>
      </c>
      <c r="T175" t="s">
        <v>3225</v>
      </c>
      <c r="U175" t="s">
        <v>3226</v>
      </c>
      <c r="V175" t="s">
        <v>3227</v>
      </c>
      <c r="W175" t="s">
        <v>3228</v>
      </c>
      <c r="X175" t="s">
        <v>3229</v>
      </c>
      <c r="Y175" t="s">
        <v>3230</v>
      </c>
      <c r="Z175" t="s">
        <v>3231</v>
      </c>
      <c r="AA175" t="s">
        <v>74</v>
      </c>
      <c r="AB175" t="s">
        <v>74</v>
      </c>
      <c r="AC175" t="s">
        <v>3232</v>
      </c>
      <c r="AD175" t="s">
        <v>3233</v>
      </c>
      <c r="AE175" t="s">
        <v>3234</v>
      </c>
      <c r="AF175" t="s">
        <v>74</v>
      </c>
      <c r="AG175">
        <v>41</v>
      </c>
      <c r="AH175">
        <v>0</v>
      </c>
      <c r="AI175">
        <v>0</v>
      </c>
      <c r="AJ175">
        <v>0</v>
      </c>
      <c r="AK175">
        <v>0</v>
      </c>
      <c r="AL175" t="s">
        <v>90</v>
      </c>
      <c r="AM175" t="s">
        <v>91</v>
      </c>
      <c r="AN175" t="s">
        <v>92</v>
      </c>
      <c r="AO175" t="s">
        <v>74</v>
      </c>
      <c r="AP175" t="s">
        <v>3235</v>
      </c>
      <c r="AQ175" t="s">
        <v>74</v>
      </c>
      <c r="AR175" t="s">
        <v>3236</v>
      </c>
      <c r="AS175" t="s">
        <v>3237</v>
      </c>
      <c r="AT175" t="s">
        <v>2579</v>
      </c>
      <c r="AU175">
        <v>2023</v>
      </c>
      <c r="AV175">
        <v>37</v>
      </c>
      <c r="AW175" t="s">
        <v>74</v>
      </c>
      <c r="AX175" t="s">
        <v>74</v>
      </c>
      <c r="AY175" t="s">
        <v>74</v>
      </c>
      <c r="AZ175" t="s">
        <v>74</v>
      </c>
      <c r="BA175" t="s">
        <v>74</v>
      </c>
      <c r="BB175" t="s">
        <v>74</v>
      </c>
      <c r="BC175" t="s">
        <v>74</v>
      </c>
      <c r="BD175">
        <v>106996</v>
      </c>
      <c r="BE175" t="s">
        <v>3238</v>
      </c>
      <c r="BF175" t="str">
        <f>HYPERLINK("http://dx.doi.org/10.1016/j.mtcomm.2023.106996","http://dx.doi.org/10.1016/j.mtcomm.2023.106996")</f>
        <v>http://dx.doi.org/10.1016/j.mtcomm.2023.106996</v>
      </c>
      <c r="BG175" t="s">
        <v>74</v>
      </c>
      <c r="BH175" t="s">
        <v>74</v>
      </c>
      <c r="BI175">
        <v>8</v>
      </c>
      <c r="BJ175" t="s">
        <v>1111</v>
      </c>
      <c r="BK175" t="s">
        <v>100</v>
      </c>
      <c r="BL175" t="s">
        <v>1112</v>
      </c>
      <c r="BM175" t="s">
        <v>3239</v>
      </c>
      <c r="BN175" t="s">
        <v>74</v>
      </c>
      <c r="BO175" t="s">
        <v>74</v>
      </c>
      <c r="BP175" t="s">
        <v>74</v>
      </c>
      <c r="BQ175" t="s">
        <v>74</v>
      </c>
      <c r="BR175" t="s">
        <v>104</v>
      </c>
      <c r="BS175" t="s">
        <v>3240</v>
      </c>
      <c r="BT175" t="str">
        <f>HYPERLINK("https%3A%2F%2Fwww.webofscience.com%2Fwos%2Fwoscc%2Ffull-record%2FWOS:001071903700001","View Full Record in Web of Science")</f>
        <v>View Full Record in Web of Science</v>
      </c>
    </row>
    <row r="176" spans="1:72" x14ac:dyDescent="0.15">
      <c r="A176" t="s">
        <v>72</v>
      </c>
      <c r="B176" t="s">
        <v>3241</v>
      </c>
      <c r="C176" t="s">
        <v>74</v>
      </c>
      <c r="D176" t="s">
        <v>74</v>
      </c>
      <c r="E176" t="s">
        <v>74</v>
      </c>
      <c r="F176" t="s">
        <v>3242</v>
      </c>
      <c r="G176" t="s">
        <v>74</v>
      </c>
      <c r="H176" t="s">
        <v>74</v>
      </c>
      <c r="I176" t="s">
        <v>3243</v>
      </c>
      <c r="J176" t="s">
        <v>1950</v>
      </c>
      <c r="K176" t="s">
        <v>74</v>
      </c>
      <c r="L176" t="s">
        <v>74</v>
      </c>
      <c r="M176" t="s">
        <v>78</v>
      </c>
      <c r="N176" t="s">
        <v>79</v>
      </c>
      <c r="O176" t="s">
        <v>74</v>
      </c>
      <c r="P176" t="s">
        <v>74</v>
      </c>
      <c r="Q176" t="s">
        <v>74</v>
      </c>
      <c r="R176" t="s">
        <v>74</v>
      </c>
      <c r="S176" t="s">
        <v>74</v>
      </c>
      <c r="T176" t="s">
        <v>3244</v>
      </c>
      <c r="U176" t="s">
        <v>3245</v>
      </c>
      <c r="V176" t="s">
        <v>3246</v>
      </c>
      <c r="W176" t="s">
        <v>3247</v>
      </c>
      <c r="X176" t="s">
        <v>3248</v>
      </c>
      <c r="Y176" t="s">
        <v>3249</v>
      </c>
      <c r="Z176" t="s">
        <v>3250</v>
      </c>
      <c r="AA176" t="s">
        <v>74</v>
      </c>
      <c r="AB176" t="s">
        <v>3251</v>
      </c>
      <c r="AC176" t="s">
        <v>3252</v>
      </c>
      <c r="AD176" t="s">
        <v>3253</v>
      </c>
      <c r="AE176" t="s">
        <v>3254</v>
      </c>
      <c r="AF176" t="s">
        <v>74</v>
      </c>
      <c r="AG176">
        <v>83</v>
      </c>
      <c r="AH176">
        <v>0</v>
      </c>
      <c r="AI176">
        <v>0</v>
      </c>
      <c r="AJ176">
        <v>5</v>
      </c>
      <c r="AK176">
        <v>5</v>
      </c>
      <c r="AL176" t="s">
        <v>173</v>
      </c>
      <c r="AM176" t="s">
        <v>121</v>
      </c>
      <c r="AN176" t="s">
        <v>174</v>
      </c>
      <c r="AO176" t="s">
        <v>1963</v>
      </c>
      <c r="AP176" t="s">
        <v>1964</v>
      </c>
      <c r="AQ176" t="s">
        <v>74</v>
      </c>
      <c r="AR176" t="s">
        <v>1950</v>
      </c>
      <c r="AS176" t="s">
        <v>1965</v>
      </c>
      <c r="AT176" t="s">
        <v>2840</v>
      </c>
      <c r="AU176">
        <v>2023</v>
      </c>
      <c r="AV176">
        <v>284</v>
      </c>
      <c r="AW176" t="s">
        <v>74</v>
      </c>
      <c r="AX176" t="s">
        <v>74</v>
      </c>
      <c r="AY176" t="s">
        <v>74</v>
      </c>
      <c r="AZ176" t="s">
        <v>74</v>
      </c>
      <c r="BA176" t="s">
        <v>74</v>
      </c>
      <c r="BB176" t="s">
        <v>74</v>
      </c>
      <c r="BC176" t="s">
        <v>74</v>
      </c>
      <c r="BD176">
        <v>128637</v>
      </c>
      <c r="BE176" t="s">
        <v>3255</v>
      </c>
      <c r="BF176" t="str">
        <f>HYPERLINK("http://dx.doi.org/10.1016/j.energy.2023.128637","http://dx.doi.org/10.1016/j.energy.2023.128637")</f>
        <v>http://dx.doi.org/10.1016/j.energy.2023.128637</v>
      </c>
      <c r="BG176" t="s">
        <v>74</v>
      </c>
      <c r="BH176" t="s">
        <v>74</v>
      </c>
      <c r="BI176">
        <v>14</v>
      </c>
      <c r="BJ176" t="s">
        <v>1967</v>
      </c>
      <c r="BK176" t="s">
        <v>100</v>
      </c>
      <c r="BL176" t="s">
        <v>1967</v>
      </c>
      <c r="BM176" t="s">
        <v>3256</v>
      </c>
      <c r="BN176" t="s">
        <v>74</v>
      </c>
      <c r="BO176" t="s">
        <v>74</v>
      </c>
      <c r="BP176" t="s">
        <v>74</v>
      </c>
      <c r="BQ176" t="s">
        <v>74</v>
      </c>
      <c r="BR176" t="s">
        <v>104</v>
      </c>
      <c r="BS176" t="s">
        <v>3257</v>
      </c>
      <c r="BT176" t="str">
        <f>HYPERLINK("https%3A%2F%2Fwww.webofscience.com%2Fwos%2Fwoscc%2Ffull-record%2FWOS:001058906900001","View Full Record in Web of Science")</f>
        <v>View Full Record in Web of Science</v>
      </c>
    </row>
    <row r="177" spans="1:72" x14ac:dyDescent="0.15">
      <c r="A177" t="s">
        <v>72</v>
      </c>
      <c r="B177" t="s">
        <v>3258</v>
      </c>
      <c r="C177" t="s">
        <v>74</v>
      </c>
      <c r="D177" t="s">
        <v>74</v>
      </c>
      <c r="E177" t="s">
        <v>74</v>
      </c>
      <c r="F177" t="s">
        <v>3259</v>
      </c>
      <c r="G177" t="s">
        <v>74</v>
      </c>
      <c r="H177" t="s">
        <v>74</v>
      </c>
      <c r="I177" t="s">
        <v>3260</v>
      </c>
      <c r="J177" t="s">
        <v>3261</v>
      </c>
      <c r="K177" t="s">
        <v>74</v>
      </c>
      <c r="L177" t="s">
        <v>74</v>
      </c>
      <c r="M177" t="s">
        <v>78</v>
      </c>
      <c r="N177" t="s">
        <v>79</v>
      </c>
      <c r="O177" t="s">
        <v>74</v>
      </c>
      <c r="P177" t="s">
        <v>74</v>
      </c>
      <c r="Q177" t="s">
        <v>74</v>
      </c>
      <c r="R177" t="s">
        <v>74</v>
      </c>
      <c r="S177" t="s">
        <v>74</v>
      </c>
      <c r="T177" t="s">
        <v>3262</v>
      </c>
      <c r="U177" t="s">
        <v>3263</v>
      </c>
      <c r="V177" t="s">
        <v>3264</v>
      </c>
      <c r="W177" t="s">
        <v>3265</v>
      </c>
      <c r="X177" t="s">
        <v>3266</v>
      </c>
      <c r="Y177" t="s">
        <v>3267</v>
      </c>
      <c r="Z177" t="s">
        <v>3268</v>
      </c>
      <c r="AA177" t="s">
        <v>74</v>
      </c>
      <c r="AB177" t="s">
        <v>74</v>
      </c>
      <c r="AC177" t="s">
        <v>3269</v>
      </c>
      <c r="AD177" t="s">
        <v>3270</v>
      </c>
      <c r="AE177" t="s">
        <v>3271</v>
      </c>
      <c r="AF177" t="s">
        <v>74</v>
      </c>
      <c r="AG177">
        <v>50</v>
      </c>
      <c r="AH177">
        <v>0</v>
      </c>
      <c r="AI177">
        <v>0</v>
      </c>
      <c r="AJ177">
        <v>0</v>
      </c>
      <c r="AK177">
        <v>0</v>
      </c>
      <c r="AL177" t="s">
        <v>173</v>
      </c>
      <c r="AM177" t="s">
        <v>121</v>
      </c>
      <c r="AN177" t="s">
        <v>174</v>
      </c>
      <c r="AO177" t="s">
        <v>3272</v>
      </c>
      <c r="AP177" t="s">
        <v>3273</v>
      </c>
      <c r="AQ177" t="s">
        <v>74</v>
      </c>
      <c r="AR177" t="s">
        <v>3274</v>
      </c>
      <c r="AS177" t="s">
        <v>3275</v>
      </c>
      <c r="AT177" t="s">
        <v>2840</v>
      </c>
      <c r="AU177">
        <v>2023</v>
      </c>
      <c r="AV177">
        <v>216</v>
      </c>
      <c r="AW177" t="s">
        <v>74</v>
      </c>
      <c r="AX177" t="s">
        <v>74</v>
      </c>
      <c r="AY177" t="s">
        <v>74</v>
      </c>
      <c r="AZ177" t="s">
        <v>74</v>
      </c>
      <c r="BA177" t="s">
        <v>74</v>
      </c>
      <c r="BB177" t="s">
        <v>74</v>
      </c>
      <c r="BC177" t="s">
        <v>74</v>
      </c>
      <c r="BD177">
        <v>124580</v>
      </c>
      <c r="BE177" t="s">
        <v>3276</v>
      </c>
      <c r="BF177" t="str">
        <f>HYPERLINK("http://dx.doi.org/10.1016/j.ijheatmasstransfer.2023.124580","http://dx.doi.org/10.1016/j.ijheatmasstransfer.2023.124580")</f>
        <v>http://dx.doi.org/10.1016/j.ijheatmasstransfer.2023.124580</v>
      </c>
      <c r="BG177" t="s">
        <v>74</v>
      </c>
      <c r="BH177" t="s">
        <v>74</v>
      </c>
      <c r="BI177">
        <v>13</v>
      </c>
      <c r="BJ177" t="s">
        <v>3277</v>
      </c>
      <c r="BK177" t="s">
        <v>100</v>
      </c>
      <c r="BL177" t="s">
        <v>3278</v>
      </c>
      <c r="BM177" t="s">
        <v>3279</v>
      </c>
      <c r="BN177" t="s">
        <v>74</v>
      </c>
      <c r="BO177" t="s">
        <v>295</v>
      </c>
      <c r="BP177" t="s">
        <v>74</v>
      </c>
      <c r="BQ177" t="s">
        <v>74</v>
      </c>
      <c r="BR177" t="s">
        <v>104</v>
      </c>
      <c r="BS177" t="s">
        <v>3280</v>
      </c>
      <c r="BT177" t="str">
        <f>HYPERLINK("https%3A%2F%2Fwww.webofscience.com%2Fwos%2Fwoscc%2Ffull-record%2FWOS:001066247700001","View Full Record in Web of Science")</f>
        <v>View Full Record in Web of Science</v>
      </c>
    </row>
    <row r="178" spans="1:72" x14ac:dyDescent="0.15">
      <c r="A178" t="s">
        <v>72</v>
      </c>
      <c r="B178" t="s">
        <v>3281</v>
      </c>
      <c r="C178" t="s">
        <v>74</v>
      </c>
      <c r="D178" t="s">
        <v>74</v>
      </c>
      <c r="E178" t="s">
        <v>74</v>
      </c>
      <c r="F178" t="s">
        <v>3282</v>
      </c>
      <c r="G178" t="s">
        <v>74</v>
      </c>
      <c r="H178" t="s">
        <v>74</v>
      </c>
      <c r="I178" t="s">
        <v>3283</v>
      </c>
      <c r="J178" t="s">
        <v>3284</v>
      </c>
      <c r="K178" t="s">
        <v>74</v>
      </c>
      <c r="L178" t="s">
        <v>74</v>
      </c>
      <c r="M178" t="s">
        <v>78</v>
      </c>
      <c r="N178" t="s">
        <v>79</v>
      </c>
      <c r="O178" t="s">
        <v>74</v>
      </c>
      <c r="P178" t="s">
        <v>74</v>
      </c>
      <c r="Q178" t="s">
        <v>74</v>
      </c>
      <c r="R178" t="s">
        <v>74</v>
      </c>
      <c r="S178" t="s">
        <v>74</v>
      </c>
      <c r="T178" t="s">
        <v>3285</v>
      </c>
      <c r="U178" t="s">
        <v>3286</v>
      </c>
      <c r="V178" t="s">
        <v>3287</v>
      </c>
      <c r="W178" t="s">
        <v>3288</v>
      </c>
      <c r="X178" t="s">
        <v>3289</v>
      </c>
      <c r="Y178" t="s">
        <v>3290</v>
      </c>
      <c r="Z178" t="s">
        <v>3291</v>
      </c>
      <c r="AA178" t="s">
        <v>74</v>
      </c>
      <c r="AB178" t="s">
        <v>74</v>
      </c>
      <c r="AC178" t="s">
        <v>74</v>
      </c>
      <c r="AD178" t="s">
        <v>74</v>
      </c>
      <c r="AE178" t="s">
        <v>74</v>
      </c>
      <c r="AF178" t="s">
        <v>74</v>
      </c>
      <c r="AG178">
        <v>35</v>
      </c>
      <c r="AH178">
        <v>0</v>
      </c>
      <c r="AI178">
        <v>0</v>
      </c>
      <c r="AJ178">
        <v>6</v>
      </c>
      <c r="AK178">
        <v>6</v>
      </c>
      <c r="AL178" t="s">
        <v>554</v>
      </c>
      <c r="AM178" t="s">
        <v>555</v>
      </c>
      <c r="AN178" t="s">
        <v>556</v>
      </c>
      <c r="AO178" t="s">
        <v>3292</v>
      </c>
      <c r="AP178" t="s">
        <v>3293</v>
      </c>
      <c r="AQ178" t="s">
        <v>74</v>
      </c>
      <c r="AR178" t="s">
        <v>3294</v>
      </c>
      <c r="AS178" t="s">
        <v>3295</v>
      </c>
      <c r="AT178" t="s">
        <v>2579</v>
      </c>
      <c r="AU178">
        <v>2023</v>
      </c>
      <c r="AV178">
        <v>116</v>
      </c>
      <c r="AW178" t="s">
        <v>74</v>
      </c>
      <c r="AX178" t="s">
        <v>74</v>
      </c>
      <c r="AY178" t="s">
        <v>74</v>
      </c>
      <c r="AZ178" t="s">
        <v>74</v>
      </c>
      <c r="BA178" t="s">
        <v>74</v>
      </c>
      <c r="BB178" t="s">
        <v>74</v>
      </c>
      <c r="BC178" t="s">
        <v>74</v>
      </c>
      <c r="BD178">
        <v>104343</v>
      </c>
      <c r="BE178" t="s">
        <v>3296</v>
      </c>
      <c r="BF178" t="str">
        <f>HYPERLINK("http://dx.doi.org/10.1016/j.fm.2023.104343","http://dx.doi.org/10.1016/j.fm.2023.104343")</f>
        <v>http://dx.doi.org/10.1016/j.fm.2023.104343</v>
      </c>
      <c r="BG178" t="s">
        <v>74</v>
      </c>
      <c r="BH178" t="s">
        <v>74</v>
      </c>
      <c r="BI178">
        <v>8</v>
      </c>
      <c r="BJ178" t="s">
        <v>3297</v>
      </c>
      <c r="BK178" t="s">
        <v>100</v>
      </c>
      <c r="BL178" t="s">
        <v>3297</v>
      </c>
      <c r="BM178" t="s">
        <v>3298</v>
      </c>
      <c r="BN178">
        <v>37689414</v>
      </c>
      <c r="BO178" t="s">
        <v>295</v>
      </c>
      <c r="BP178" t="s">
        <v>74</v>
      </c>
      <c r="BQ178" t="s">
        <v>74</v>
      </c>
      <c r="BR178" t="s">
        <v>104</v>
      </c>
      <c r="BS178" t="s">
        <v>3299</v>
      </c>
      <c r="BT178" t="str">
        <f>HYPERLINK("https%3A%2F%2Fwww.webofscience.com%2Fwos%2Fwoscc%2Ffull-record%2FWOS:001052825000001","View Full Record in Web of Science")</f>
        <v>View Full Record in Web of Science</v>
      </c>
    </row>
    <row r="179" spans="1:72" x14ac:dyDescent="0.15">
      <c r="A179" t="s">
        <v>72</v>
      </c>
      <c r="B179" t="s">
        <v>3300</v>
      </c>
      <c r="C179" t="s">
        <v>74</v>
      </c>
      <c r="D179" t="s">
        <v>74</v>
      </c>
      <c r="E179" t="s">
        <v>74</v>
      </c>
      <c r="F179" t="s">
        <v>3301</v>
      </c>
      <c r="G179" t="s">
        <v>74</v>
      </c>
      <c r="H179" t="s">
        <v>74</v>
      </c>
      <c r="I179" t="s">
        <v>3302</v>
      </c>
      <c r="J179" t="s">
        <v>3303</v>
      </c>
      <c r="K179" t="s">
        <v>74</v>
      </c>
      <c r="L179" t="s">
        <v>74</v>
      </c>
      <c r="M179" t="s">
        <v>78</v>
      </c>
      <c r="N179" t="s">
        <v>79</v>
      </c>
      <c r="O179" t="s">
        <v>74</v>
      </c>
      <c r="P179" t="s">
        <v>74</v>
      </c>
      <c r="Q179" t="s">
        <v>74</v>
      </c>
      <c r="R179" t="s">
        <v>74</v>
      </c>
      <c r="S179" t="s">
        <v>74</v>
      </c>
      <c r="T179" t="s">
        <v>3304</v>
      </c>
      <c r="U179" t="s">
        <v>3305</v>
      </c>
      <c r="V179" t="s">
        <v>3306</v>
      </c>
      <c r="W179" t="s">
        <v>3307</v>
      </c>
      <c r="X179" t="s">
        <v>3308</v>
      </c>
      <c r="Y179" t="s">
        <v>3309</v>
      </c>
      <c r="Z179" t="s">
        <v>3310</v>
      </c>
      <c r="AA179" t="s">
        <v>74</v>
      </c>
      <c r="AB179" t="s">
        <v>74</v>
      </c>
      <c r="AC179" t="s">
        <v>3311</v>
      </c>
      <c r="AD179" t="s">
        <v>3312</v>
      </c>
      <c r="AE179" t="s">
        <v>3313</v>
      </c>
      <c r="AF179" t="s">
        <v>74</v>
      </c>
      <c r="AG179">
        <v>57</v>
      </c>
      <c r="AH179">
        <v>0</v>
      </c>
      <c r="AI179">
        <v>0</v>
      </c>
      <c r="AJ179">
        <v>0</v>
      </c>
      <c r="AK179">
        <v>0</v>
      </c>
      <c r="AL179" t="s">
        <v>120</v>
      </c>
      <c r="AM179" t="s">
        <v>121</v>
      </c>
      <c r="AN179" t="s">
        <v>122</v>
      </c>
      <c r="AO179" t="s">
        <v>3314</v>
      </c>
      <c r="AP179" t="s">
        <v>3315</v>
      </c>
      <c r="AQ179" t="s">
        <v>74</v>
      </c>
      <c r="AR179" t="s">
        <v>3316</v>
      </c>
      <c r="AS179" t="s">
        <v>3317</v>
      </c>
      <c r="AT179" t="s">
        <v>2579</v>
      </c>
      <c r="AU179">
        <v>2023</v>
      </c>
      <c r="AV179">
        <v>240</v>
      </c>
      <c r="AW179" t="s">
        <v>74</v>
      </c>
      <c r="AX179" t="s">
        <v>74</v>
      </c>
      <c r="AY179" t="s">
        <v>74</v>
      </c>
      <c r="AZ179" t="s">
        <v>74</v>
      </c>
      <c r="BA179" t="s">
        <v>74</v>
      </c>
      <c r="BB179" t="s">
        <v>74</v>
      </c>
      <c r="BC179" t="s">
        <v>74</v>
      </c>
      <c r="BD179">
        <v>109571</v>
      </c>
      <c r="BE179" t="s">
        <v>3318</v>
      </c>
      <c r="BF179" t="str">
        <f>HYPERLINK("http://dx.doi.org/10.1016/j.ress.2023.109571","http://dx.doi.org/10.1016/j.ress.2023.109571")</f>
        <v>http://dx.doi.org/10.1016/j.ress.2023.109571</v>
      </c>
      <c r="BG179" t="s">
        <v>74</v>
      </c>
      <c r="BH179" t="s">
        <v>74</v>
      </c>
      <c r="BI179">
        <v>15</v>
      </c>
      <c r="BJ179" t="s">
        <v>3319</v>
      </c>
      <c r="BK179" t="s">
        <v>100</v>
      </c>
      <c r="BL179" t="s">
        <v>3320</v>
      </c>
      <c r="BM179" t="s">
        <v>3321</v>
      </c>
      <c r="BN179" t="s">
        <v>74</v>
      </c>
      <c r="BO179" t="s">
        <v>74</v>
      </c>
      <c r="BP179" t="s">
        <v>74</v>
      </c>
      <c r="BQ179" t="s">
        <v>74</v>
      </c>
      <c r="BR179" t="s">
        <v>104</v>
      </c>
      <c r="BS179" t="s">
        <v>3322</v>
      </c>
      <c r="BT179" t="str">
        <f>HYPERLINK("https%3A%2F%2Fwww.webofscience.com%2Fwos%2Fwoscc%2Ffull-record%2FWOS:001066515600001","View Full Record in Web of Science")</f>
        <v>View Full Record in Web of Science</v>
      </c>
    </row>
    <row r="180" spans="1:72" x14ac:dyDescent="0.15">
      <c r="A180" t="s">
        <v>72</v>
      </c>
      <c r="B180" t="s">
        <v>3323</v>
      </c>
      <c r="C180" t="s">
        <v>74</v>
      </c>
      <c r="D180" t="s">
        <v>74</v>
      </c>
      <c r="E180" t="s">
        <v>74</v>
      </c>
      <c r="F180" t="s">
        <v>3324</v>
      </c>
      <c r="G180" t="s">
        <v>74</v>
      </c>
      <c r="H180" t="s">
        <v>74</v>
      </c>
      <c r="I180" t="s">
        <v>3325</v>
      </c>
      <c r="J180" t="s">
        <v>3326</v>
      </c>
      <c r="K180" t="s">
        <v>74</v>
      </c>
      <c r="L180" t="s">
        <v>74</v>
      </c>
      <c r="M180" t="s">
        <v>78</v>
      </c>
      <c r="N180" t="s">
        <v>79</v>
      </c>
      <c r="O180" t="s">
        <v>74</v>
      </c>
      <c r="P180" t="s">
        <v>74</v>
      </c>
      <c r="Q180" t="s">
        <v>74</v>
      </c>
      <c r="R180" t="s">
        <v>74</v>
      </c>
      <c r="S180" t="s">
        <v>74</v>
      </c>
      <c r="T180" t="s">
        <v>3327</v>
      </c>
      <c r="U180" t="s">
        <v>3328</v>
      </c>
      <c r="V180" t="s">
        <v>3329</v>
      </c>
      <c r="W180" t="s">
        <v>3330</v>
      </c>
      <c r="X180" t="s">
        <v>3331</v>
      </c>
      <c r="Y180" t="s">
        <v>3332</v>
      </c>
      <c r="Z180" t="s">
        <v>3333</v>
      </c>
      <c r="AA180" t="s">
        <v>74</v>
      </c>
      <c r="AB180" t="s">
        <v>74</v>
      </c>
      <c r="AC180" t="s">
        <v>3334</v>
      </c>
      <c r="AD180" t="s">
        <v>3335</v>
      </c>
      <c r="AE180" t="s">
        <v>3336</v>
      </c>
      <c r="AF180" t="s">
        <v>74</v>
      </c>
      <c r="AG180">
        <v>44</v>
      </c>
      <c r="AH180">
        <v>0</v>
      </c>
      <c r="AI180">
        <v>0</v>
      </c>
      <c r="AJ180">
        <v>0</v>
      </c>
      <c r="AK180">
        <v>0</v>
      </c>
      <c r="AL180" t="s">
        <v>90</v>
      </c>
      <c r="AM180" t="s">
        <v>91</v>
      </c>
      <c r="AN180" t="s">
        <v>92</v>
      </c>
      <c r="AO180" t="s">
        <v>3337</v>
      </c>
      <c r="AP180" t="s">
        <v>3338</v>
      </c>
      <c r="AQ180" t="s">
        <v>74</v>
      </c>
      <c r="AR180" t="s">
        <v>3339</v>
      </c>
      <c r="AS180" t="s">
        <v>3340</v>
      </c>
      <c r="AT180" t="s">
        <v>2579</v>
      </c>
      <c r="AU180">
        <v>2023</v>
      </c>
      <c r="AV180">
        <v>1866</v>
      </c>
      <c r="AW180">
        <v>4</v>
      </c>
      <c r="AX180" t="s">
        <v>74</v>
      </c>
      <c r="AY180" t="s">
        <v>74</v>
      </c>
      <c r="AZ180" t="s">
        <v>74</v>
      </c>
      <c r="BA180" t="s">
        <v>74</v>
      </c>
      <c r="BB180" t="s">
        <v>74</v>
      </c>
      <c r="BC180" t="s">
        <v>74</v>
      </c>
      <c r="BD180">
        <v>194980</v>
      </c>
      <c r="BE180" t="s">
        <v>3341</v>
      </c>
      <c r="BF180" t="str">
        <f>HYPERLINK("http://dx.doi.org/10.1016/j.bbagrm.2023.194980","http://dx.doi.org/10.1016/j.bbagrm.2023.194980")</f>
        <v>http://dx.doi.org/10.1016/j.bbagrm.2023.194980</v>
      </c>
      <c r="BG180" t="s">
        <v>74</v>
      </c>
      <c r="BH180" t="s">
        <v>74</v>
      </c>
      <c r="BI180">
        <v>15</v>
      </c>
      <c r="BJ180" t="s">
        <v>3342</v>
      </c>
      <c r="BK180" t="s">
        <v>100</v>
      </c>
      <c r="BL180" t="s">
        <v>3342</v>
      </c>
      <c r="BM180" t="s">
        <v>3343</v>
      </c>
      <c r="BN180">
        <v>37652361</v>
      </c>
      <c r="BO180" t="s">
        <v>74</v>
      </c>
      <c r="BP180" t="s">
        <v>74</v>
      </c>
      <c r="BQ180" t="s">
        <v>74</v>
      </c>
      <c r="BR180" t="s">
        <v>104</v>
      </c>
      <c r="BS180" t="s">
        <v>3344</v>
      </c>
      <c r="BT180" t="str">
        <f>HYPERLINK("https%3A%2F%2Fwww.webofscience.com%2Fwos%2Fwoscc%2Ffull-record%2FWOS:001072552200001","View Full Record in Web of Science")</f>
        <v>View Full Record in Web of Science</v>
      </c>
    </row>
    <row r="181" spans="1:72" x14ac:dyDescent="0.15">
      <c r="A181" t="s">
        <v>72</v>
      </c>
      <c r="B181" t="s">
        <v>3345</v>
      </c>
      <c r="C181" t="s">
        <v>74</v>
      </c>
      <c r="D181" t="s">
        <v>74</v>
      </c>
      <c r="E181" t="s">
        <v>74</v>
      </c>
      <c r="F181" t="s">
        <v>3346</v>
      </c>
      <c r="G181" t="s">
        <v>74</v>
      </c>
      <c r="H181" t="s">
        <v>74</v>
      </c>
      <c r="I181" t="s">
        <v>3347</v>
      </c>
      <c r="J181" t="s">
        <v>3348</v>
      </c>
      <c r="K181" t="s">
        <v>74</v>
      </c>
      <c r="L181" t="s">
        <v>74</v>
      </c>
      <c r="M181" t="s">
        <v>78</v>
      </c>
      <c r="N181" t="s">
        <v>79</v>
      </c>
      <c r="O181" t="s">
        <v>74</v>
      </c>
      <c r="P181" t="s">
        <v>74</v>
      </c>
      <c r="Q181" t="s">
        <v>74</v>
      </c>
      <c r="R181" t="s">
        <v>74</v>
      </c>
      <c r="S181" t="s">
        <v>74</v>
      </c>
      <c r="T181" t="s">
        <v>3349</v>
      </c>
      <c r="U181" t="s">
        <v>3350</v>
      </c>
      <c r="V181" t="s">
        <v>3351</v>
      </c>
      <c r="W181" t="s">
        <v>3352</v>
      </c>
      <c r="X181" t="s">
        <v>3353</v>
      </c>
      <c r="Y181" t="s">
        <v>3354</v>
      </c>
      <c r="Z181" t="s">
        <v>3355</v>
      </c>
      <c r="AA181" t="s">
        <v>74</v>
      </c>
      <c r="AB181" t="s">
        <v>74</v>
      </c>
      <c r="AC181" t="s">
        <v>3356</v>
      </c>
      <c r="AD181" t="s">
        <v>3356</v>
      </c>
      <c r="AE181" t="s">
        <v>3357</v>
      </c>
      <c r="AF181" t="s">
        <v>74</v>
      </c>
      <c r="AG181">
        <v>60</v>
      </c>
      <c r="AH181">
        <v>0</v>
      </c>
      <c r="AI181">
        <v>0</v>
      </c>
      <c r="AJ181">
        <v>2</v>
      </c>
      <c r="AK181">
        <v>2</v>
      </c>
      <c r="AL181" t="s">
        <v>120</v>
      </c>
      <c r="AM181" t="s">
        <v>121</v>
      </c>
      <c r="AN181" t="s">
        <v>122</v>
      </c>
      <c r="AO181" t="s">
        <v>3358</v>
      </c>
      <c r="AP181" t="s">
        <v>3359</v>
      </c>
      <c r="AQ181" t="s">
        <v>74</v>
      </c>
      <c r="AR181" t="s">
        <v>3360</v>
      </c>
      <c r="AS181" t="s">
        <v>3361</v>
      </c>
      <c r="AT181" t="s">
        <v>2579</v>
      </c>
      <c r="AU181">
        <v>2023</v>
      </c>
      <c r="AV181">
        <v>43</v>
      </c>
      <c r="AW181">
        <v>15</v>
      </c>
      <c r="AX181" t="s">
        <v>74</v>
      </c>
      <c r="AY181" t="s">
        <v>74</v>
      </c>
      <c r="AZ181" t="s">
        <v>74</v>
      </c>
      <c r="BA181" t="s">
        <v>74</v>
      </c>
      <c r="BB181">
        <v>7146</v>
      </c>
      <c r="BC181">
        <v>7166</v>
      </c>
      <c r="BD181" t="s">
        <v>74</v>
      </c>
      <c r="BE181" t="s">
        <v>3362</v>
      </c>
      <c r="BF181" t="str">
        <f>HYPERLINK("http://dx.doi.org/10.1016/j.jeurceramsoc.2023.07.028","http://dx.doi.org/10.1016/j.jeurceramsoc.2023.07.028")</f>
        <v>http://dx.doi.org/10.1016/j.jeurceramsoc.2023.07.028</v>
      </c>
      <c r="BG181" t="s">
        <v>74</v>
      </c>
      <c r="BH181" t="s">
        <v>74</v>
      </c>
      <c r="BI181">
        <v>21</v>
      </c>
      <c r="BJ181" t="s">
        <v>3363</v>
      </c>
      <c r="BK181" t="s">
        <v>100</v>
      </c>
      <c r="BL181" t="s">
        <v>1112</v>
      </c>
      <c r="BM181" t="s">
        <v>3364</v>
      </c>
      <c r="BN181" t="s">
        <v>74</v>
      </c>
      <c r="BO181" t="s">
        <v>295</v>
      </c>
      <c r="BP181" t="s">
        <v>74</v>
      </c>
      <c r="BQ181" t="s">
        <v>74</v>
      </c>
      <c r="BR181" t="s">
        <v>104</v>
      </c>
      <c r="BS181" t="s">
        <v>3365</v>
      </c>
      <c r="BT181" t="str">
        <f>HYPERLINK("https%3A%2F%2Fwww.webofscience.com%2Fwos%2Fwoscc%2Ffull-record%2FWOS:001062807500001","View Full Record in Web of Science")</f>
        <v>View Full Record in Web of Science</v>
      </c>
    </row>
    <row r="182" spans="1:72" x14ac:dyDescent="0.15">
      <c r="A182" t="s">
        <v>72</v>
      </c>
      <c r="B182" t="s">
        <v>3366</v>
      </c>
      <c r="C182" t="s">
        <v>74</v>
      </c>
      <c r="D182" t="s">
        <v>74</v>
      </c>
      <c r="E182" t="s">
        <v>74</v>
      </c>
      <c r="F182" t="s">
        <v>3367</v>
      </c>
      <c r="G182" t="s">
        <v>74</v>
      </c>
      <c r="H182" t="s">
        <v>74</v>
      </c>
      <c r="I182" t="s">
        <v>3368</v>
      </c>
      <c r="J182" t="s">
        <v>2812</v>
      </c>
      <c r="K182" t="s">
        <v>74</v>
      </c>
      <c r="L182" t="s">
        <v>74</v>
      </c>
      <c r="M182" t="s">
        <v>78</v>
      </c>
      <c r="N182" t="s">
        <v>79</v>
      </c>
      <c r="O182" t="s">
        <v>74</v>
      </c>
      <c r="P182" t="s">
        <v>74</v>
      </c>
      <c r="Q182" t="s">
        <v>74</v>
      </c>
      <c r="R182" t="s">
        <v>74</v>
      </c>
      <c r="S182" t="s">
        <v>74</v>
      </c>
      <c r="T182" t="s">
        <v>3369</v>
      </c>
      <c r="U182" t="s">
        <v>3370</v>
      </c>
      <c r="V182" t="s">
        <v>3371</v>
      </c>
      <c r="W182" t="s">
        <v>3372</v>
      </c>
      <c r="X182" t="s">
        <v>3373</v>
      </c>
      <c r="Y182" t="s">
        <v>3374</v>
      </c>
      <c r="Z182" t="s">
        <v>3375</v>
      </c>
      <c r="AA182" t="s">
        <v>74</v>
      </c>
      <c r="AB182" t="s">
        <v>74</v>
      </c>
      <c r="AC182" t="s">
        <v>74</v>
      </c>
      <c r="AD182" t="s">
        <v>74</v>
      </c>
      <c r="AE182" t="s">
        <v>74</v>
      </c>
      <c r="AF182" t="s">
        <v>74</v>
      </c>
      <c r="AG182">
        <v>22</v>
      </c>
      <c r="AH182">
        <v>0</v>
      </c>
      <c r="AI182">
        <v>0</v>
      </c>
      <c r="AJ182">
        <v>0</v>
      </c>
      <c r="AK182">
        <v>0</v>
      </c>
      <c r="AL182" t="s">
        <v>475</v>
      </c>
      <c r="AM182" t="s">
        <v>476</v>
      </c>
      <c r="AN182" t="s">
        <v>477</v>
      </c>
      <c r="AO182" t="s">
        <v>2819</v>
      </c>
      <c r="AP182" t="s">
        <v>2820</v>
      </c>
      <c r="AQ182" t="s">
        <v>74</v>
      </c>
      <c r="AR182" t="s">
        <v>2821</v>
      </c>
      <c r="AS182" t="s">
        <v>2822</v>
      </c>
      <c r="AT182" t="s">
        <v>2579</v>
      </c>
      <c r="AU182">
        <v>2023</v>
      </c>
      <c r="AV182">
        <v>58</v>
      </c>
      <c r="AW182" t="s">
        <v>74</v>
      </c>
      <c r="AX182" t="s">
        <v>373</v>
      </c>
      <c r="AY182" t="s">
        <v>74</v>
      </c>
      <c r="AZ182" t="s">
        <v>74</v>
      </c>
      <c r="BA182" t="s">
        <v>74</v>
      </c>
      <c r="BB182" t="s">
        <v>74</v>
      </c>
      <c r="BC182" t="s">
        <v>74</v>
      </c>
      <c r="BD182">
        <v>104396</v>
      </c>
      <c r="BE182" t="s">
        <v>3376</v>
      </c>
      <c r="BF182" t="str">
        <f>HYPERLINK("http://dx.doi.org/10.1016/j.frl.2023.104396","http://dx.doi.org/10.1016/j.frl.2023.104396")</f>
        <v>http://dx.doi.org/10.1016/j.frl.2023.104396</v>
      </c>
      <c r="BG182" t="s">
        <v>74</v>
      </c>
      <c r="BH182" t="s">
        <v>74</v>
      </c>
      <c r="BI182">
        <v>8</v>
      </c>
      <c r="BJ182" t="s">
        <v>2824</v>
      </c>
      <c r="BK182" t="s">
        <v>627</v>
      </c>
      <c r="BL182" t="s">
        <v>628</v>
      </c>
      <c r="BM182" t="s">
        <v>3377</v>
      </c>
      <c r="BN182" t="s">
        <v>74</v>
      </c>
      <c r="BO182" t="s">
        <v>74</v>
      </c>
      <c r="BP182" t="s">
        <v>74</v>
      </c>
      <c r="BQ182" t="s">
        <v>74</v>
      </c>
      <c r="BR182" t="s">
        <v>104</v>
      </c>
      <c r="BS182" t="s">
        <v>3378</v>
      </c>
      <c r="BT182" t="str">
        <f>HYPERLINK("https%3A%2F%2Fwww.webofscience.com%2Fwos%2Fwoscc%2Ffull-record%2FWOS:001072905900001","View Full Record in Web of Science")</f>
        <v>View Full Record in Web of Science</v>
      </c>
    </row>
    <row r="183" spans="1:72" x14ac:dyDescent="0.15">
      <c r="A183" t="s">
        <v>72</v>
      </c>
      <c r="B183" t="s">
        <v>3379</v>
      </c>
      <c r="C183" t="s">
        <v>74</v>
      </c>
      <c r="D183" t="s">
        <v>74</v>
      </c>
      <c r="E183" t="s">
        <v>74</v>
      </c>
      <c r="F183" t="s">
        <v>3380</v>
      </c>
      <c r="G183" t="s">
        <v>74</v>
      </c>
      <c r="H183" t="s">
        <v>74</v>
      </c>
      <c r="I183" t="s">
        <v>3381</v>
      </c>
      <c r="J183" t="s">
        <v>3382</v>
      </c>
      <c r="K183" t="s">
        <v>74</v>
      </c>
      <c r="L183" t="s">
        <v>74</v>
      </c>
      <c r="M183" t="s">
        <v>78</v>
      </c>
      <c r="N183" t="s">
        <v>79</v>
      </c>
      <c r="O183" t="s">
        <v>74</v>
      </c>
      <c r="P183" t="s">
        <v>74</v>
      </c>
      <c r="Q183" t="s">
        <v>74</v>
      </c>
      <c r="R183" t="s">
        <v>74</v>
      </c>
      <c r="S183" t="s">
        <v>74</v>
      </c>
      <c r="T183" t="s">
        <v>3383</v>
      </c>
      <c r="U183" t="s">
        <v>3384</v>
      </c>
      <c r="V183" t="s">
        <v>3385</v>
      </c>
      <c r="W183" t="s">
        <v>3386</v>
      </c>
      <c r="X183" t="s">
        <v>3387</v>
      </c>
      <c r="Y183" t="s">
        <v>3388</v>
      </c>
      <c r="Z183" t="s">
        <v>3389</v>
      </c>
      <c r="AA183" t="s">
        <v>74</v>
      </c>
      <c r="AB183" t="s">
        <v>74</v>
      </c>
      <c r="AC183" t="s">
        <v>74</v>
      </c>
      <c r="AD183" t="s">
        <v>74</v>
      </c>
      <c r="AE183" t="s">
        <v>74</v>
      </c>
      <c r="AF183" t="s">
        <v>74</v>
      </c>
      <c r="AG183">
        <v>75</v>
      </c>
      <c r="AH183">
        <v>0</v>
      </c>
      <c r="AI183">
        <v>0</v>
      </c>
      <c r="AJ183">
        <v>16</v>
      </c>
      <c r="AK183">
        <v>16</v>
      </c>
      <c r="AL183" t="s">
        <v>120</v>
      </c>
      <c r="AM183" t="s">
        <v>121</v>
      </c>
      <c r="AN183" t="s">
        <v>122</v>
      </c>
      <c r="AO183" t="s">
        <v>3390</v>
      </c>
      <c r="AP183" t="s">
        <v>3391</v>
      </c>
      <c r="AQ183" t="s">
        <v>74</v>
      </c>
      <c r="AR183" t="s">
        <v>3392</v>
      </c>
      <c r="AS183" t="s">
        <v>3393</v>
      </c>
      <c r="AT183" t="s">
        <v>2579</v>
      </c>
      <c r="AU183">
        <v>2023</v>
      </c>
      <c r="AV183">
        <v>145</v>
      </c>
      <c r="AW183" t="s">
        <v>74</v>
      </c>
      <c r="AX183" t="s">
        <v>74</v>
      </c>
      <c r="AY183" t="s">
        <v>74</v>
      </c>
      <c r="AZ183" t="s">
        <v>74</v>
      </c>
      <c r="BA183" t="s">
        <v>74</v>
      </c>
      <c r="BB183" t="s">
        <v>74</v>
      </c>
      <c r="BC183" t="s">
        <v>74</v>
      </c>
      <c r="BD183">
        <v>109038</v>
      </c>
      <c r="BE183" t="s">
        <v>3394</v>
      </c>
      <c r="BF183" t="str">
        <f>HYPERLINK("http://dx.doi.org/10.1016/j.foodhyd.2023.109038","http://dx.doi.org/10.1016/j.foodhyd.2023.109038")</f>
        <v>http://dx.doi.org/10.1016/j.foodhyd.2023.109038</v>
      </c>
      <c r="BG183" t="s">
        <v>74</v>
      </c>
      <c r="BH183" t="s">
        <v>74</v>
      </c>
      <c r="BI183">
        <v>10</v>
      </c>
      <c r="BJ183" t="s">
        <v>1849</v>
      </c>
      <c r="BK183" t="s">
        <v>100</v>
      </c>
      <c r="BL183" t="s">
        <v>1851</v>
      </c>
      <c r="BM183" t="s">
        <v>3395</v>
      </c>
      <c r="BN183" t="s">
        <v>74</v>
      </c>
      <c r="BO183" t="s">
        <v>74</v>
      </c>
      <c r="BP183" t="s">
        <v>74</v>
      </c>
      <c r="BQ183" t="s">
        <v>74</v>
      </c>
      <c r="BR183" t="s">
        <v>104</v>
      </c>
      <c r="BS183" t="s">
        <v>3396</v>
      </c>
      <c r="BT183" t="str">
        <f>HYPERLINK("https%3A%2F%2Fwww.webofscience.com%2Fwos%2Fwoscc%2Ffull-record%2FWOS:001043020300001","View Full Record in Web of Science")</f>
        <v>View Full Record in Web of Science</v>
      </c>
    </row>
    <row r="184" spans="1:72" x14ac:dyDescent="0.15">
      <c r="A184" t="s">
        <v>72</v>
      </c>
      <c r="B184" t="s">
        <v>3397</v>
      </c>
      <c r="C184" t="s">
        <v>74</v>
      </c>
      <c r="D184" t="s">
        <v>74</v>
      </c>
      <c r="E184" t="s">
        <v>74</v>
      </c>
      <c r="F184" t="s">
        <v>3398</v>
      </c>
      <c r="G184" t="s">
        <v>74</v>
      </c>
      <c r="H184" t="s">
        <v>74</v>
      </c>
      <c r="I184" t="s">
        <v>3399</v>
      </c>
      <c r="J184" t="s">
        <v>2631</v>
      </c>
      <c r="K184" t="s">
        <v>74</v>
      </c>
      <c r="L184" t="s">
        <v>74</v>
      </c>
      <c r="M184" t="s">
        <v>78</v>
      </c>
      <c r="N184" t="s">
        <v>79</v>
      </c>
      <c r="O184" t="s">
        <v>74</v>
      </c>
      <c r="P184" t="s">
        <v>74</v>
      </c>
      <c r="Q184" t="s">
        <v>74</v>
      </c>
      <c r="R184" t="s">
        <v>74</v>
      </c>
      <c r="S184" t="s">
        <v>74</v>
      </c>
      <c r="T184" t="s">
        <v>3400</v>
      </c>
      <c r="U184" t="s">
        <v>3401</v>
      </c>
      <c r="V184" t="s">
        <v>3402</v>
      </c>
      <c r="W184" t="s">
        <v>3403</v>
      </c>
      <c r="X184" t="s">
        <v>3404</v>
      </c>
      <c r="Y184" t="s">
        <v>3405</v>
      </c>
      <c r="Z184" t="s">
        <v>3406</v>
      </c>
      <c r="AA184" t="s">
        <v>74</v>
      </c>
      <c r="AB184" t="s">
        <v>74</v>
      </c>
      <c r="AC184" t="s">
        <v>74</v>
      </c>
      <c r="AD184" t="s">
        <v>74</v>
      </c>
      <c r="AE184" t="s">
        <v>74</v>
      </c>
      <c r="AF184" t="s">
        <v>74</v>
      </c>
      <c r="AG184">
        <v>41</v>
      </c>
      <c r="AH184">
        <v>0</v>
      </c>
      <c r="AI184">
        <v>0</v>
      </c>
      <c r="AJ184">
        <v>13</v>
      </c>
      <c r="AK184">
        <v>13</v>
      </c>
      <c r="AL184" t="s">
        <v>90</v>
      </c>
      <c r="AM184" t="s">
        <v>91</v>
      </c>
      <c r="AN184" t="s">
        <v>92</v>
      </c>
      <c r="AO184" t="s">
        <v>2643</v>
      </c>
      <c r="AP184" t="s">
        <v>74</v>
      </c>
      <c r="AQ184" t="s">
        <v>74</v>
      </c>
      <c r="AR184" t="s">
        <v>2644</v>
      </c>
      <c r="AS184" t="s">
        <v>2645</v>
      </c>
      <c r="AT184" t="s">
        <v>2579</v>
      </c>
      <c r="AU184">
        <v>2023</v>
      </c>
      <c r="AV184">
        <v>19</v>
      </c>
      <c r="AW184" t="s">
        <v>74</v>
      </c>
      <c r="AX184" t="s">
        <v>74</v>
      </c>
      <c r="AY184" t="s">
        <v>74</v>
      </c>
      <c r="AZ184" t="s">
        <v>74</v>
      </c>
      <c r="BA184" t="s">
        <v>74</v>
      </c>
      <c r="BB184" t="s">
        <v>74</v>
      </c>
      <c r="BC184" t="s">
        <v>74</v>
      </c>
      <c r="BD184" t="s">
        <v>3407</v>
      </c>
      <c r="BE184" t="s">
        <v>3408</v>
      </c>
      <c r="BF184" t="str">
        <f>HYPERLINK("http://dx.doi.org/10.1016/j.cscm.2023.e02325","http://dx.doi.org/10.1016/j.cscm.2023.e02325")</f>
        <v>http://dx.doi.org/10.1016/j.cscm.2023.e02325</v>
      </c>
      <c r="BG184" t="s">
        <v>74</v>
      </c>
      <c r="BH184" t="s">
        <v>74</v>
      </c>
      <c r="BI184">
        <v>16</v>
      </c>
      <c r="BJ184" t="s">
        <v>2648</v>
      </c>
      <c r="BK184" t="s">
        <v>100</v>
      </c>
      <c r="BL184" t="s">
        <v>2649</v>
      </c>
      <c r="BM184" t="s">
        <v>3409</v>
      </c>
      <c r="BN184" t="s">
        <v>74</v>
      </c>
      <c r="BO184" t="s">
        <v>295</v>
      </c>
      <c r="BP184" t="s">
        <v>74</v>
      </c>
      <c r="BQ184" t="s">
        <v>74</v>
      </c>
      <c r="BR184" t="s">
        <v>104</v>
      </c>
      <c r="BS184" t="s">
        <v>3410</v>
      </c>
      <c r="BT184" t="str">
        <f>HYPERLINK("https%3A%2F%2Fwww.webofscience.com%2Fwos%2Fwoscc%2Ffull-record%2FWOS:001058362700001","View Full Record in Web of Science")</f>
        <v>View Full Record in Web of Science</v>
      </c>
    </row>
    <row r="185" spans="1:72" x14ac:dyDescent="0.15">
      <c r="A185" t="s">
        <v>72</v>
      </c>
      <c r="B185" t="s">
        <v>3411</v>
      </c>
      <c r="C185" t="s">
        <v>74</v>
      </c>
      <c r="D185" t="s">
        <v>74</v>
      </c>
      <c r="E185" t="s">
        <v>74</v>
      </c>
      <c r="F185" t="s">
        <v>3412</v>
      </c>
      <c r="G185" t="s">
        <v>74</v>
      </c>
      <c r="H185" t="s">
        <v>74</v>
      </c>
      <c r="I185" t="s">
        <v>3413</v>
      </c>
      <c r="J185" t="s">
        <v>2695</v>
      </c>
      <c r="K185" t="s">
        <v>74</v>
      </c>
      <c r="L185" t="s">
        <v>74</v>
      </c>
      <c r="M185" t="s">
        <v>78</v>
      </c>
      <c r="N185" t="s">
        <v>79</v>
      </c>
      <c r="O185" t="s">
        <v>74</v>
      </c>
      <c r="P185" t="s">
        <v>74</v>
      </c>
      <c r="Q185" t="s">
        <v>74</v>
      </c>
      <c r="R185" t="s">
        <v>74</v>
      </c>
      <c r="S185" t="s">
        <v>74</v>
      </c>
      <c r="T185" t="s">
        <v>3414</v>
      </c>
      <c r="U185" t="s">
        <v>3415</v>
      </c>
      <c r="V185" t="s">
        <v>3416</v>
      </c>
      <c r="W185" t="s">
        <v>3417</v>
      </c>
      <c r="X185" t="s">
        <v>3418</v>
      </c>
      <c r="Y185" t="s">
        <v>3419</v>
      </c>
      <c r="Z185" t="s">
        <v>3420</v>
      </c>
      <c r="AA185" t="s">
        <v>74</v>
      </c>
      <c r="AB185" t="s">
        <v>74</v>
      </c>
      <c r="AC185" t="s">
        <v>3421</v>
      </c>
      <c r="AD185" t="s">
        <v>3422</v>
      </c>
      <c r="AE185" t="s">
        <v>3423</v>
      </c>
      <c r="AF185" t="s">
        <v>74</v>
      </c>
      <c r="AG185">
        <v>55</v>
      </c>
      <c r="AH185">
        <v>0</v>
      </c>
      <c r="AI185">
        <v>0</v>
      </c>
      <c r="AJ185">
        <v>1</v>
      </c>
      <c r="AK185">
        <v>1</v>
      </c>
      <c r="AL185" t="s">
        <v>90</v>
      </c>
      <c r="AM185" t="s">
        <v>91</v>
      </c>
      <c r="AN185" t="s">
        <v>92</v>
      </c>
      <c r="AO185" t="s">
        <v>2702</v>
      </c>
      <c r="AP185" t="s">
        <v>74</v>
      </c>
      <c r="AQ185" t="s">
        <v>74</v>
      </c>
      <c r="AR185" t="s">
        <v>2703</v>
      </c>
      <c r="AS185" t="s">
        <v>2704</v>
      </c>
      <c r="AT185" t="s">
        <v>2579</v>
      </c>
      <c r="AU185">
        <v>2023</v>
      </c>
      <c r="AV185">
        <v>6</v>
      </c>
      <c r="AW185" t="s">
        <v>74</v>
      </c>
      <c r="AX185" t="s">
        <v>74</v>
      </c>
      <c r="AY185" t="s">
        <v>74</v>
      </c>
      <c r="AZ185" t="s">
        <v>74</v>
      </c>
      <c r="BA185" t="s">
        <v>74</v>
      </c>
      <c r="BB185" t="s">
        <v>74</v>
      </c>
      <c r="BC185" t="s">
        <v>74</v>
      </c>
      <c r="BD185">
        <v>101057</v>
      </c>
      <c r="BE185" t="s">
        <v>3424</v>
      </c>
      <c r="BF185" t="str">
        <f>HYPERLINK("http://dx.doi.org/10.1016/j.rechem.2023.101057","http://dx.doi.org/10.1016/j.rechem.2023.101057")</f>
        <v>http://dx.doi.org/10.1016/j.rechem.2023.101057</v>
      </c>
      <c r="BG185" t="s">
        <v>74</v>
      </c>
      <c r="BH185" t="s">
        <v>74</v>
      </c>
      <c r="BI185">
        <v>12</v>
      </c>
      <c r="BJ185" t="s">
        <v>2706</v>
      </c>
      <c r="BK185" t="s">
        <v>1850</v>
      </c>
      <c r="BL185" t="s">
        <v>395</v>
      </c>
      <c r="BM185" t="s">
        <v>3425</v>
      </c>
      <c r="BN185" t="s">
        <v>74</v>
      </c>
      <c r="BO185" t="s">
        <v>295</v>
      </c>
      <c r="BP185" t="s">
        <v>74</v>
      </c>
      <c r="BQ185" t="s">
        <v>74</v>
      </c>
      <c r="BR185" t="s">
        <v>104</v>
      </c>
      <c r="BS185" t="s">
        <v>3426</v>
      </c>
      <c r="BT185" t="str">
        <f>HYPERLINK("https%3A%2F%2Fwww.webofscience.com%2Fwos%2Fwoscc%2Ffull-record%2FWOS:001053396300001","View Full Record in Web of Science")</f>
        <v>View Full Record in Web of Science</v>
      </c>
    </row>
    <row r="186" spans="1:72" x14ac:dyDescent="0.15">
      <c r="A186" t="s">
        <v>72</v>
      </c>
      <c r="B186" t="s">
        <v>3427</v>
      </c>
      <c r="C186" t="s">
        <v>74</v>
      </c>
      <c r="D186" t="s">
        <v>74</v>
      </c>
      <c r="E186" t="s">
        <v>74</v>
      </c>
      <c r="F186" t="s">
        <v>3428</v>
      </c>
      <c r="G186" t="s">
        <v>74</v>
      </c>
      <c r="H186" t="s">
        <v>74</v>
      </c>
      <c r="I186" t="s">
        <v>3429</v>
      </c>
      <c r="J186" t="s">
        <v>3430</v>
      </c>
      <c r="K186" t="s">
        <v>74</v>
      </c>
      <c r="L186" t="s">
        <v>74</v>
      </c>
      <c r="M186" t="s">
        <v>78</v>
      </c>
      <c r="N186" t="s">
        <v>79</v>
      </c>
      <c r="O186" t="s">
        <v>74</v>
      </c>
      <c r="P186" t="s">
        <v>74</v>
      </c>
      <c r="Q186" t="s">
        <v>74</v>
      </c>
      <c r="R186" t="s">
        <v>74</v>
      </c>
      <c r="S186" t="s">
        <v>74</v>
      </c>
      <c r="T186" t="s">
        <v>3431</v>
      </c>
      <c r="U186" t="s">
        <v>3432</v>
      </c>
      <c r="V186" t="s">
        <v>3433</v>
      </c>
      <c r="W186" t="s">
        <v>3434</v>
      </c>
      <c r="X186" t="s">
        <v>3435</v>
      </c>
      <c r="Y186" t="s">
        <v>3436</v>
      </c>
      <c r="Z186" t="s">
        <v>3437</v>
      </c>
      <c r="AA186" t="s">
        <v>74</v>
      </c>
      <c r="AB186" t="s">
        <v>74</v>
      </c>
      <c r="AC186" t="s">
        <v>3438</v>
      </c>
      <c r="AD186" t="s">
        <v>3439</v>
      </c>
      <c r="AE186" t="s">
        <v>3440</v>
      </c>
      <c r="AF186" t="s">
        <v>74</v>
      </c>
      <c r="AG186">
        <v>96</v>
      </c>
      <c r="AH186">
        <v>0</v>
      </c>
      <c r="AI186">
        <v>0</v>
      </c>
      <c r="AJ186">
        <v>0</v>
      </c>
      <c r="AK186">
        <v>0</v>
      </c>
      <c r="AL186" t="s">
        <v>90</v>
      </c>
      <c r="AM186" t="s">
        <v>91</v>
      </c>
      <c r="AN186" t="s">
        <v>92</v>
      </c>
      <c r="AO186" t="s">
        <v>3441</v>
      </c>
      <c r="AP186" t="s">
        <v>3442</v>
      </c>
      <c r="AQ186" t="s">
        <v>74</v>
      </c>
      <c r="AR186" t="s">
        <v>3443</v>
      </c>
      <c r="AS186" t="s">
        <v>3444</v>
      </c>
      <c r="AT186" t="s">
        <v>2579</v>
      </c>
      <c r="AU186">
        <v>2023</v>
      </c>
      <c r="AV186">
        <v>192</v>
      </c>
      <c r="AW186" t="s">
        <v>74</v>
      </c>
      <c r="AX186" t="s">
        <v>74</v>
      </c>
      <c r="AY186" t="s">
        <v>74</v>
      </c>
      <c r="AZ186" t="s">
        <v>74</v>
      </c>
      <c r="BA186" t="s">
        <v>74</v>
      </c>
      <c r="BB186" t="s">
        <v>74</v>
      </c>
      <c r="BC186" t="s">
        <v>74</v>
      </c>
      <c r="BD186">
        <v>105106</v>
      </c>
      <c r="BE186" t="s">
        <v>3445</v>
      </c>
      <c r="BF186" t="str">
        <f>HYPERLINK("http://dx.doi.org/10.1016/j.apsoil.2023.105106","http://dx.doi.org/10.1016/j.apsoil.2023.105106")</f>
        <v>http://dx.doi.org/10.1016/j.apsoil.2023.105106</v>
      </c>
      <c r="BG186" t="s">
        <v>74</v>
      </c>
      <c r="BH186" t="s">
        <v>74</v>
      </c>
      <c r="BI186">
        <v>12</v>
      </c>
      <c r="BJ186" t="s">
        <v>3446</v>
      </c>
      <c r="BK186" t="s">
        <v>100</v>
      </c>
      <c r="BL186" t="s">
        <v>3447</v>
      </c>
      <c r="BM186" t="s">
        <v>3448</v>
      </c>
      <c r="BN186" t="s">
        <v>74</v>
      </c>
      <c r="BO186" t="s">
        <v>74</v>
      </c>
      <c r="BP186" t="s">
        <v>74</v>
      </c>
      <c r="BQ186" t="s">
        <v>74</v>
      </c>
      <c r="BR186" t="s">
        <v>104</v>
      </c>
      <c r="BS186" t="s">
        <v>3449</v>
      </c>
      <c r="BT186" t="str">
        <f>HYPERLINK("https%3A%2F%2Fwww.webofscience.com%2Fwos%2Fwoscc%2Ffull-record%2FWOS:001070713300001","View Full Record in Web of Science")</f>
        <v>View Full Record in Web of Science</v>
      </c>
    </row>
    <row r="187" spans="1:72" x14ac:dyDescent="0.15">
      <c r="A187" t="s">
        <v>72</v>
      </c>
      <c r="B187" t="s">
        <v>3450</v>
      </c>
      <c r="C187" t="s">
        <v>74</v>
      </c>
      <c r="D187" t="s">
        <v>74</v>
      </c>
      <c r="E187" t="s">
        <v>74</v>
      </c>
      <c r="F187" t="s">
        <v>3451</v>
      </c>
      <c r="G187" t="s">
        <v>74</v>
      </c>
      <c r="H187" t="s">
        <v>74</v>
      </c>
      <c r="I187" t="s">
        <v>3452</v>
      </c>
      <c r="J187" t="s">
        <v>1950</v>
      </c>
      <c r="K187" t="s">
        <v>74</v>
      </c>
      <c r="L187" t="s">
        <v>74</v>
      </c>
      <c r="M187" t="s">
        <v>78</v>
      </c>
      <c r="N187" t="s">
        <v>79</v>
      </c>
      <c r="O187" t="s">
        <v>74</v>
      </c>
      <c r="P187" t="s">
        <v>74</v>
      </c>
      <c r="Q187" t="s">
        <v>74</v>
      </c>
      <c r="R187" t="s">
        <v>74</v>
      </c>
      <c r="S187" t="s">
        <v>74</v>
      </c>
      <c r="T187" t="s">
        <v>3453</v>
      </c>
      <c r="U187" t="s">
        <v>3454</v>
      </c>
      <c r="V187" t="s">
        <v>3455</v>
      </c>
      <c r="W187" t="s">
        <v>3456</v>
      </c>
      <c r="X187" t="s">
        <v>3457</v>
      </c>
      <c r="Y187" t="s">
        <v>3458</v>
      </c>
      <c r="Z187" t="s">
        <v>3459</v>
      </c>
      <c r="AA187" t="s">
        <v>74</v>
      </c>
      <c r="AB187" t="s">
        <v>74</v>
      </c>
      <c r="AC187" t="s">
        <v>74</v>
      </c>
      <c r="AD187" t="s">
        <v>74</v>
      </c>
      <c r="AE187" t="s">
        <v>74</v>
      </c>
      <c r="AF187" t="s">
        <v>74</v>
      </c>
      <c r="AG187">
        <v>64</v>
      </c>
      <c r="AH187">
        <v>0</v>
      </c>
      <c r="AI187">
        <v>0</v>
      </c>
      <c r="AJ187">
        <v>0</v>
      </c>
      <c r="AK187">
        <v>0</v>
      </c>
      <c r="AL187" t="s">
        <v>173</v>
      </c>
      <c r="AM187" t="s">
        <v>121</v>
      </c>
      <c r="AN187" t="s">
        <v>174</v>
      </c>
      <c r="AO187" t="s">
        <v>1963</v>
      </c>
      <c r="AP187" t="s">
        <v>1964</v>
      </c>
      <c r="AQ187" t="s">
        <v>74</v>
      </c>
      <c r="AR187" t="s">
        <v>1950</v>
      </c>
      <c r="AS187" t="s">
        <v>1965</v>
      </c>
      <c r="AT187" t="s">
        <v>2840</v>
      </c>
      <c r="AU187">
        <v>2023</v>
      </c>
      <c r="AV187">
        <v>284</v>
      </c>
      <c r="AW187" t="s">
        <v>74</v>
      </c>
      <c r="AX187" t="s">
        <v>74</v>
      </c>
      <c r="AY187" t="s">
        <v>74</v>
      </c>
      <c r="AZ187" t="s">
        <v>74</v>
      </c>
      <c r="BA187" t="s">
        <v>74</v>
      </c>
      <c r="BB187" t="s">
        <v>74</v>
      </c>
      <c r="BC187" t="s">
        <v>74</v>
      </c>
      <c r="BD187">
        <v>128704</v>
      </c>
      <c r="BE187" t="s">
        <v>3460</v>
      </c>
      <c r="BF187" t="str">
        <f>HYPERLINK("http://dx.doi.org/10.1016/j.energy.2023.128704","http://dx.doi.org/10.1016/j.energy.2023.128704")</f>
        <v>http://dx.doi.org/10.1016/j.energy.2023.128704</v>
      </c>
      <c r="BG187" t="s">
        <v>74</v>
      </c>
      <c r="BH187" t="s">
        <v>74</v>
      </c>
      <c r="BI187">
        <v>9</v>
      </c>
      <c r="BJ187" t="s">
        <v>1967</v>
      </c>
      <c r="BK187" t="s">
        <v>100</v>
      </c>
      <c r="BL187" t="s">
        <v>1967</v>
      </c>
      <c r="BM187" t="s">
        <v>3461</v>
      </c>
      <c r="BN187" t="s">
        <v>74</v>
      </c>
      <c r="BO187" t="s">
        <v>74</v>
      </c>
      <c r="BP187" t="s">
        <v>74</v>
      </c>
      <c r="BQ187" t="s">
        <v>74</v>
      </c>
      <c r="BR187" t="s">
        <v>104</v>
      </c>
      <c r="BS187" t="s">
        <v>3462</v>
      </c>
      <c r="BT187" t="str">
        <f>HYPERLINK("https%3A%2F%2Fwww.webofscience.com%2Fwos%2Fwoscc%2Ffull-record%2FWOS:001059230500001","View Full Record in Web of Science")</f>
        <v>View Full Record in Web of Science</v>
      </c>
    </row>
    <row r="188" spans="1:72" x14ac:dyDescent="0.15">
      <c r="A188" t="s">
        <v>72</v>
      </c>
      <c r="B188" t="s">
        <v>3463</v>
      </c>
      <c r="C188" t="s">
        <v>74</v>
      </c>
      <c r="D188" t="s">
        <v>74</v>
      </c>
      <c r="E188" t="s">
        <v>74</v>
      </c>
      <c r="F188" t="s">
        <v>3464</v>
      </c>
      <c r="G188" t="s">
        <v>74</v>
      </c>
      <c r="H188" t="s">
        <v>74</v>
      </c>
      <c r="I188" t="s">
        <v>3465</v>
      </c>
      <c r="J188" t="s">
        <v>1587</v>
      </c>
      <c r="K188" t="s">
        <v>74</v>
      </c>
      <c r="L188" t="s">
        <v>74</v>
      </c>
      <c r="M188" t="s">
        <v>78</v>
      </c>
      <c r="N188" t="s">
        <v>79</v>
      </c>
      <c r="O188" t="s">
        <v>74</v>
      </c>
      <c r="P188" t="s">
        <v>74</v>
      </c>
      <c r="Q188" t="s">
        <v>74</v>
      </c>
      <c r="R188" t="s">
        <v>74</v>
      </c>
      <c r="S188" t="s">
        <v>74</v>
      </c>
      <c r="T188" t="s">
        <v>3466</v>
      </c>
      <c r="U188" t="s">
        <v>3467</v>
      </c>
      <c r="V188" t="s">
        <v>3468</v>
      </c>
      <c r="W188" t="s">
        <v>3469</v>
      </c>
      <c r="X188" t="s">
        <v>3470</v>
      </c>
      <c r="Y188" t="s">
        <v>3471</v>
      </c>
      <c r="Z188" t="s">
        <v>3472</v>
      </c>
      <c r="AA188" t="s">
        <v>74</v>
      </c>
      <c r="AB188" t="s">
        <v>3473</v>
      </c>
      <c r="AC188" t="s">
        <v>3474</v>
      </c>
      <c r="AD188" t="s">
        <v>3475</v>
      </c>
      <c r="AE188" t="s">
        <v>3476</v>
      </c>
      <c r="AF188" t="s">
        <v>74</v>
      </c>
      <c r="AG188">
        <v>63</v>
      </c>
      <c r="AH188">
        <v>0</v>
      </c>
      <c r="AI188">
        <v>0</v>
      </c>
      <c r="AJ188">
        <v>0</v>
      </c>
      <c r="AK188">
        <v>0</v>
      </c>
      <c r="AL188" t="s">
        <v>90</v>
      </c>
      <c r="AM188" t="s">
        <v>91</v>
      </c>
      <c r="AN188" t="s">
        <v>92</v>
      </c>
      <c r="AO188" t="s">
        <v>1598</v>
      </c>
      <c r="AP188" t="s">
        <v>1599</v>
      </c>
      <c r="AQ188" t="s">
        <v>74</v>
      </c>
      <c r="AR188" t="s">
        <v>1600</v>
      </c>
      <c r="AS188" t="s">
        <v>1601</v>
      </c>
      <c r="AT188" t="s">
        <v>2840</v>
      </c>
      <c r="AU188">
        <v>2023</v>
      </c>
      <c r="AV188">
        <v>326</v>
      </c>
      <c r="AW188" t="s">
        <v>74</v>
      </c>
      <c r="AX188" t="s">
        <v>74</v>
      </c>
      <c r="AY188" t="s">
        <v>74</v>
      </c>
      <c r="AZ188" t="s">
        <v>74</v>
      </c>
      <c r="BA188" t="s">
        <v>74</v>
      </c>
      <c r="BB188" t="s">
        <v>74</v>
      </c>
      <c r="BC188" t="s">
        <v>74</v>
      </c>
      <c r="BD188">
        <v>124727</v>
      </c>
      <c r="BE188" t="s">
        <v>3477</v>
      </c>
      <c r="BF188" t="str">
        <f>HYPERLINK("http://dx.doi.org/10.1016/j.seppur.2023.124727","http://dx.doi.org/10.1016/j.seppur.2023.124727")</f>
        <v>http://dx.doi.org/10.1016/j.seppur.2023.124727</v>
      </c>
      <c r="BG188" t="s">
        <v>74</v>
      </c>
      <c r="BH188" t="s">
        <v>74</v>
      </c>
      <c r="BI188">
        <v>14</v>
      </c>
      <c r="BJ188" t="s">
        <v>1603</v>
      </c>
      <c r="BK188" t="s">
        <v>100</v>
      </c>
      <c r="BL188" t="s">
        <v>873</v>
      </c>
      <c r="BM188" t="s">
        <v>3478</v>
      </c>
      <c r="BN188" t="s">
        <v>74</v>
      </c>
      <c r="BO188" t="s">
        <v>74</v>
      </c>
      <c r="BP188" t="s">
        <v>74</v>
      </c>
      <c r="BQ188" t="s">
        <v>74</v>
      </c>
      <c r="BR188" t="s">
        <v>104</v>
      </c>
      <c r="BS188" t="s">
        <v>3479</v>
      </c>
      <c r="BT188" t="str">
        <f>HYPERLINK("https%3A%2F%2Fwww.webofscience.com%2Fwos%2Fwoscc%2Ffull-record%2FWOS:001062998700001","View Full Record in Web of Science")</f>
        <v>View Full Record in Web of Science</v>
      </c>
    </row>
    <row r="189" spans="1:72" x14ac:dyDescent="0.15">
      <c r="A189" t="s">
        <v>72</v>
      </c>
      <c r="B189" t="s">
        <v>3480</v>
      </c>
      <c r="C189" t="s">
        <v>74</v>
      </c>
      <c r="D189" t="s">
        <v>74</v>
      </c>
      <c r="E189" t="s">
        <v>74</v>
      </c>
      <c r="F189" t="s">
        <v>3481</v>
      </c>
      <c r="G189" t="s">
        <v>74</v>
      </c>
      <c r="H189" t="s">
        <v>74</v>
      </c>
      <c r="I189" t="s">
        <v>3482</v>
      </c>
      <c r="J189" t="s">
        <v>3100</v>
      </c>
      <c r="K189" t="s">
        <v>74</v>
      </c>
      <c r="L189" t="s">
        <v>74</v>
      </c>
      <c r="M189" t="s">
        <v>78</v>
      </c>
      <c r="N189" t="s">
        <v>79</v>
      </c>
      <c r="O189" t="s">
        <v>74</v>
      </c>
      <c r="P189" t="s">
        <v>74</v>
      </c>
      <c r="Q189" t="s">
        <v>74</v>
      </c>
      <c r="R189" t="s">
        <v>74</v>
      </c>
      <c r="S189" t="s">
        <v>74</v>
      </c>
      <c r="T189" t="s">
        <v>3483</v>
      </c>
      <c r="U189" t="s">
        <v>3484</v>
      </c>
      <c r="V189" t="s">
        <v>3485</v>
      </c>
      <c r="W189" t="s">
        <v>3486</v>
      </c>
      <c r="X189" t="s">
        <v>3487</v>
      </c>
      <c r="Y189" t="s">
        <v>3488</v>
      </c>
      <c r="Z189" t="s">
        <v>3489</v>
      </c>
      <c r="AA189" t="s">
        <v>74</v>
      </c>
      <c r="AB189" t="s">
        <v>74</v>
      </c>
      <c r="AC189" t="s">
        <v>3490</v>
      </c>
      <c r="AD189" t="s">
        <v>3491</v>
      </c>
      <c r="AE189" t="s">
        <v>3492</v>
      </c>
      <c r="AF189" t="s">
        <v>74</v>
      </c>
      <c r="AG189">
        <v>55</v>
      </c>
      <c r="AH189">
        <v>0</v>
      </c>
      <c r="AI189">
        <v>0</v>
      </c>
      <c r="AJ189">
        <v>2</v>
      </c>
      <c r="AK189">
        <v>2</v>
      </c>
      <c r="AL189" t="s">
        <v>90</v>
      </c>
      <c r="AM189" t="s">
        <v>91</v>
      </c>
      <c r="AN189" t="s">
        <v>92</v>
      </c>
      <c r="AO189" t="s">
        <v>3109</v>
      </c>
      <c r="AP189" t="s">
        <v>3110</v>
      </c>
      <c r="AQ189" t="s">
        <v>74</v>
      </c>
      <c r="AR189" t="s">
        <v>3111</v>
      </c>
      <c r="AS189" t="s">
        <v>3112</v>
      </c>
      <c r="AT189" t="s">
        <v>2579</v>
      </c>
      <c r="AU189">
        <v>2023</v>
      </c>
      <c r="AV189">
        <v>149</v>
      </c>
      <c r="AW189" t="s">
        <v>74</v>
      </c>
      <c r="AX189" t="s">
        <v>74</v>
      </c>
      <c r="AY189" t="s">
        <v>74</v>
      </c>
      <c r="AZ189" t="s">
        <v>74</v>
      </c>
      <c r="BA189" t="s">
        <v>74</v>
      </c>
      <c r="BB189">
        <v>105</v>
      </c>
      <c r="BC189">
        <v>121</v>
      </c>
      <c r="BD189" t="s">
        <v>74</v>
      </c>
      <c r="BE189" t="s">
        <v>3493</v>
      </c>
      <c r="BF189" t="str">
        <f>HYPERLINK("http://dx.doi.org/10.1016/j.future.2023.07.010","http://dx.doi.org/10.1016/j.future.2023.07.010")</f>
        <v>http://dx.doi.org/10.1016/j.future.2023.07.010</v>
      </c>
      <c r="BG189" t="s">
        <v>74</v>
      </c>
      <c r="BH189" t="s">
        <v>74</v>
      </c>
      <c r="BI189">
        <v>17</v>
      </c>
      <c r="BJ189" t="s">
        <v>2941</v>
      </c>
      <c r="BK189" t="s">
        <v>100</v>
      </c>
      <c r="BL189" t="s">
        <v>563</v>
      </c>
      <c r="BM189" t="s">
        <v>3494</v>
      </c>
      <c r="BN189" t="s">
        <v>74</v>
      </c>
      <c r="BO189" t="s">
        <v>74</v>
      </c>
      <c r="BP189" t="s">
        <v>74</v>
      </c>
      <c r="BQ189" t="s">
        <v>74</v>
      </c>
      <c r="BR189" t="s">
        <v>104</v>
      </c>
      <c r="BS189" t="s">
        <v>3495</v>
      </c>
      <c r="BT189" t="str">
        <f>HYPERLINK("https%3A%2F%2Fwww.webofscience.com%2Fwos%2Fwoscc%2Ffull-record%2FWOS:001050661200001","View Full Record in Web of Science")</f>
        <v>View Full Record in Web of Science</v>
      </c>
    </row>
    <row r="190" spans="1:72" x14ac:dyDescent="0.15">
      <c r="A190" t="s">
        <v>72</v>
      </c>
      <c r="B190" t="s">
        <v>3496</v>
      </c>
      <c r="C190" t="s">
        <v>74</v>
      </c>
      <c r="D190" t="s">
        <v>74</v>
      </c>
      <c r="E190" t="s">
        <v>74</v>
      </c>
      <c r="F190" t="s">
        <v>3497</v>
      </c>
      <c r="G190" t="s">
        <v>74</v>
      </c>
      <c r="H190" t="s">
        <v>74</v>
      </c>
      <c r="I190" t="s">
        <v>3498</v>
      </c>
      <c r="J190" t="s">
        <v>1401</v>
      </c>
      <c r="K190" t="s">
        <v>74</v>
      </c>
      <c r="L190" t="s">
        <v>74</v>
      </c>
      <c r="M190" t="s">
        <v>78</v>
      </c>
      <c r="N190" t="s">
        <v>79</v>
      </c>
      <c r="O190" t="s">
        <v>74</v>
      </c>
      <c r="P190" t="s">
        <v>74</v>
      </c>
      <c r="Q190" t="s">
        <v>74</v>
      </c>
      <c r="R190" t="s">
        <v>74</v>
      </c>
      <c r="S190" t="s">
        <v>74</v>
      </c>
      <c r="T190" t="s">
        <v>3499</v>
      </c>
      <c r="U190" t="s">
        <v>3500</v>
      </c>
      <c r="V190" t="s">
        <v>3501</v>
      </c>
      <c r="W190" t="s">
        <v>3502</v>
      </c>
      <c r="X190" t="s">
        <v>3503</v>
      </c>
      <c r="Y190" t="s">
        <v>3504</v>
      </c>
      <c r="Z190" t="s">
        <v>3505</v>
      </c>
      <c r="AA190" t="s">
        <v>3506</v>
      </c>
      <c r="AB190" t="s">
        <v>3507</v>
      </c>
      <c r="AC190" t="s">
        <v>3508</v>
      </c>
      <c r="AD190" t="s">
        <v>3509</v>
      </c>
      <c r="AE190" t="s">
        <v>3510</v>
      </c>
      <c r="AF190" t="s">
        <v>74</v>
      </c>
      <c r="AG190">
        <v>43</v>
      </c>
      <c r="AH190">
        <v>0</v>
      </c>
      <c r="AI190">
        <v>0</v>
      </c>
      <c r="AJ190">
        <v>8</v>
      </c>
      <c r="AK190">
        <v>8</v>
      </c>
      <c r="AL190" t="s">
        <v>475</v>
      </c>
      <c r="AM190" t="s">
        <v>476</v>
      </c>
      <c r="AN190" t="s">
        <v>477</v>
      </c>
      <c r="AO190" t="s">
        <v>1412</v>
      </c>
      <c r="AP190" t="s">
        <v>1413</v>
      </c>
      <c r="AQ190" t="s">
        <v>74</v>
      </c>
      <c r="AR190" t="s">
        <v>1414</v>
      </c>
      <c r="AS190" t="s">
        <v>1415</v>
      </c>
      <c r="AT190" t="s">
        <v>2579</v>
      </c>
      <c r="AU190">
        <v>2023</v>
      </c>
      <c r="AV190">
        <v>651</v>
      </c>
      <c r="AW190" t="s">
        <v>74</v>
      </c>
      <c r="AX190" t="s">
        <v>74</v>
      </c>
      <c r="AY190" t="s">
        <v>74</v>
      </c>
      <c r="AZ190" t="s">
        <v>74</v>
      </c>
      <c r="BA190" t="s">
        <v>74</v>
      </c>
      <c r="BB190">
        <v>841</v>
      </c>
      <c r="BC190">
        <v>848</v>
      </c>
      <c r="BD190" t="s">
        <v>74</v>
      </c>
      <c r="BE190" t="s">
        <v>3511</v>
      </c>
      <c r="BF190" t="str">
        <f>HYPERLINK("http://dx.doi.org/10.1016/j.jcis.2023.08.044","http://dx.doi.org/10.1016/j.jcis.2023.08.044")</f>
        <v>http://dx.doi.org/10.1016/j.jcis.2023.08.044</v>
      </c>
      <c r="BG190" t="s">
        <v>74</v>
      </c>
      <c r="BH190" t="s">
        <v>74</v>
      </c>
      <c r="BI190">
        <v>8</v>
      </c>
      <c r="BJ190" t="s">
        <v>394</v>
      </c>
      <c r="BK190" t="s">
        <v>100</v>
      </c>
      <c r="BL190" t="s">
        <v>395</v>
      </c>
      <c r="BM190" t="s">
        <v>3512</v>
      </c>
      <c r="BN190">
        <v>37573730</v>
      </c>
      <c r="BO190" t="s">
        <v>74</v>
      </c>
      <c r="BP190" t="s">
        <v>74</v>
      </c>
      <c r="BQ190" t="s">
        <v>74</v>
      </c>
      <c r="BR190" t="s">
        <v>104</v>
      </c>
      <c r="BS190" t="s">
        <v>3513</v>
      </c>
      <c r="BT190" t="str">
        <f>HYPERLINK("https%3A%2F%2Fwww.webofscience.com%2Fwos%2Fwoscc%2Ffull-record%2FWOS:001060144700001","View Full Record in Web of Science")</f>
        <v>View Full Record in Web of Science</v>
      </c>
    </row>
    <row r="191" spans="1:72" x14ac:dyDescent="0.15">
      <c r="A191" t="s">
        <v>72</v>
      </c>
      <c r="B191" t="s">
        <v>3514</v>
      </c>
      <c r="C191" t="s">
        <v>74</v>
      </c>
      <c r="D191" t="s">
        <v>74</v>
      </c>
      <c r="E191" t="s">
        <v>74</v>
      </c>
      <c r="F191" t="s">
        <v>3515</v>
      </c>
      <c r="G191" t="s">
        <v>74</v>
      </c>
      <c r="H191" t="s">
        <v>74</v>
      </c>
      <c r="I191" t="s">
        <v>3516</v>
      </c>
      <c r="J191" t="s">
        <v>488</v>
      </c>
      <c r="K191" t="s">
        <v>74</v>
      </c>
      <c r="L191" t="s">
        <v>74</v>
      </c>
      <c r="M191" t="s">
        <v>78</v>
      </c>
      <c r="N191" t="s">
        <v>241</v>
      </c>
      <c r="O191" t="s">
        <v>74</v>
      </c>
      <c r="P191" t="s">
        <v>74</v>
      </c>
      <c r="Q191" t="s">
        <v>74</v>
      </c>
      <c r="R191" t="s">
        <v>74</v>
      </c>
      <c r="S191" t="s">
        <v>74</v>
      </c>
      <c r="T191" t="s">
        <v>3517</v>
      </c>
      <c r="U191" t="s">
        <v>3518</v>
      </c>
      <c r="V191" t="s">
        <v>3519</v>
      </c>
      <c r="W191" t="s">
        <v>3520</v>
      </c>
      <c r="X191" t="s">
        <v>3521</v>
      </c>
      <c r="Y191" t="s">
        <v>3522</v>
      </c>
      <c r="Z191" t="s">
        <v>3523</v>
      </c>
      <c r="AA191" t="s">
        <v>74</v>
      </c>
      <c r="AB191" t="s">
        <v>3524</v>
      </c>
      <c r="AC191" t="s">
        <v>3525</v>
      </c>
      <c r="AD191" t="s">
        <v>3526</v>
      </c>
      <c r="AE191" t="s">
        <v>3527</v>
      </c>
      <c r="AF191" t="s">
        <v>74</v>
      </c>
      <c r="AG191">
        <v>104</v>
      </c>
      <c r="AH191">
        <v>0</v>
      </c>
      <c r="AI191">
        <v>0</v>
      </c>
      <c r="AJ191">
        <v>17</v>
      </c>
      <c r="AK191">
        <v>17</v>
      </c>
      <c r="AL191" t="s">
        <v>120</v>
      </c>
      <c r="AM191" t="s">
        <v>121</v>
      </c>
      <c r="AN191" t="s">
        <v>122</v>
      </c>
      <c r="AO191" t="s">
        <v>496</v>
      </c>
      <c r="AP191" t="s">
        <v>497</v>
      </c>
      <c r="AQ191" t="s">
        <v>74</v>
      </c>
      <c r="AR191" t="s">
        <v>498</v>
      </c>
      <c r="AS191" t="s">
        <v>499</v>
      </c>
      <c r="AT191" t="s">
        <v>2579</v>
      </c>
      <c r="AU191">
        <v>2023</v>
      </c>
      <c r="AV191">
        <v>167</v>
      </c>
      <c r="AW191" t="s">
        <v>74</v>
      </c>
      <c r="AX191" t="s">
        <v>74</v>
      </c>
      <c r="AY191" t="s">
        <v>74</v>
      </c>
      <c r="AZ191" t="s">
        <v>74</v>
      </c>
      <c r="BA191" t="s">
        <v>74</v>
      </c>
      <c r="BB191" t="s">
        <v>74</v>
      </c>
      <c r="BC191" t="s">
        <v>74</v>
      </c>
      <c r="BD191">
        <v>109828</v>
      </c>
      <c r="BE191" t="s">
        <v>3528</v>
      </c>
      <c r="BF191" t="str">
        <f>HYPERLINK("http://dx.doi.org/10.1016/j.optlastec.2023.109828","http://dx.doi.org/10.1016/j.optlastec.2023.109828")</f>
        <v>http://dx.doi.org/10.1016/j.optlastec.2023.109828</v>
      </c>
      <c r="BG191" t="s">
        <v>74</v>
      </c>
      <c r="BH191" t="s">
        <v>74</v>
      </c>
      <c r="BI191">
        <v>15</v>
      </c>
      <c r="BJ191" t="s">
        <v>501</v>
      </c>
      <c r="BK191" t="s">
        <v>100</v>
      </c>
      <c r="BL191" t="s">
        <v>502</v>
      </c>
      <c r="BM191" t="s">
        <v>3529</v>
      </c>
      <c r="BN191" t="s">
        <v>74</v>
      </c>
      <c r="BO191" t="s">
        <v>74</v>
      </c>
      <c r="BP191" t="s">
        <v>74</v>
      </c>
      <c r="BQ191" t="s">
        <v>74</v>
      </c>
      <c r="BR191" t="s">
        <v>104</v>
      </c>
      <c r="BS191" t="s">
        <v>3530</v>
      </c>
      <c r="BT191" t="str">
        <f>HYPERLINK("https%3A%2F%2Fwww.webofscience.com%2Fwos%2Fwoscc%2Ffull-record%2FWOS:001048343200001","View Full Record in Web of Science")</f>
        <v>View Full Record in Web of Science</v>
      </c>
    </row>
    <row r="192" spans="1:72" x14ac:dyDescent="0.15">
      <c r="A192" t="s">
        <v>72</v>
      </c>
      <c r="B192" t="s">
        <v>3531</v>
      </c>
      <c r="C192" t="s">
        <v>74</v>
      </c>
      <c r="D192" t="s">
        <v>74</v>
      </c>
      <c r="E192" t="s">
        <v>74</v>
      </c>
      <c r="F192" t="s">
        <v>3532</v>
      </c>
      <c r="G192" t="s">
        <v>74</v>
      </c>
      <c r="H192" t="s">
        <v>74</v>
      </c>
      <c r="I192" t="s">
        <v>3533</v>
      </c>
      <c r="J192" t="s">
        <v>2847</v>
      </c>
      <c r="K192" t="s">
        <v>74</v>
      </c>
      <c r="L192" t="s">
        <v>74</v>
      </c>
      <c r="M192" t="s">
        <v>78</v>
      </c>
      <c r="N192" t="s">
        <v>79</v>
      </c>
      <c r="O192" t="s">
        <v>74</v>
      </c>
      <c r="P192" t="s">
        <v>74</v>
      </c>
      <c r="Q192" t="s">
        <v>74</v>
      </c>
      <c r="R192" t="s">
        <v>74</v>
      </c>
      <c r="S192" t="s">
        <v>74</v>
      </c>
      <c r="T192" t="s">
        <v>3534</v>
      </c>
      <c r="U192" t="s">
        <v>3535</v>
      </c>
      <c r="V192" t="s">
        <v>3536</v>
      </c>
      <c r="W192" t="s">
        <v>3537</v>
      </c>
      <c r="X192" t="s">
        <v>3538</v>
      </c>
      <c r="Y192" t="s">
        <v>3539</v>
      </c>
      <c r="Z192" t="s">
        <v>3540</v>
      </c>
      <c r="AA192" t="s">
        <v>74</v>
      </c>
      <c r="AB192" t="s">
        <v>3541</v>
      </c>
      <c r="AC192" t="s">
        <v>74</v>
      </c>
      <c r="AD192" t="s">
        <v>74</v>
      </c>
      <c r="AE192" t="s">
        <v>74</v>
      </c>
      <c r="AF192" t="s">
        <v>74</v>
      </c>
      <c r="AG192">
        <v>57</v>
      </c>
      <c r="AH192">
        <v>0</v>
      </c>
      <c r="AI192">
        <v>0</v>
      </c>
      <c r="AJ192">
        <v>0</v>
      </c>
      <c r="AK192">
        <v>0</v>
      </c>
      <c r="AL192" t="s">
        <v>90</v>
      </c>
      <c r="AM192" t="s">
        <v>91</v>
      </c>
      <c r="AN192" t="s">
        <v>92</v>
      </c>
      <c r="AO192" t="s">
        <v>74</v>
      </c>
      <c r="AP192" t="s">
        <v>2858</v>
      </c>
      <c r="AQ192" t="s">
        <v>74</v>
      </c>
      <c r="AR192" t="s">
        <v>2859</v>
      </c>
      <c r="AS192" t="s">
        <v>2860</v>
      </c>
      <c r="AT192" t="s">
        <v>2579</v>
      </c>
      <c r="AU192">
        <v>2023</v>
      </c>
      <c r="AV192">
        <v>33</v>
      </c>
      <c r="AW192" t="s">
        <v>74</v>
      </c>
      <c r="AX192" t="s">
        <v>74</v>
      </c>
      <c r="AY192" t="s">
        <v>74</v>
      </c>
      <c r="AZ192" t="s">
        <v>74</v>
      </c>
      <c r="BA192" t="s">
        <v>74</v>
      </c>
      <c r="BB192" t="s">
        <v>74</v>
      </c>
      <c r="BC192" t="s">
        <v>74</v>
      </c>
      <c r="BD192">
        <v>101808</v>
      </c>
      <c r="BE192" t="s">
        <v>3542</v>
      </c>
      <c r="BF192" t="str">
        <f>HYPERLINK("http://dx.doi.org/10.1016/j.genrep.2023.101808","http://dx.doi.org/10.1016/j.genrep.2023.101808")</f>
        <v>http://dx.doi.org/10.1016/j.genrep.2023.101808</v>
      </c>
      <c r="BG192" t="s">
        <v>74</v>
      </c>
      <c r="BH192" t="s">
        <v>74</v>
      </c>
      <c r="BI192">
        <v>12</v>
      </c>
      <c r="BJ192" t="s">
        <v>2862</v>
      </c>
      <c r="BK192" t="s">
        <v>1850</v>
      </c>
      <c r="BL192" t="s">
        <v>2862</v>
      </c>
      <c r="BM192" t="s">
        <v>3543</v>
      </c>
      <c r="BN192" t="s">
        <v>74</v>
      </c>
      <c r="BO192" t="s">
        <v>74</v>
      </c>
      <c r="BP192" t="s">
        <v>74</v>
      </c>
      <c r="BQ192" t="s">
        <v>74</v>
      </c>
      <c r="BR192" t="s">
        <v>104</v>
      </c>
      <c r="BS192" t="s">
        <v>3544</v>
      </c>
      <c r="BT192" t="str">
        <f>HYPERLINK("https%3A%2F%2Fwww.webofscience.com%2Fwos%2Fwoscc%2Ffull-record%2FWOS:001059527300001","View Full Record in Web of Science")</f>
        <v>View Full Record in Web of Science</v>
      </c>
    </row>
    <row r="193" spans="1:72" x14ac:dyDescent="0.15">
      <c r="A193" t="s">
        <v>72</v>
      </c>
      <c r="B193" t="s">
        <v>3545</v>
      </c>
      <c r="C193" t="s">
        <v>74</v>
      </c>
      <c r="D193" t="s">
        <v>74</v>
      </c>
      <c r="E193" t="s">
        <v>74</v>
      </c>
      <c r="F193" t="s">
        <v>3546</v>
      </c>
      <c r="G193" t="s">
        <v>74</v>
      </c>
      <c r="H193" t="s">
        <v>74</v>
      </c>
      <c r="I193" t="s">
        <v>3547</v>
      </c>
      <c r="J193" t="s">
        <v>109</v>
      </c>
      <c r="K193" t="s">
        <v>74</v>
      </c>
      <c r="L193" t="s">
        <v>74</v>
      </c>
      <c r="M193" t="s">
        <v>78</v>
      </c>
      <c r="N193" t="s">
        <v>79</v>
      </c>
      <c r="O193" t="s">
        <v>74</v>
      </c>
      <c r="P193" t="s">
        <v>74</v>
      </c>
      <c r="Q193" t="s">
        <v>74</v>
      </c>
      <c r="R193" t="s">
        <v>74</v>
      </c>
      <c r="S193" t="s">
        <v>74</v>
      </c>
      <c r="T193" t="s">
        <v>3548</v>
      </c>
      <c r="U193" t="s">
        <v>3549</v>
      </c>
      <c r="V193" t="s">
        <v>3550</v>
      </c>
      <c r="W193" t="s">
        <v>3551</v>
      </c>
      <c r="X193" t="s">
        <v>3552</v>
      </c>
      <c r="Y193" t="s">
        <v>3553</v>
      </c>
      <c r="Z193" t="s">
        <v>3554</v>
      </c>
      <c r="AA193" t="s">
        <v>74</v>
      </c>
      <c r="AB193" t="s">
        <v>74</v>
      </c>
      <c r="AC193" t="s">
        <v>3555</v>
      </c>
      <c r="AD193" t="s">
        <v>2133</v>
      </c>
      <c r="AE193" t="s">
        <v>3556</v>
      </c>
      <c r="AF193" t="s">
        <v>74</v>
      </c>
      <c r="AG193">
        <v>40</v>
      </c>
      <c r="AH193">
        <v>0</v>
      </c>
      <c r="AI193">
        <v>0</v>
      </c>
      <c r="AJ193">
        <v>7</v>
      </c>
      <c r="AK193">
        <v>7</v>
      </c>
      <c r="AL193" t="s">
        <v>120</v>
      </c>
      <c r="AM193" t="s">
        <v>121</v>
      </c>
      <c r="AN193" t="s">
        <v>122</v>
      </c>
      <c r="AO193" t="s">
        <v>123</v>
      </c>
      <c r="AP193" t="s">
        <v>124</v>
      </c>
      <c r="AQ193" t="s">
        <v>74</v>
      </c>
      <c r="AR193" t="s">
        <v>125</v>
      </c>
      <c r="AS193" t="s">
        <v>126</v>
      </c>
      <c r="AT193" t="s">
        <v>2840</v>
      </c>
      <c r="AU193">
        <v>2023</v>
      </c>
      <c r="AV193">
        <v>428</v>
      </c>
      <c r="AW193" t="s">
        <v>74</v>
      </c>
      <c r="AX193" t="s">
        <v>74</v>
      </c>
      <c r="AY193" t="s">
        <v>74</v>
      </c>
      <c r="AZ193" t="s">
        <v>74</v>
      </c>
      <c r="BA193" t="s">
        <v>74</v>
      </c>
      <c r="BB193" t="s">
        <v>74</v>
      </c>
      <c r="BC193" t="s">
        <v>74</v>
      </c>
      <c r="BD193">
        <v>136815</v>
      </c>
      <c r="BE193" t="s">
        <v>3557</v>
      </c>
      <c r="BF193" t="str">
        <f>HYPERLINK("http://dx.doi.org/10.1016/j.foodchem.2023.136815","http://dx.doi.org/10.1016/j.foodchem.2023.136815")</f>
        <v>http://dx.doi.org/10.1016/j.foodchem.2023.136815</v>
      </c>
      <c r="BG193" t="s">
        <v>74</v>
      </c>
      <c r="BH193" t="s">
        <v>74</v>
      </c>
      <c r="BI193">
        <v>11</v>
      </c>
      <c r="BJ193" t="s">
        <v>129</v>
      </c>
      <c r="BK193" t="s">
        <v>100</v>
      </c>
      <c r="BL193" t="s">
        <v>130</v>
      </c>
      <c r="BM193" t="s">
        <v>3558</v>
      </c>
      <c r="BN193">
        <v>37450953</v>
      </c>
      <c r="BO193" t="s">
        <v>74</v>
      </c>
      <c r="BP193" t="s">
        <v>74</v>
      </c>
      <c r="BQ193" t="s">
        <v>74</v>
      </c>
      <c r="BR193" t="s">
        <v>104</v>
      </c>
      <c r="BS193" t="s">
        <v>3559</v>
      </c>
      <c r="BT193" t="str">
        <f>HYPERLINK("https%3A%2F%2Fwww.webofscience.com%2Fwos%2Fwoscc%2Ffull-record%2FWOS:001046654400001","View Full Record in Web of Science")</f>
        <v>View Full Record in Web of Science</v>
      </c>
    </row>
    <row r="194" spans="1:72" x14ac:dyDescent="0.15">
      <c r="A194" t="s">
        <v>72</v>
      </c>
      <c r="B194" t="s">
        <v>3560</v>
      </c>
      <c r="C194" t="s">
        <v>74</v>
      </c>
      <c r="D194" t="s">
        <v>74</v>
      </c>
      <c r="E194" t="s">
        <v>74</v>
      </c>
      <c r="F194" t="s">
        <v>3561</v>
      </c>
      <c r="G194" t="s">
        <v>74</v>
      </c>
      <c r="H194" t="s">
        <v>74</v>
      </c>
      <c r="I194" t="s">
        <v>3562</v>
      </c>
      <c r="J194" t="s">
        <v>3382</v>
      </c>
      <c r="K194" t="s">
        <v>74</v>
      </c>
      <c r="L194" t="s">
        <v>74</v>
      </c>
      <c r="M194" t="s">
        <v>78</v>
      </c>
      <c r="N194" t="s">
        <v>79</v>
      </c>
      <c r="O194" t="s">
        <v>74</v>
      </c>
      <c r="P194" t="s">
        <v>74</v>
      </c>
      <c r="Q194" t="s">
        <v>74</v>
      </c>
      <c r="R194" t="s">
        <v>74</v>
      </c>
      <c r="S194" t="s">
        <v>74</v>
      </c>
      <c r="T194" t="s">
        <v>3563</v>
      </c>
      <c r="U194" t="s">
        <v>3564</v>
      </c>
      <c r="V194" t="s">
        <v>3565</v>
      </c>
      <c r="W194" t="s">
        <v>3566</v>
      </c>
      <c r="X194" t="s">
        <v>3567</v>
      </c>
      <c r="Y194" t="s">
        <v>3568</v>
      </c>
      <c r="Z194" t="s">
        <v>3569</v>
      </c>
      <c r="AA194" t="s">
        <v>74</v>
      </c>
      <c r="AB194" t="s">
        <v>3570</v>
      </c>
      <c r="AC194" t="s">
        <v>3571</v>
      </c>
      <c r="AD194" t="s">
        <v>3572</v>
      </c>
      <c r="AE194" t="s">
        <v>3573</v>
      </c>
      <c r="AF194" t="s">
        <v>74</v>
      </c>
      <c r="AG194">
        <v>46</v>
      </c>
      <c r="AH194">
        <v>0</v>
      </c>
      <c r="AI194">
        <v>0</v>
      </c>
      <c r="AJ194">
        <v>9</v>
      </c>
      <c r="AK194">
        <v>9</v>
      </c>
      <c r="AL194" t="s">
        <v>120</v>
      </c>
      <c r="AM194" t="s">
        <v>121</v>
      </c>
      <c r="AN194" t="s">
        <v>122</v>
      </c>
      <c r="AO194" t="s">
        <v>3390</v>
      </c>
      <c r="AP194" t="s">
        <v>3391</v>
      </c>
      <c r="AQ194" t="s">
        <v>74</v>
      </c>
      <c r="AR194" t="s">
        <v>3392</v>
      </c>
      <c r="AS194" t="s">
        <v>3393</v>
      </c>
      <c r="AT194" t="s">
        <v>2579</v>
      </c>
      <c r="AU194">
        <v>2023</v>
      </c>
      <c r="AV194">
        <v>145</v>
      </c>
      <c r="AW194" t="s">
        <v>74</v>
      </c>
      <c r="AX194" t="s">
        <v>74</v>
      </c>
      <c r="AY194" t="s">
        <v>74</v>
      </c>
      <c r="AZ194" t="s">
        <v>74</v>
      </c>
      <c r="BA194" t="s">
        <v>74</v>
      </c>
      <c r="BB194" t="s">
        <v>74</v>
      </c>
      <c r="BC194" t="s">
        <v>74</v>
      </c>
      <c r="BD194">
        <v>109064</v>
      </c>
      <c r="BE194" t="s">
        <v>3574</v>
      </c>
      <c r="BF194" t="str">
        <f>HYPERLINK("http://dx.doi.org/10.1016/j.foodhyd.2023.109064","http://dx.doi.org/10.1016/j.foodhyd.2023.109064")</f>
        <v>http://dx.doi.org/10.1016/j.foodhyd.2023.109064</v>
      </c>
      <c r="BG194" t="s">
        <v>74</v>
      </c>
      <c r="BH194" t="s">
        <v>74</v>
      </c>
      <c r="BI194">
        <v>13</v>
      </c>
      <c r="BJ194" t="s">
        <v>1849</v>
      </c>
      <c r="BK194" t="s">
        <v>100</v>
      </c>
      <c r="BL194" t="s">
        <v>1851</v>
      </c>
      <c r="BM194" t="s">
        <v>3575</v>
      </c>
      <c r="BN194">
        <v>37545760</v>
      </c>
      <c r="BO194" t="s">
        <v>74</v>
      </c>
      <c r="BP194" t="s">
        <v>74</v>
      </c>
      <c r="BQ194" t="s">
        <v>74</v>
      </c>
      <c r="BR194" t="s">
        <v>104</v>
      </c>
      <c r="BS194" t="s">
        <v>3576</v>
      </c>
      <c r="BT194" t="str">
        <f>HYPERLINK("https%3A%2F%2Fwww.webofscience.com%2Fwos%2Fwoscc%2Ffull-record%2FWOS:001043961400001","View Full Record in Web of Science")</f>
        <v>View Full Record in Web of Science</v>
      </c>
    </row>
    <row r="195" spans="1:72" x14ac:dyDescent="0.15">
      <c r="A195" t="s">
        <v>72</v>
      </c>
      <c r="B195" t="s">
        <v>3577</v>
      </c>
      <c r="C195" t="s">
        <v>74</v>
      </c>
      <c r="D195" t="s">
        <v>74</v>
      </c>
      <c r="E195" t="s">
        <v>74</v>
      </c>
      <c r="F195" t="s">
        <v>3578</v>
      </c>
      <c r="G195" t="s">
        <v>74</v>
      </c>
      <c r="H195" t="s">
        <v>74</v>
      </c>
      <c r="I195" t="s">
        <v>3579</v>
      </c>
      <c r="J195" t="s">
        <v>3382</v>
      </c>
      <c r="K195" t="s">
        <v>74</v>
      </c>
      <c r="L195" t="s">
        <v>74</v>
      </c>
      <c r="M195" t="s">
        <v>78</v>
      </c>
      <c r="N195" t="s">
        <v>79</v>
      </c>
      <c r="O195" t="s">
        <v>74</v>
      </c>
      <c r="P195" t="s">
        <v>74</v>
      </c>
      <c r="Q195" t="s">
        <v>74</v>
      </c>
      <c r="R195" t="s">
        <v>74</v>
      </c>
      <c r="S195" t="s">
        <v>74</v>
      </c>
      <c r="T195" t="s">
        <v>3580</v>
      </c>
      <c r="U195" t="s">
        <v>3581</v>
      </c>
      <c r="V195" t="s">
        <v>3582</v>
      </c>
      <c r="W195" t="s">
        <v>3583</v>
      </c>
      <c r="X195" t="s">
        <v>3584</v>
      </c>
      <c r="Y195" t="s">
        <v>3585</v>
      </c>
      <c r="Z195" t="s">
        <v>3586</v>
      </c>
      <c r="AA195" t="s">
        <v>74</v>
      </c>
      <c r="AB195" t="s">
        <v>74</v>
      </c>
      <c r="AC195" t="s">
        <v>3587</v>
      </c>
      <c r="AD195" t="s">
        <v>3588</v>
      </c>
      <c r="AE195" t="s">
        <v>3589</v>
      </c>
      <c r="AF195" t="s">
        <v>74</v>
      </c>
      <c r="AG195">
        <v>44</v>
      </c>
      <c r="AH195">
        <v>0</v>
      </c>
      <c r="AI195">
        <v>0</v>
      </c>
      <c r="AJ195">
        <v>6</v>
      </c>
      <c r="AK195">
        <v>6</v>
      </c>
      <c r="AL195" t="s">
        <v>120</v>
      </c>
      <c r="AM195" t="s">
        <v>121</v>
      </c>
      <c r="AN195" t="s">
        <v>122</v>
      </c>
      <c r="AO195" t="s">
        <v>3390</v>
      </c>
      <c r="AP195" t="s">
        <v>3391</v>
      </c>
      <c r="AQ195" t="s">
        <v>74</v>
      </c>
      <c r="AR195" t="s">
        <v>3392</v>
      </c>
      <c r="AS195" t="s">
        <v>3393</v>
      </c>
      <c r="AT195" t="s">
        <v>2579</v>
      </c>
      <c r="AU195">
        <v>2023</v>
      </c>
      <c r="AV195">
        <v>145</v>
      </c>
      <c r="AW195" t="s">
        <v>74</v>
      </c>
      <c r="AX195" t="s">
        <v>74</v>
      </c>
      <c r="AY195" t="s">
        <v>74</v>
      </c>
      <c r="AZ195" t="s">
        <v>74</v>
      </c>
      <c r="BA195" t="s">
        <v>74</v>
      </c>
      <c r="BB195" t="s">
        <v>74</v>
      </c>
      <c r="BC195" t="s">
        <v>74</v>
      </c>
      <c r="BD195">
        <v>109106</v>
      </c>
      <c r="BE195" t="s">
        <v>3590</v>
      </c>
      <c r="BF195" t="str">
        <f>HYPERLINK("http://dx.doi.org/10.1016/j.foodhyd.2023.109106","http://dx.doi.org/10.1016/j.foodhyd.2023.109106")</f>
        <v>http://dx.doi.org/10.1016/j.foodhyd.2023.109106</v>
      </c>
      <c r="BG195" t="s">
        <v>74</v>
      </c>
      <c r="BH195" t="s">
        <v>74</v>
      </c>
      <c r="BI195">
        <v>13</v>
      </c>
      <c r="BJ195" t="s">
        <v>1849</v>
      </c>
      <c r="BK195" t="s">
        <v>100</v>
      </c>
      <c r="BL195" t="s">
        <v>1851</v>
      </c>
      <c r="BM195" t="s">
        <v>3591</v>
      </c>
      <c r="BN195" t="s">
        <v>74</v>
      </c>
      <c r="BO195" t="s">
        <v>74</v>
      </c>
      <c r="BP195" t="s">
        <v>74</v>
      </c>
      <c r="BQ195" t="s">
        <v>74</v>
      </c>
      <c r="BR195" t="s">
        <v>104</v>
      </c>
      <c r="BS195" t="s">
        <v>3592</v>
      </c>
      <c r="BT195" t="str">
        <f>HYPERLINK("https%3A%2F%2Fwww.webofscience.com%2Fwos%2Fwoscc%2Ffull-record%2FWOS:001058974300001","View Full Record in Web of Science")</f>
        <v>View Full Record in Web of Science</v>
      </c>
    </row>
    <row r="196" spans="1:72" x14ac:dyDescent="0.15">
      <c r="A196" t="s">
        <v>72</v>
      </c>
      <c r="B196" t="s">
        <v>3593</v>
      </c>
      <c r="C196" t="s">
        <v>74</v>
      </c>
      <c r="D196" t="s">
        <v>74</v>
      </c>
      <c r="E196" t="s">
        <v>74</v>
      </c>
      <c r="F196" t="s">
        <v>3594</v>
      </c>
      <c r="G196" t="s">
        <v>74</v>
      </c>
      <c r="H196" t="s">
        <v>74</v>
      </c>
      <c r="I196" t="s">
        <v>3595</v>
      </c>
      <c r="J196" t="s">
        <v>3596</v>
      </c>
      <c r="K196" t="s">
        <v>74</v>
      </c>
      <c r="L196" t="s">
        <v>74</v>
      </c>
      <c r="M196" t="s">
        <v>78</v>
      </c>
      <c r="N196" t="s">
        <v>79</v>
      </c>
      <c r="O196" t="s">
        <v>74</v>
      </c>
      <c r="P196" t="s">
        <v>74</v>
      </c>
      <c r="Q196" t="s">
        <v>74</v>
      </c>
      <c r="R196" t="s">
        <v>74</v>
      </c>
      <c r="S196" t="s">
        <v>74</v>
      </c>
      <c r="T196" t="s">
        <v>3597</v>
      </c>
      <c r="U196" t="s">
        <v>3598</v>
      </c>
      <c r="V196" t="s">
        <v>3599</v>
      </c>
      <c r="W196" t="s">
        <v>3600</v>
      </c>
      <c r="X196" t="s">
        <v>3601</v>
      </c>
      <c r="Y196" t="s">
        <v>3602</v>
      </c>
      <c r="Z196" t="s">
        <v>3603</v>
      </c>
      <c r="AA196" t="s">
        <v>74</v>
      </c>
      <c r="AB196" t="s">
        <v>74</v>
      </c>
      <c r="AC196" t="s">
        <v>3604</v>
      </c>
      <c r="AD196" t="s">
        <v>3605</v>
      </c>
      <c r="AE196" t="s">
        <v>3606</v>
      </c>
      <c r="AF196" t="s">
        <v>74</v>
      </c>
      <c r="AG196">
        <v>41</v>
      </c>
      <c r="AH196">
        <v>0</v>
      </c>
      <c r="AI196">
        <v>0</v>
      </c>
      <c r="AJ196">
        <v>0</v>
      </c>
      <c r="AK196">
        <v>0</v>
      </c>
      <c r="AL196" t="s">
        <v>90</v>
      </c>
      <c r="AM196" t="s">
        <v>91</v>
      </c>
      <c r="AN196" t="s">
        <v>92</v>
      </c>
      <c r="AO196" t="s">
        <v>3607</v>
      </c>
      <c r="AP196" t="s">
        <v>74</v>
      </c>
      <c r="AQ196" t="s">
        <v>74</v>
      </c>
      <c r="AR196" t="s">
        <v>3608</v>
      </c>
      <c r="AS196" t="s">
        <v>3609</v>
      </c>
      <c r="AT196" t="s">
        <v>2579</v>
      </c>
      <c r="AU196">
        <v>2023</v>
      </c>
      <c r="AV196">
        <v>53</v>
      </c>
      <c r="AW196" t="s">
        <v>74</v>
      </c>
      <c r="AX196" t="s">
        <v>74</v>
      </c>
      <c r="AY196" t="s">
        <v>74</v>
      </c>
      <c r="AZ196" t="s">
        <v>74</v>
      </c>
      <c r="BA196" t="s">
        <v>74</v>
      </c>
      <c r="BB196" t="s">
        <v>74</v>
      </c>
      <c r="BC196" t="s">
        <v>74</v>
      </c>
      <c r="BD196">
        <v>106923</v>
      </c>
      <c r="BE196" t="s">
        <v>3610</v>
      </c>
      <c r="BF196" t="str">
        <f>HYPERLINK("http://dx.doi.org/10.1016/j.rinp.2023.106923","http://dx.doi.org/10.1016/j.rinp.2023.106923")</f>
        <v>http://dx.doi.org/10.1016/j.rinp.2023.106923</v>
      </c>
      <c r="BG196" t="s">
        <v>74</v>
      </c>
      <c r="BH196" t="s">
        <v>74</v>
      </c>
      <c r="BI196">
        <v>8</v>
      </c>
      <c r="BJ196" t="s">
        <v>3611</v>
      </c>
      <c r="BK196" t="s">
        <v>100</v>
      </c>
      <c r="BL196" t="s">
        <v>3022</v>
      </c>
      <c r="BM196" t="s">
        <v>3612</v>
      </c>
      <c r="BN196" t="s">
        <v>74</v>
      </c>
      <c r="BO196" t="s">
        <v>3613</v>
      </c>
      <c r="BP196" t="s">
        <v>74</v>
      </c>
      <c r="BQ196" t="s">
        <v>74</v>
      </c>
      <c r="BR196" t="s">
        <v>104</v>
      </c>
      <c r="BS196" t="s">
        <v>3614</v>
      </c>
      <c r="BT196" t="str">
        <f>HYPERLINK("https%3A%2F%2Fwww.webofscience.com%2Fwos%2Fwoscc%2Ffull-record%2FWOS:001072927800001","View Full Record in Web of Science")</f>
        <v>View Full Record in Web of Science</v>
      </c>
    </row>
    <row r="197" spans="1:72" x14ac:dyDescent="0.15">
      <c r="A197" t="s">
        <v>72</v>
      </c>
      <c r="B197" t="s">
        <v>3615</v>
      </c>
      <c r="C197" t="s">
        <v>74</v>
      </c>
      <c r="D197" t="s">
        <v>74</v>
      </c>
      <c r="E197" t="s">
        <v>74</v>
      </c>
      <c r="F197" t="s">
        <v>3616</v>
      </c>
      <c r="G197" t="s">
        <v>74</v>
      </c>
      <c r="H197" t="s">
        <v>74</v>
      </c>
      <c r="I197" t="s">
        <v>3617</v>
      </c>
      <c r="J197" t="s">
        <v>3261</v>
      </c>
      <c r="K197" t="s">
        <v>74</v>
      </c>
      <c r="L197" t="s">
        <v>74</v>
      </c>
      <c r="M197" t="s">
        <v>78</v>
      </c>
      <c r="N197" t="s">
        <v>79</v>
      </c>
      <c r="O197" t="s">
        <v>74</v>
      </c>
      <c r="P197" t="s">
        <v>74</v>
      </c>
      <c r="Q197" t="s">
        <v>74</v>
      </c>
      <c r="R197" t="s">
        <v>74</v>
      </c>
      <c r="S197" t="s">
        <v>74</v>
      </c>
      <c r="T197" t="s">
        <v>3618</v>
      </c>
      <c r="U197" t="s">
        <v>3619</v>
      </c>
      <c r="V197" t="s">
        <v>3620</v>
      </c>
      <c r="W197" t="s">
        <v>3621</v>
      </c>
      <c r="X197" t="s">
        <v>3622</v>
      </c>
      <c r="Y197" t="s">
        <v>3623</v>
      </c>
      <c r="Z197" t="s">
        <v>3624</v>
      </c>
      <c r="AA197" t="s">
        <v>74</v>
      </c>
      <c r="AB197" t="s">
        <v>3625</v>
      </c>
      <c r="AC197" t="s">
        <v>3626</v>
      </c>
      <c r="AD197" t="s">
        <v>3627</v>
      </c>
      <c r="AE197" t="s">
        <v>3628</v>
      </c>
      <c r="AF197" t="s">
        <v>74</v>
      </c>
      <c r="AG197">
        <v>52</v>
      </c>
      <c r="AH197">
        <v>0</v>
      </c>
      <c r="AI197">
        <v>0</v>
      </c>
      <c r="AJ197">
        <v>4</v>
      </c>
      <c r="AK197">
        <v>4</v>
      </c>
      <c r="AL197" t="s">
        <v>173</v>
      </c>
      <c r="AM197" t="s">
        <v>121</v>
      </c>
      <c r="AN197" t="s">
        <v>174</v>
      </c>
      <c r="AO197" t="s">
        <v>3272</v>
      </c>
      <c r="AP197" t="s">
        <v>3273</v>
      </c>
      <c r="AQ197" t="s">
        <v>74</v>
      </c>
      <c r="AR197" t="s">
        <v>3274</v>
      </c>
      <c r="AS197" t="s">
        <v>3275</v>
      </c>
      <c r="AT197" t="s">
        <v>2840</v>
      </c>
      <c r="AU197">
        <v>2023</v>
      </c>
      <c r="AV197">
        <v>216</v>
      </c>
      <c r="AW197" t="s">
        <v>74</v>
      </c>
      <c r="AX197" t="s">
        <v>74</v>
      </c>
      <c r="AY197" t="s">
        <v>74</v>
      </c>
      <c r="AZ197" t="s">
        <v>74</v>
      </c>
      <c r="BA197" t="s">
        <v>74</v>
      </c>
      <c r="BB197" t="s">
        <v>74</v>
      </c>
      <c r="BC197" t="s">
        <v>74</v>
      </c>
      <c r="BD197">
        <v>124556</v>
      </c>
      <c r="BE197" t="s">
        <v>3629</v>
      </c>
      <c r="BF197" t="str">
        <f>HYPERLINK("http://dx.doi.org/10.1016/j.ijheatmasstransfer.2023.124556","http://dx.doi.org/10.1016/j.ijheatmasstransfer.2023.124556")</f>
        <v>http://dx.doi.org/10.1016/j.ijheatmasstransfer.2023.124556</v>
      </c>
      <c r="BG197" t="s">
        <v>74</v>
      </c>
      <c r="BH197" t="s">
        <v>74</v>
      </c>
      <c r="BI197">
        <v>14</v>
      </c>
      <c r="BJ197" t="s">
        <v>3277</v>
      </c>
      <c r="BK197" t="s">
        <v>100</v>
      </c>
      <c r="BL197" t="s">
        <v>3278</v>
      </c>
      <c r="BM197" t="s">
        <v>3630</v>
      </c>
      <c r="BN197" t="s">
        <v>74</v>
      </c>
      <c r="BO197" t="s">
        <v>74</v>
      </c>
      <c r="BP197" t="s">
        <v>74</v>
      </c>
      <c r="BQ197" t="s">
        <v>74</v>
      </c>
      <c r="BR197" t="s">
        <v>104</v>
      </c>
      <c r="BS197" t="s">
        <v>3631</v>
      </c>
      <c r="BT197" t="str">
        <f>HYPERLINK("https%3A%2F%2Fwww.webofscience.com%2Fwos%2Fwoscc%2Ffull-record%2FWOS:001056153100001","View Full Record in Web of Science")</f>
        <v>View Full Record in Web of Science</v>
      </c>
    </row>
    <row r="198" spans="1:72" x14ac:dyDescent="0.15">
      <c r="A198" t="s">
        <v>72</v>
      </c>
      <c r="B198" t="s">
        <v>3632</v>
      </c>
      <c r="C198" t="s">
        <v>74</v>
      </c>
      <c r="D198" t="s">
        <v>74</v>
      </c>
      <c r="E198" t="s">
        <v>74</v>
      </c>
      <c r="F198" t="s">
        <v>3633</v>
      </c>
      <c r="G198" t="s">
        <v>74</v>
      </c>
      <c r="H198" t="s">
        <v>74</v>
      </c>
      <c r="I198" t="s">
        <v>3634</v>
      </c>
      <c r="J198" t="s">
        <v>3635</v>
      </c>
      <c r="K198" t="s">
        <v>74</v>
      </c>
      <c r="L198" t="s">
        <v>74</v>
      </c>
      <c r="M198" t="s">
        <v>78</v>
      </c>
      <c r="N198" t="s">
        <v>79</v>
      </c>
      <c r="O198" t="s">
        <v>74</v>
      </c>
      <c r="P198" t="s">
        <v>74</v>
      </c>
      <c r="Q198" t="s">
        <v>74</v>
      </c>
      <c r="R198" t="s">
        <v>74</v>
      </c>
      <c r="S198" t="s">
        <v>74</v>
      </c>
      <c r="T198" t="s">
        <v>3636</v>
      </c>
      <c r="U198" t="s">
        <v>3637</v>
      </c>
      <c r="V198" t="s">
        <v>3638</v>
      </c>
      <c r="W198" t="s">
        <v>3639</v>
      </c>
      <c r="X198" t="s">
        <v>3640</v>
      </c>
      <c r="Y198" t="s">
        <v>3641</v>
      </c>
      <c r="Z198" t="s">
        <v>3642</v>
      </c>
      <c r="AA198" t="s">
        <v>74</v>
      </c>
      <c r="AB198" t="s">
        <v>74</v>
      </c>
      <c r="AC198" t="s">
        <v>74</v>
      </c>
      <c r="AD198" t="s">
        <v>74</v>
      </c>
      <c r="AE198" t="s">
        <v>74</v>
      </c>
      <c r="AF198" t="s">
        <v>74</v>
      </c>
      <c r="AG198">
        <v>50</v>
      </c>
      <c r="AH198">
        <v>0</v>
      </c>
      <c r="AI198">
        <v>0</v>
      </c>
      <c r="AJ198">
        <v>3</v>
      </c>
      <c r="AK198">
        <v>3</v>
      </c>
      <c r="AL198" t="s">
        <v>120</v>
      </c>
      <c r="AM198" t="s">
        <v>121</v>
      </c>
      <c r="AN198" t="s">
        <v>122</v>
      </c>
      <c r="AO198" t="s">
        <v>3643</v>
      </c>
      <c r="AP198" t="s">
        <v>3644</v>
      </c>
      <c r="AQ198" t="s">
        <v>74</v>
      </c>
      <c r="AR198" t="s">
        <v>3645</v>
      </c>
      <c r="AS198" t="s">
        <v>3646</v>
      </c>
      <c r="AT198" t="s">
        <v>2579</v>
      </c>
      <c r="AU198">
        <v>2023</v>
      </c>
      <c r="AV198">
        <v>144</v>
      </c>
      <c r="AW198" t="s">
        <v>74</v>
      </c>
      <c r="AX198" t="s">
        <v>74</v>
      </c>
      <c r="AY198" t="s">
        <v>74</v>
      </c>
      <c r="AZ198" t="s">
        <v>74</v>
      </c>
      <c r="BA198" t="s">
        <v>74</v>
      </c>
      <c r="BB198" t="s">
        <v>74</v>
      </c>
      <c r="BC198" t="s">
        <v>74</v>
      </c>
      <c r="BD198">
        <v>109861</v>
      </c>
      <c r="BE198" t="s">
        <v>3647</v>
      </c>
      <c r="BF198" t="str">
        <f>HYPERLINK("http://dx.doi.org/10.1016/j.patcog.2023.109861","http://dx.doi.org/10.1016/j.patcog.2023.109861")</f>
        <v>http://dx.doi.org/10.1016/j.patcog.2023.109861</v>
      </c>
      <c r="BG198" t="s">
        <v>74</v>
      </c>
      <c r="BH198" t="s">
        <v>74</v>
      </c>
      <c r="BI198">
        <v>14</v>
      </c>
      <c r="BJ198" t="s">
        <v>3648</v>
      </c>
      <c r="BK198" t="s">
        <v>100</v>
      </c>
      <c r="BL198" t="s">
        <v>3649</v>
      </c>
      <c r="BM198" t="s">
        <v>3650</v>
      </c>
      <c r="BN198" t="s">
        <v>74</v>
      </c>
      <c r="BO198" t="s">
        <v>74</v>
      </c>
      <c r="BP198" t="s">
        <v>74</v>
      </c>
      <c r="BQ198" t="s">
        <v>74</v>
      </c>
      <c r="BR198" t="s">
        <v>104</v>
      </c>
      <c r="BS198" t="s">
        <v>3651</v>
      </c>
      <c r="BT198" t="str">
        <f>HYPERLINK("https%3A%2F%2Fwww.webofscience.com%2Fwos%2Fwoscc%2Ffull-record%2FWOS:001061642100001","View Full Record in Web of Science")</f>
        <v>View Full Record in Web of Science</v>
      </c>
    </row>
    <row r="199" spans="1:72" x14ac:dyDescent="0.15">
      <c r="A199" t="s">
        <v>72</v>
      </c>
      <c r="B199" t="s">
        <v>3652</v>
      </c>
      <c r="C199" t="s">
        <v>74</v>
      </c>
      <c r="D199" t="s">
        <v>74</v>
      </c>
      <c r="E199" t="s">
        <v>74</v>
      </c>
      <c r="F199" t="s">
        <v>3653</v>
      </c>
      <c r="G199" t="s">
        <v>74</v>
      </c>
      <c r="H199" t="s">
        <v>74</v>
      </c>
      <c r="I199" t="s">
        <v>3654</v>
      </c>
      <c r="J199" t="s">
        <v>3168</v>
      </c>
      <c r="K199" t="s">
        <v>74</v>
      </c>
      <c r="L199" t="s">
        <v>74</v>
      </c>
      <c r="M199" t="s">
        <v>78</v>
      </c>
      <c r="N199" t="s">
        <v>79</v>
      </c>
      <c r="O199" t="s">
        <v>74</v>
      </c>
      <c r="P199" t="s">
        <v>74</v>
      </c>
      <c r="Q199" t="s">
        <v>74</v>
      </c>
      <c r="R199" t="s">
        <v>74</v>
      </c>
      <c r="S199" t="s">
        <v>74</v>
      </c>
      <c r="T199" t="s">
        <v>3655</v>
      </c>
      <c r="U199" t="s">
        <v>3656</v>
      </c>
      <c r="V199" t="s">
        <v>3657</v>
      </c>
      <c r="W199" t="s">
        <v>3658</v>
      </c>
      <c r="X199" t="s">
        <v>3659</v>
      </c>
      <c r="Y199" t="s">
        <v>3660</v>
      </c>
      <c r="Z199" t="s">
        <v>3661</v>
      </c>
      <c r="AA199" t="s">
        <v>74</v>
      </c>
      <c r="AB199" t="s">
        <v>3662</v>
      </c>
      <c r="AC199" t="s">
        <v>3663</v>
      </c>
      <c r="AD199" t="s">
        <v>171</v>
      </c>
      <c r="AE199" t="s">
        <v>3664</v>
      </c>
      <c r="AF199" t="s">
        <v>74</v>
      </c>
      <c r="AG199">
        <v>89</v>
      </c>
      <c r="AH199">
        <v>0</v>
      </c>
      <c r="AI199">
        <v>0</v>
      </c>
      <c r="AJ199">
        <v>21</v>
      </c>
      <c r="AK199">
        <v>21</v>
      </c>
      <c r="AL199" t="s">
        <v>90</v>
      </c>
      <c r="AM199" t="s">
        <v>91</v>
      </c>
      <c r="AN199" t="s">
        <v>92</v>
      </c>
      <c r="AO199" t="s">
        <v>3178</v>
      </c>
      <c r="AP199" t="s">
        <v>3179</v>
      </c>
      <c r="AQ199" t="s">
        <v>74</v>
      </c>
      <c r="AR199" t="s">
        <v>3180</v>
      </c>
      <c r="AS199" t="s">
        <v>3181</v>
      </c>
      <c r="AT199" t="s">
        <v>2579</v>
      </c>
      <c r="AU199">
        <v>2023</v>
      </c>
      <c r="AV199">
        <v>100</v>
      </c>
      <c r="AW199" t="s">
        <v>74</v>
      </c>
      <c r="AX199" t="s">
        <v>74</v>
      </c>
      <c r="AY199" t="s">
        <v>74</v>
      </c>
      <c r="AZ199" t="s">
        <v>74</v>
      </c>
      <c r="BA199" t="s">
        <v>74</v>
      </c>
      <c r="BB199" t="s">
        <v>74</v>
      </c>
      <c r="BC199" t="s">
        <v>74</v>
      </c>
      <c r="BD199">
        <v>101920</v>
      </c>
      <c r="BE199" t="s">
        <v>3665</v>
      </c>
      <c r="BF199" t="str">
        <f>HYPERLINK("http://dx.doi.org/10.1016/j.inffus.2023.101920","http://dx.doi.org/10.1016/j.inffus.2023.101920")</f>
        <v>http://dx.doi.org/10.1016/j.inffus.2023.101920</v>
      </c>
      <c r="BG199" t="s">
        <v>74</v>
      </c>
      <c r="BH199" t="s">
        <v>74</v>
      </c>
      <c r="BI199">
        <v>14</v>
      </c>
      <c r="BJ199" t="s">
        <v>3183</v>
      </c>
      <c r="BK199" t="s">
        <v>100</v>
      </c>
      <c r="BL199" t="s">
        <v>563</v>
      </c>
      <c r="BM199" t="s">
        <v>3666</v>
      </c>
      <c r="BN199" t="s">
        <v>74</v>
      </c>
      <c r="BO199" t="s">
        <v>74</v>
      </c>
      <c r="BP199" t="s">
        <v>74</v>
      </c>
      <c r="BQ199" t="s">
        <v>74</v>
      </c>
      <c r="BR199" t="s">
        <v>104</v>
      </c>
      <c r="BS199" t="s">
        <v>3667</v>
      </c>
      <c r="BT199" t="str">
        <f>HYPERLINK("https%3A%2F%2Fwww.webofscience.com%2Fwos%2Fwoscc%2Ffull-record%2FWOS:001048754600001","View Full Record in Web of Science")</f>
        <v>View Full Record in Web of Science</v>
      </c>
    </row>
    <row r="200" spans="1:72" x14ac:dyDescent="0.15">
      <c r="A200" t="s">
        <v>72</v>
      </c>
      <c r="B200" t="s">
        <v>3668</v>
      </c>
      <c r="C200" t="s">
        <v>74</v>
      </c>
      <c r="D200" t="s">
        <v>74</v>
      </c>
      <c r="E200" t="s">
        <v>74</v>
      </c>
      <c r="F200" t="s">
        <v>3669</v>
      </c>
      <c r="G200" t="s">
        <v>74</v>
      </c>
      <c r="H200" t="s">
        <v>74</v>
      </c>
      <c r="I200" t="s">
        <v>3670</v>
      </c>
      <c r="J200" t="s">
        <v>1524</v>
      </c>
      <c r="K200" t="s">
        <v>74</v>
      </c>
      <c r="L200" t="s">
        <v>74</v>
      </c>
      <c r="M200" t="s">
        <v>78</v>
      </c>
      <c r="N200" t="s">
        <v>79</v>
      </c>
      <c r="O200" t="s">
        <v>74</v>
      </c>
      <c r="P200" t="s">
        <v>74</v>
      </c>
      <c r="Q200" t="s">
        <v>74</v>
      </c>
      <c r="R200" t="s">
        <v>74</v>
      </c>
      <c r="S200" t="s">
        <v>74</v>
      </c>
      <c r="T200" t="s">
        <v>3671</v>
      </c>
      <c r="U200" t="s">
        <v>3672</v>
      </c>
      <c r="V200" t="s">
        <v>3673</v>
      </c>
      <c r="W200" t="s">
        <v>3674</v>
      </c>
      <c r="X200" t="s">
        <v>3675</v>
      </c>
      <c r="Y200" t="s">
        <v>3676</v>
      </c>
      <c r="Z200" t="s">
        <v>3677</v>
      </c>
      <c r="AA200" t="s">
        <v>3678</v>
      </c>
      <c r="AB200" t="s">
        <v>3679</v>
      </c>
      <c r="AC200" t="s">
        <v>74</v>
      </c>
      <c r="AD200" t="s">
        <v>74</v>
      </c>
      <c r="AE200" t="s">
        <v>74</v>
      </c>
      <c r="AF200" t="s">
        <v>74</v>
      </c>
      <c r="AG200">
        <v>64</v>
      </c>
      <c r="AH200">
        <v>0</v>
      </c>
      <c r="AI200">
        <v>0</v>
      </c>
      <c r="AJ200">
        <v>4</v>
      </c>
      <c r="AK200">
        <v>4</v>
      </c>
      <c r="AL200" t="s">
        <v>90</v>
      </c>
      <c r="AM200" t="s">
        <v>91</v>
      </c>
      <c r="AN200" t="s">
        <v>92</v>
      </c>
      <c r="AO200" t="s">
        <v>1534</v>
      </c>
      <c r="AP200" t="s">
        <v>1535</v>
      </c>
      <c r="AQ200" t="s">
        <v>74</v>
      </c>
      <c r="AR200" t="s">
        <v>1536</v>
      </c>
      <c r="AS200" t="s">
        <v>1537</v>
      </c>
      <c r="AT200" t="s">
        <v>2840</v>
      </c>
      <c r="AU200">
        <v>2023</v>
      </c>
      <c r="AV200">
        <v>902</v>
      </c>
      <c r="AW200" t="s">
        <v>74</v>
      </c>
      <c r="AX200" t="s">
        <v>74</v>
      </c>
      <c r="AY200" t="s">
        <v>74</v>
      </c>
      <c r="AZ200" t="s">
        <v>74</v>
      </c>
      <c r="BA200" t="s">
        <v>74</v>
      </c>
      <c r="BB200" t="s">
        <v>74</v>
      </c>
      <c r="BC200" t="s">
        <v>74</v>
      </c>
      <c r="BD200">
        <v>165998</v>
      </c>
      <c r="BE200" t="s">
        <v>3680</v>
      </c>
      <c r="BF200" t="str">
        <f>HYPERLINK("http://dx.doi.org/10.1016/j.scitotenv.2023.165998","http://dx.doi.org/10.1016/j.scitotenv.2023.165998")</f>
        <v>http://dx.doi.org/10.1016/j.scitotenv.2023.165998</v>
      </c>
      <c r="BG200" t="s">
        <v>74</v>
      </c>
      <c r="BH200" t="s">
        <v>74</v>
      </c>
      <c r="BI200">
        <v>11</v>
      </c>
      <c r="BJ200" t="s">
        <v>1539</v>
      </c>
      <c r="BK200" t="s">
        <v>100</v>
      </c>
      <c r="BL200" t="s">
        <v>1540</v>
      </c>
      <c r="BM200" t="s">
        <v>3681</v>
      </c>
      <c r="BN200">
        <v>37536589</v>
      </c>
      <c r="BO200" t="s">
        <v>74</v>
      </c>
      <c r="BP200" t="s">
        <v>74</v>
      </c>
      <c r="BQ200" t="s">
        <v>74</v>
      </c>
      <c r="BR200" t="s">
        <v>104</v>
      </c>
      <c r="BS200" t="s">
        <v>3682</v>
      </c>
      <c r="BT200" t="str">
        <f>HYPERLINK("https%3A%2F%2Fwww.webofscience.com%2Fwos%2Fwoscc%2Ffull-record%2FWOS:001061405400001","View Full Record in Web of Science")</f>
        <v>View Full Record in Web of Science</v>
      </c>
    </row>
    <row r="201" spans="1:72" x14ac:dyDescent="0.15">
      <c r="A201" t="s">
        <v>72</v>
      </c>
      <c r="B201" t="s">
        <v>3683</v>
      </c>
      <c r="C201" t="s">
        <v>74</v>
      </c>
      <c r="D201" t="s">
        <v>74</v>
      </c>
      <c r="E201" t="s">
        <v>74</v>
      </c>
      <c r="F201" t="s">
        <v>3684</v>
      </c>
      <c r="G201" t="s">
        <v>74</v>
      </c>
      <c r="H201" t="s">
        <v>74</v>
      </c>
      <c r="I201" t="s">
        <v>3685</v>
      </c>
      <c r="J201" t="s">
        <v>2695</v>
      </c>
      <c r="K201" t="s">
        <v>74</v>
      </c>
      <c r="L201" t="s">
        <v>74</v>
      </c>
      <c r="M201" t="s">
        <v>78</v>
      </c>
      <c r="N201" t="s">
        <v>79</v>
      </c>
      <c r="O201" t="s">
        <v>74</v>
      </c>
      <c r="P201" t="s">
        <v>74</v>
      </c>
      <c r="Q201" t="s">
        <v>74</v>
      </c>
      <c r="R201" t="s">
        <v>74</v>
      </c>
      <c r="S201" t="s">
        <v>74</v>
      </c>
      <c r="T201" t="s">
        <v>3686</v>
      </c>
      <c r="U201" t="s">
        <v>3687</v>
      </c>
      <c r="V201" t="s">
        <v>3688</v>
      </c>
      <c r="W201" t="s">
        <v>3689</v>
      </c>
      <c r="X201" t="s">
        <v>3690</v>
      </c>
      <c r="Y201" t="s">
        <v>3691</v>
      </c>
      <c r="Z201" t="s">
        <v>3692</v>
      </c>
      <c r="AA201" t="s">
        <v>74</v>
      </c>
      <c r="AB201" t="s">
        <v>74</v>
      </c>
      <c r="AC201" t="s">
        <v>3693</v>
      </c>
      <c r="AD201" t="s">
        <v>3694</v>
      </c>
      <c r="AE201" t="s">
        <v>3695</v>
      </c>
      <c r="AF201" t="s">
        <v>74</v>
      </c>
      <c r="AG201">
        <v>80</v>
      </c>
      <c r="AH201">
        <v>0</v>
      </c>
      <c r="AI201">
        <v>0</v>
      </c>
      <c r="AJ201">
        <v>3</v>
      </c>
      <c r="AK201">
        <v>3</v>
      </c>
      <c r="AL201" t="s">
        <v>90</v>
      </c>
      <c r="AM201" t="s">
        <v>91</v>
      </c>
      <c r="AN201" t="s">
        <v>92</v>
      </c>
      <c r="AO201" t="s">
        <v>2702</v>
      </c>
      <c r="AP201" t="s">
        <v>74</v>
      </c>
      <c r="AQ201" t="s">
        <v>74</v>
      </c>
      <c r="AR201" t="s">
        <v>2703</v>
      </c>
      <c r="AS201" t="s">
        <v>2704</v>
      </c>
      <c r="AT201" t="s">
        <v>2579</v>
      </c>
      <c r="AU201">
        <v>2023</v>
      </c>
      <c r="AV201">
        <v>6</v>
      </c>
      <c r="AW201" t="s">
        <v>74</v>
      </c>
      <c r="AX201" t="s">
        <v>74</v>
      </c>
      <c r="AY201" t="s">
        <v>74</v>
      </c>
      <c r="AZ201" t="s">
        <v>74</v>
      </c>
      <c r="BA201" t="s">
        <v>74</v>
      </c>
      <c r="BB201" t="s">
        <v>74</v>
      </c>
      <c r="BC201" t="s">
        <v>74</v>
      </c>
      <c r="BD201">
        <v>101025</v>
      </c>
      <c r="BE201" t="s">
        <v>3696</v>
      </c>
      <c r="BF201" t="str">
        <f>HYPERLINK("http://dx.doi.org/10.1016/j.rechem.2023.101025","http://dx.doi.org/10.1016/j.rechem.2023.101025")</f>
        <v>http://dx.doi.org/10.1016/j.rechem.2023.101025</v>
      </c>
      <c r="BG201" t="s">
        <v>74</v>
      </c>
      <c r="BH201" t="s">
        <v>74</v>
      </c>
      <c r="BI201">
        <v>9</v>
      </c>
      <c r="BJ201" t="s">
        <v>2706</v>
      </c>
      <c r="BK201" t="s">
        <v>1850</v>
      </c>
      <c r="BL201" t="s">
        <v>395</v>
      </c>
      <c r="BM201" t="s">
        <v>3697</v>
      </c>
      <c r="BN201" t="s">
        <v>74</v>
      </c>
      <c r="BO201" t="s">
        <v>295</v>
      </c>
      <c r="BP201" t="s">
        <v>74</v>
      </c>
      <c r="BQ201" t="s">
        <v>74</v>
      </c>
      <c r="BR201" t="s">
        <v>104</v>
      </c>
      <c r="BS201" t="s">
        <v>3698</v>
      </c>
      <c r="BT201" t="str">
        <f>HYPERLINK("https%3A%2F%2Fwww.webofscience.com%2Fwos%2Fwoscc%2Ffull-record%2FWOS:001049250000001","View Full Record in Web of Science")</f>
        <v>View Full Record in Web of Science</v>
      </c>
    </row>
    <row r="202" spans="1:72" x14ac:dyDescent="0.15">
      <c r="A202" t="s">
        <v>72</v>
      </c>
      <c r="B202" t="s">
        <v>3699</v>
      </c>
      <c r="C202" t="s">
        <v>74</v>
      </c>
      <c r="D202" t="s">
        <v>74</v>
      </c>
      <c r="E202" t="s">
        <v>74</v>
      </c>
      <c r="F202" t="s">
        <v>3700</v>
      </c>
      <c r="G202" t="s">
        <v>74</v>
      </c>
      <c r="H202" t="s">
        <v>74</v>
      </c>
      <c r="I202" t="s">
        <v>3701</v>
      </c>
      <c r="J202" t="s">
        <v>3702</v>
      </c>
      <c r="K202" t="s">
        <v>74</v>
      </c>
      <c r="L202" t="s">
        <v>74</v>
      </c>
      <c r="M202" t="s">
        <v>78</v>
      </c>
      <c r="N202" t="s">
        <v>79</v>
      </c>
      <c r="O202" t="s">
        <v>74</v>
      </c>
      <c r="P202" t="s">
        <v>74</v>
      </c>
      <c r="Q202" t="s">
        <v>74</v>
      </c>
      <c r="R202" t="s">
        <v>74</v>
      </c>
      <c r="S202" t="s">
        <v>74</v>
      </c>
      <c r="T202" t="s">
        <v>3703</v>
      </c>
      <c r="U202" t="s">
        <v>74</v>
      </c>
      <c r="V202" t="s">
        <v>3704</v>
      </c>
      <c r="W202" t="s">
        <v>3705</v>
      </c>
      <c r="X202" t="s">
        <v>3706</v>
      </c>
      <c r="Y202" t="s">
        <v>3707</v>
      </c>
      <c r="Z202" t="s">
        <v>3708</v>
      </c>
      <c r="AA202" t="s">
        <v>3709</v>
      </c>
      <c r="AB202" t="s">
        <v>3710</v>
      </c>
      <c r="AC202" t="s">
        <v>3711</v>
      </c>
      <c r="AD202" t="s">
        <v>3712</v>
      </c>
      <c r="AE202" t="s">
        <v>3713</v>
      </c>
      <c r="AF202" t="s">
        <v>74</v>
      </c>
      <c r="AG202">
        <v>7</v>
      </c>
      <c r="AH202">
        <v>0</v>
      </c>
      <c r="AI202">
        <v>0</v>
      </c>
      <c r="AJ202">
        <v>0</v>
      </c>
      <c r="AK202">
        <v>0</v>
      </c>
      <c r="AL202" t="s">
        <v>120</v>
      </c>
      <c r="AM202" t="s">
        <v>121</v>
      </c>
      <c r="AN202" t="s">
        <v>122</v>
      </c>
      <c r="AO202" t="s">
        <v>3714</v>
      </c>
      <c r="AP202" t="s">
        <v>3715</v>
      </c>
      <c r="AQ202" t="s">
        <v>74</v>
      </c>
      <c r="AR202" t="s">
        <v>3702</v>
      </c>
      <c r="AS202" t="s">
        <v>3716</v>
      </c>
      <c r="AT202" t="s">
        <v>2579</v>
      </c>
      <c r="AU202">
        <v>2023</v>
      </c>
      <c r="AV202">
        <v>121</v>
      </c>
      <c r="AW202" t="s">
        <v>74</v>
      </c>
      <c r="AX202" t="s">
        <v>74</v>
      </c>
      <c r="AY202" t="s">
        <v>74</v>
      </c>
      <c r="AZ202" t="s">
        <v>74</v>
      </c>
      <c r="BA202" t="s">
        <v>74</v>
      </c>
      <c r="BB202">
        <v>1</v>
      </c>
      <c r="BC202">
        <v>4</v>
      </c>
      <c r="BD202" t="s">
        <v>74</v>
      </c>
      <c r="BE202" t="s">
        <v>3717</v>
      </c>
      <c r="BF202" t="str">
        <f>HYPERLINK("http://dx.doi.org/10.1016/j.physio.2023.06.004","http://dx.doi.org/10.1016/j.physio.2023.06.004")</f>
        <v>http://dx.doi.org/10.1016/j.physio.2023.06.004</v>
      </c>
      <c r="BG202" t="s">
        <v>74</v>
      </c>
      <c r="BH202" t="s">
        <v>74</v>
      </c>
      <c r="BI202">
        <v>4</v>
      </c>
      <c r="BJ202" t="s">
        <v>3718</v>
      </c>
      <c r="BK202" t="s">
        <v>100</v>
      </c>
      <c r="BL202" t="s">
        <v>3718</v>
      </c>
      <c r="BM202" t="s">
        <v>3719</v>
      </c>
      <c r="BN202">
        <v>37536077</v>
      </c>
      <c r="BO202" t="s">
        <v>74</v>
      </c>
      <c r="BP202" t="s">
        <v>74</v>
      </c>
      <c r="BQ202" t="s">
        <v>74</v>
      </c>
      <c r="BR202" t="s">
        <v>104</v>
      </c>
      <c r="BS202" t="s">
        <v>3720</v>
      </c>
      <c r="BT202" t="str">
        <f>HYPERLINK("https%3A%2F%2Fwww.webofscience.com%2Fwos%2Fwoscc%2Ffull-record%2FWOS:001053075000001","View Full Record in Web of Science")</f>
        <v>View Full Record in Web of Science</v>
      </c>
    </row>
    <row r="203" spans="1:72" x14ac:dyDescent="0.15">
      <c r="A203" t="s">
        <v>72</v>
      </c>
      <c r="B203" t="s">
        <v>3721</v>
      </c>
      <c r="C203" t="s">
        <v>74</v>
      </c>
      <c r="D203" t="s">
        <v>74</v>
      </c>
      <c r="E203" t="s">
        <v>74</v>
      </c>
      <c r="F203" t="s">
        <v>3722</v>
      </c>
      <c r="G203" t="s">
        <v>74</v>
      </c>
      <c r="H203" t="s">
        <v>74</v>
      </c>
      <c r="I203" t="s">
        <v>3723</v>
      </c>
      <c r="J203" t="s">
        <v>109</v>
      </c>
      <c r="K203" t="s">
        <v>74</v>
      </c>
      <c r="L203" t="s">
        <v>74</v>
      </c>
      <c r="M203" t="s">
        <v>78</v>
      </c>
      <c r="N203" t="s">
        <v>79</v>
      </c>
      <c r="O203" t="s">
        <v>74</v>
      </c>
      <c r="P203" t="s">
        <v>74</v>
      </c>
      <c r="Q203" t="s">
        <v>74</v>
      </c>
      <c r="R203" t="s">
        <v>74</v>
      </c>
      <c r="S203" t="s">
        <v>74</v>
      </c>
      <c r="T203" t="s">
        <v>3724</v>
      </c>
      <c r="U203" t="s">
        <v>3725</v>
      </c>
      <c r="V203" t="s">
        <v>3726</v>
      </c>
      <c r="W203" t="s">
        <v>3727</v>
      </c>
      <c r="X203" t="s">
        <v>3728</v>
      </c>
      <c r="Y203" t="s">
        <v>3729</v>
      </c>
      <c r="Z203" t="s">
        <v>3730</v>
      </c>
      <c r="AA203" t="s">
        <v>74</v>
      </c>
      <c r="AB203" t="s">
        <v>74</v>
      </c>
      <c r="AC203" t="s">
        <v>3731</v>
      </c>
      <c r="AD203" t="s">
        <v>3732</v>
      </c>
      <c r="AE203" t="s">
        <v>3733</v>
      </c>
      <c r="AF203" t="s">
        <v>74</v>
      </c>
      <c r="AG203">
        <v>44</v>
      </c>
      <c r="AH203">
        <v>0</v>
      </c>
      <c r="AI203">
        <v>0</v>
      </c>
      <c r="AJ203">
        <v>9</v>
      </c>
      <c r="AK203">
        <v>9</v>
      </c>
      <c r="AL203" t="s">
        <v>120</v>
      </c>
      <c r="AM203" t="s">
        <v>121</v>
      </c>
      <c r="AN203" t="s">
        <v>122</v>
      </c>
      <c r="AO203" t="s">
        <v>123</v>
      </c>
      <c r="AP203" t="s">
        <v>124</v>
      </c>
      <c r="AQ203" t="s">
        <v>74</v>
      </c>
      <c r="AR203" t="s">
        <v>125</v>
      </c>
      <c r="AS203" t="s">
        <v>126</v>
      </c>
      <c r="AT203" t="s">
        <v>2840</v>
      </c>
      <c r="AU203">
        <v>2023</v>
      </c>
      <c r="AV203">
        <v>428</v>
      </c>
      <c r="AW203" t="s">
        <v>74</v>
      </c>
      <c r="AX203" t="s">
        <v>74</v>
      </c>
      <c r="AY203" t="s">
        <v>74</v>
      </c>
      <c r="AZ203" t="s">
        <v>74</v>
      </c>
      <c r="BA203" t="s">
        <v>74</v>
      </c>
      <c r="BB203" t="s">
        <v>74</v>
      </c>
      <c r="BC203" t="s">
        <v>74</v>
      </c>
      <c r="BD203">
        <v>136680</v>
      </c>
      <c r="BE203" t="s">
        <v>3734</v>
      </c>
      <c r="BF203" t="str">
        <f>HYPERLINK("http://dx.doi.org/10.1016/j.foodchem.2023.136680","http://dx.doi.org/10.1016/j.foodchem.2023.136680")</f>
        <v>http://dx.doi.org/10.1016/j.foodchem.2023.136680</v>
      </c>
      <c r="BG203" t="s">
        <v>74</v>
      </c>
      <c r="BH203" t="s">
        <v>74</v>
      </c>
      <c r="BI203">
        <v>8</v>
      </c>
      <c r="BJ203" t="s">
        <v>129</v>
      </c>
      <c r="BK203" t="s">
        <v>100</v>
      </c>
      <c r="BL203" t="s">
        <v>130</v>
      </c>
      <c r="BM203" t="s">
        <v>3735</v>
      </c>
      <c r="BN203">
        <v>37418880</v>
      </c>
      <c r="BO203" t="s">
        <v>295</v>
      </c>
      <c r="BP203" t="s">
        <v>74</v>
      </c>
      <c r="BQ203" t="s">
        <v>74</v>
      </c>
      <c r="BR203" t="s">
        <v>104</v>
      </c>
      <c r="BS203" t="s">
        <v>3736</v>
      </c>
      <c r="BT203" t="str">
        <f>HYPERLINK("https%3A%2F%2Fwww.webofscience.com%2Fwos%2Fwoscc%2Ffull-record%2FWOS:001039590600001","View Full Record in Web of Science")</f>
        <v>View Full Record in Web of Science</v>
      </c>
    </row>
    <row r="204" spans="1:72" x14ac:dyDescent="0.15">
      <c r="A204" t="s">
        <v>72</v>
      </c>
      <c r="B204" t="s">
        <v>3737</v>
      </c>
      <c r="C204" t="s">
        <v>74</v>
      </c>
      <c r="D204" t="s">
        <v>74</v>
      </c>
      <c r="E204" t="s">
        <v>74</v>
      </c>
      <c r="F204" t="s">
        <v>3738</v>
      </c>
      <c r="G204" t="s">
        <v>74</v>
      </c>
      <c r="H204" t="s">
        <v>74</v>
      </c>
      <c r="I204" t="s">
        <v>3739</v>
      </c>
      <c r="J204" t="s">
        <v>3740</v>
      </c>
      <c r="K204" t="s">
        <v>74</v>
      </c>
      <c r="L204" t="s">
        <v>74</v>
      </c>
      <c r="M204" t="s">
        <v>78</v>
      </c>
      <c r="N204" t="s">
        <v>79</v>
      </c>
      <c r="O204" t="s">
        <v>74</v>
      </c>
      <c r="P204" t="s">
        <v>74</v>
      </c>
      <c r="Q204" t="s">
        <v>74</v>
      </c>
      <c r="R204" t="s">
        <v>74</v>
      </c>
      <c r="S204" t="s">
        <v>74</v>
      </c>
      <c r="T204" t="s">
        <v>3741</v>
      </c>
      <c r="U204" t="s">
        <v>3742</v>
      </c>
      <c r="V204" t="s">
        <v>3743</v>
      </c>
      <c r="W204" t="s">
        <v>3744</v>
      </c>
      <c r="X204" t="s">
        <v>3745</v>
      </c>
      <c r="Y204" t="s">
        <v>3746</v>
      </c>
      <c r="Z204" t="s">
        <v>3747</v>
      </c>
      <c r="AA204" t="s">
        <v>74</v>
      </c>
      <c r="AB204" t="s">
        <v>74</v>
      </c>
      <c r="AC204" t="s">
        <v>3748</v>
      </c>
      <c r="AD204" t="s">
        <v>3749</v>
      </c>
      <c r="AE204" t="s">
        <v>3750</v>
      </c>
      <c r="AF204" t="s">
        <v>74</v>
      </c>
      <c r="AG204">
        <v>50</v>
      </c>
      <c r="AH204">
        <v>0</v>
      </c>
      <c r="AI204">
        <v>0</v>
      </c>
      <c r="AJ204">
        <v>3</v>
      </c>
      <c r="AK204">
        <v>3</v>
      </c>
      <c r="AL204" t="s">
        <v>90</v>
      </c>
      <c r="AM204" t="s">
        <v>91</v>
      </c>
      <c r="AN204" t="s">
        <v>92</v>
      </c>
      <c r="AO204" t="s">
        <v>3751</v>
      </c>
      <c r="AP204" t="s">
        <v>3752</v>
      </c>
      <c r="AQ204" t="s">
        <v>74</v>
      </c>
      <c r="AR204" t="s">
        <v>3753</v>
      </c>
      <c r="AS204" t="s">
        <v>3754</v>
      </c>
      <c r="AT204" t="s">
        <v>2840</v>
      </c>
      <c r="AU204">
        <v>2023</v>
      </c>
      <c r="AV204">
        <v>252</v>
      </c>
      <c r="AW204" t="s">
        <v>74</v>
      </c>
      <c r="AX204" t="s">
        <v>74</v>
      </c>
      <c r="AY204" t="s">
        <v>74</v>
      </c>
      <c r="AZ204" t="s">
        <v>74</v>
      </c>
      <c r="BA204" t="s">
        <v>74</v>
      </c>
      <c r="BB204" t="s">
        <v>74</v>
      </c>
      <c r="BC204" t="s">
        <v>74</v>
      </c>
      <c r="BD204">
        <v>126424</v>
      </c>
      <c r="BE204" t="s">
        <v>3755</v>
      </c>
      <c r="BF204" t="str">
        <f>HYPERLINK("http://dx.doi.org/10.1016/j.ijbiomac.2023.126424","http://dx.doi.org/10.1016/j.ijbiomac.2023.126424")</f>
        <v>http://dx.doi.org/10.1016/j.ijbiomac.2023.126424</v>
      </c>
      <c r="BG204" t="s">
        <v>74</v>
      </c>
      <c r="BH204" t="s">
        <v>74</v>
      </c>
      <c r="BI204">
        <v>10</v>
      </c>
      <c r="BJ204" t="s">
        <v>3756</v>
      </c>
      <c r="BK204" t="s">
        <v>100</v>
      </c>
      <c r="BL204" t="s">
        <v>3757</v>
      </c>
      <c r="BM204" t="s">
        <v>3758</v>
      </c>
      <c r="BN204">
        <v>37607650</v>
      </c>
      <c r="BO204" t="s">
        <v>74</v>
      </c>
      <c r="BP204" t="s">
        <v>74</v>
      </c>
      <c r="BQ204" t="s">
        <v>74</v>
      </c>
      <c r="BR204" t="s">
        <v>104</v>
      </c>
      <c r="BS204" t="s">
        <v>3759</v>
      </c>
      <c r="BT204" t="str">
        <f>HYPERLINK("https%3A%2F%2Fwww.webofscience.com%2Fwos%2Fwoscc%2Ffull-record%2FWOS:001066333500001","View Full Record in Web of Science")</f>
        <v>View Full Record in Web of Science</v>
      </c>
    </row>
    <row r="205" spans="1:72" x14ac:dyDescent="0.15">
      <c r="A205" t="s">
        <v>72</v>
      </c>
      <c r="B205" t="s">
        <v>3760</v>
      </c>
      <c r="C205" t="s">
        <v>74</v>
      </c>
      <c r="D205" t="s">
        <v>74</v>
      </c>
      <c r="E205" t="s">
        <v>74</v>
      </c>
      <c r="F205" t="s">
        <v>3761</v>
      </c>
      <c r="G205" t="s">
        <v>74</v>
      </c>
      <c r="H205" t="s">
        <v>74</v>
      </c>
      <c r="I205" t="s">
        <v>3762</v>
      </c>
      <c r="J205" t="s">
        <v>3763</v>
      </c>
      <c r="K205" t="s">
        <v>74</v>
      </c>
      <c r="L205" t="s">
        <v>74</v>
      </c>
      <c r="M205" t="s">
        <v>78</v>
      </c>
      <c r="N205" t="s">
        <v>79</v>
      </c>
      <c r="O205" t="s">
        <v>74</v>
      </c>
      <c r="P205" t="s">
        <v>74</v>
      </c>
      <c r="Q205" t="s">
        <v>74</v>
      </c>
      <c r="R205" t="s">
        <v>74</v>
      </c>
      <c r="S205" t="s">
        <v>74</v>
      </c>
      <c r="T205" t="s">
        <v>3764</v>
      </c>
      <c r="U205" t="s">
        <v>3765</v>
      </c>
      <c r="V205" t="s">
        <v>3766</v>
      </c>
      <c r="W205" t="s">
        <v>3767</v>
      </c>
      <c r="X205" t="s">
        <v>3768</v>
      </c>
      <c r="Y205" t="s">
        <v>3769</v>
      </c>
      <c r="Z205" t="s">
        <v>3770</v>
      </c>
      <c r="AA205" t="s">
        <v>74</v>
      </c>
      <c r="AB205" t="s">
        <v>74</v>
      </c>
      <c r="AC205" t="s">
        <v>3771</v>
      </c>
      <c r="AD205" t="s">
        <v>3772</v>
      </c>
      <c r="AE205" t="s">
        <v>3773</v>
      </c>
      <c r="AF205" t="s">
        <v>74</v>
      </c>
      <c r="AG205">
        <v>43</v>
      </c>
      <c r="AH205">
        <v>0</v>
      </c>
      <c r="AI205">
        <v>0</v>
      </c>
      <c r="AJ205">
        <v>0</v>
      </c>
      <c r="AK205">
        <v>0</v>
      </c>
      <c r="AL205" t="s">
        <v>90</v>
      </c>
      <c r="AM205" t="s">
        <v>91</v>
      </c>
      <c r="AN205" t="s">
        <v>92</v>
      </c>
      <c r="AO205" t="s">
        <v>3774</v>
      </c>
      <c r="AP205" t="s">
        <v>3775</v>
      </c>
      <c r="AQ205" t="s">
        <v>74</v>
      </c>
      <c r="AR205" t="s">
        <v>3776</v>
      </c>
      <c r="AS205" t="s">
        <v>3777</v>
      </c>
      <c r="AT205" t="s">
        <v>2579</v>
      </c>
      <c r="AU205">
        <v>2023</v>
      </c>
      <c r="AV205">
        <v>362</v>
      </c>
      <c r="AW205" t="s">
        <v>74</v>
      </c>
      <c r="AX205" t="s">
        <v>74</v>
      </c>
      <c r="AY205" t="s">
        <v>74</v>
      </c>
      <c r="AZ205" t="s">
        <v>74</v>
      </c>
      <c r="BA205" t="s">
        <v>74</v>
      </c>
      <c r="BB205" t="s">
        <v>74</v>
      </c>
      <c r="BC205" t="s">
        <v>74</v>
      </c>
      <c r="BD205">
        <v>112763</v>
      </c>
      <c r="BE205" t="s">
        <v>3778</v>
      </c>
      <c r="BF205" t="str">
        <f>HYPERLINK("http://dx.doi.org/10.1016/j.micromeso.2023.112763","http://dx.doi.org/10.1016/j.micromeso.2023.112763")</f>
        <v>http://dx.doi.org/10.1016/j.micromeso.2023.112763</v>
      </c>
      <c r="BG205" t="s">
        <v>74</v>
      </c>
      <c r="BH205" t="s">
        <v>74</v>
      </c>
      <c r="BI205">
        <v>9</v>
      </c>
      <c r="BJ205" t="s">
        <v>3779</v>
      </c>
      <c r="BK205" t="s">
        <v>100</v>
      </c>
      <c r="BL205" t="s">
        <v>3780</v>
      </c>
      <c r="BM205" t="s">
        <v>3781</v>
      </c>
      <c r="BN205" t="s">
        <v>74</v>
      </c>
      <c r="BO205" t="s">
        <v>295</v>
      </c>
      <c r="BP205" t="s">
        <v>74</v>
      </c>
      <c r="BQ205" t="s">
        <v>74</v>
      </c>
      <c r="BR205" t="s">
        <v>104</v>
      </c>
      <c r="BS205" t="s">
        <v>3782</v>
      </c>
      <c r="BT205" t="str">
        <f>HYPERLINK("https%3A%2F%2Fwww.webofscience.com%2Fwos%2Fwoscc%2Ffull-record%2FWOS:001071143000001","View Full Record in Web of Science")</f>
        <v>View Full Record in Web of Science</v>
      </c>
    </row>
    <row r="206" spans="1:72" x14ac:dyDescent="0.15">
      <c r="A206" t="s">
        <v>72</v>
      </c>
      <c r="B206" t="s">
        <v>3783</v>
      </c>
      <c r="C206" t="s">
        <v>74</v>
      </c>
      <c r="D206" t="s">
        <v>74</v>
      </c>
      <c r="E206" t="s">
        <v>74</v>
      </c>
      <c r="F206" t="s">
        <v>3784</v>
      </c>
      <c r="G206" t="s">
        <v>74</v>
      </c>
      <c r="H206" t="s">
        <v>74</v>
      </c>
      <c r="I206" t="s">
        <v>3785</v>
      </c>
      <c r="J206" t="s">
        <v>3786</v>
      </c>
      <c r="K206" t="s">
        <v>74</v>
      </c>
      <c r="L206" t="s">
        <v>74</v>
      </c>
      <c r="M206" t="s">
        <v>78</v>
      </c>
      <c r="N206" t="s">
        <v>79</v>
      </c>
      <c r="O206" t="s">
        <v>74</v>
      </c>
      <c r="P206" t="s">
        <v>74</v>
      </c>
      <c r="Q206" t="s">
        <v>74</v>
      </c>
      <c r="R206" t="s">
        <v>74</v>
      </c>
      <c r="S206" t="s">
        <v>74</v>
      </c>
      <c r="T206" t="s">
        <v>3787</v>
      </c>
      <c r="U206" t="s">
        <v>3788</v>
      </c>
      <c r="V206" t="s">
        <v>3789</v>
      </c>
      <c r="W206" t="s">
        <v>3790</v>
      </c>
      <c r="X206" t="s">
        <v>3791</v>
      </c>
      <c r="Y206" t="s">
        <v>3792</v>
      </c>
      <c r="Z206" t="s">
        <v>3793</v>
      </c>
      <c r="AA206" t="s">
        <v>74</v>
      </c>
      <c r="AB206" t="s">
        <v>74</v>
      </c>
      <c r="AC206" t="s">
        <v>74</v>
      </c>
      <c r="AD206" t="s">
        <v>74</v>
      </c>
      <c r="AE206" t="s">
        <v>74</v>
      </c>
      <c r="AF206" t="s">
        <v>74</v>
      </c>
      <c r="AG206">
        <v>78</v>
      </c>
      <c r="AH206">
        <v>0</v>
      </c>
      <c r="AI206">
        <v>0</v>
      </c>
      <c r="AJ206">
        <v>8</v>
      </c>
      <c r="AK206">
        <v>8</v>
      </c>
      <c r="AL206" t="s">
        <v>90</v>
      </c>
      <c r="AM206" t="s">
        <v>91</v>
      </c>
      <c r="AN206" t="s">
        <v>92</v>
      </c>
      <c r="AO206" t="s">
        <v>3794</v>
      </c>
      <c r="AP206" t="s">
        <v>3795</v>
      </c>
      <c r="AQ206" t="s">
        <v>74</v>
      </c>
      <c r="AR206" t="s">
        <v>3796</v>
      </c>
      <c r="AS206" t="s">
        <v>3797</v>
      </c>
      <c r="AT206" t="s">
        <v>2840</v>
      </c>
      <c r="AU206">
        <v>2023</v>
      </c>
      <c r="AV206">
        <v>639</v>
      </c>
      <c r="AW206" t="s">
        <v>74</v>
      </c>
      <c r="AX206" t="s">
        <v>74</v>
      </c>
      <c r="AY206" t="s">
        <v>74</v>
      </c>
      <c r="AZ206" t="s">
        <v>74</v>
      </c>
      <c r="BA206" t="s">
        <v>74</v>
      </c>
      <c r="BB206" t="s">
        <v>74</v>
      </c>
      <c r="BC206" t="s">
        <v>74</v>
      </c>
      <c r="BD206">
        <v>158120</v>
      </c>
      <c r="BE206" t="s">
        <v>3798</v>
      </c>
      <c r="BF206" t="str">
        <f>HYPERLINK("http://dx.doi.org/10.1016/j.apsusc.2023.158120","http://dx.doi.org/10.1016/j.apsusc.2023.158120")</f>
        <v>http://dx.doi.org/10.1016/j.apsusc.2023.158120</v>
      </c>
      <c r="BG206" t="s">
        <v>74</v>
      </c>
      <c r="BH206" t="s">
        <v>74</v>
      </c>
      <c r="BI206">
        <v>10</v>
      </c>
      <c r="BJ206" t="s">
        <v>3799</v>
      </c>
      <c r="BK206" t="s">
        <v>100</v>
      </c>
      <c r="BL206" t="s">
        <v>3800</v>
      </c>
      <c r="BM206" t="s">
        <v>3801</v>
      </c>
      <c r="BN206" t="s">
        <v>74</v>
      </c>
      <c r="BO206" t="s">
        <v>74</v>
      </c>
      <c r="BP206" t="s">
        <v>74</v>
      </c>
      <c r="BQ206" t="s">
        <v>74</v>
      </c>
      <c r="BR206" t="s">
        <v>104</v>
      </c>
      <c r="BS206" t="s">
        <v>3802</v>
      </c>
      <c r="BT206" t="str">
        <f>HYPERLINK("https%3A%2F%2Fwww.webofscience.com%2Fwos%2Fwoscc%2Ffull-record%2FWOS:001052211900001","View Full Record in Web of Science")</f>
        <v>View Full Record in Web of Science</v>
      </c>
    </row>
    <row r="207" spans="1:72" x14ac:dyDescent="0.15">
      <c r="A207" t="s">
        <v>72</v>
      </c>
      <c r="B207" t="s">
        <v>3803</v>
      </c>
      <c r="C207" t="s">
        <v>74</v>
      </c>
      <c r="D207" t="s">
        <v>74</v>
      </c>
      <c r="E207" t="s">
        <v>74</v>
      </c>
      <c r="F207" t="s">
        <v>3804</v>
      </c>
      <c r="G207" t="s">
        <v>74</v>
      </c>
      <c r="H207" t="s">
        <v>74</v>
      </c>
      <c r="I207" t="s">
        <v>3805</v>
      </c>
      <c r="J207" t="s">
        <v>2987</v>
      </c>
      <c r="K207" t="s">
        <v>74</v>
      </c>
      <c r="L207" t="s">
        <v>74</v>
      </c>
      <c r="M207" t="s">
        <v>78</v>
      </c>
      <c r="N207" t="s">
        <v>79</v>
      </c>
      <c r="O207" t="s">
        <v>74</v>
      </c>
      <c r="P207" t="s">
        <v>74</v>
      </c>
      <c r="Q207" t="s">
        <v>74</v>
      </c>
      <c r="R207" t="s">
        <v>74</v>
      </c>
      <c r="S207" t="s">
        <v>74</v>
      </c>
      <c r="T207" t="s">
        <v>3806</v>
      </c>
      <c r="U207" t="s">
        <v>74</v>
      </c>
      <c r="V207" t="s">
        <v>3807</v>
      </c>
      <c r="W207" t="s">
        <v>3808</v>
      </c>
      <c r="X207" t="s">
        <v>3809</v>
      </c>
      <c r="Y207" t="s">
        <v>3810</v>
      </c>
      <c r="Z207" t="s">
        <v>3811</v>
      </c>
      <c r="AA207" t="s">
        <v>3812</v>
      </c>
      <c r="AB207" t="s">
        <v>3813</v>
      </c>
      <c r="AC207" t="s">
        <v>3814</v>
      </c>
      <c r="AD207" t="s">
        <v>3815</v>
      </c>
      <c r="AE207" t="s">
        <v>3816</v>
      </c>
      <c r="AF207" t="s">
        <v>74</v>
      </c>
      <c r="AG207">
        <v>14</v>
      </c>
      <c r="AH207">
        <v>0</v>
      </c>
      <c r="AI207">
        <v>0</v>
      </c>
      <c r="AJ207">
        <v>3</v>
      </c>
      <c r="AK207">
        <v>3</v>
      </c>
      <c r="AL207" t="s">
        <v>90</v>
      </c>
      <c r="AM207" t="s">
        <v>91</v>
      </c>
      <c r="AN207" t="s">
        <v>92</v>
      </c>
      <c r="AO207" t="s">
        <v>2995</v>
      </c>
      <c r="AP207" t="s">
        <v>74</v>
      </c>
      <c r="AQ207" t="s">
        <v>74</v>
      </c>
      <c r="AR207" t="s">
        <v>2996</v>
      </c>
      <c r="AS207" t="s">
        <v>2997</v>
      </c>
      <c r="AT207" t="s">
        <v>2579</v>
      </c>
      <c r="AU207">
        <v>2023</v>
      </c>
      <c r="AV207">
        <v>9</v>
      </c>
      <c r="AW207" t="s">
        <v>74</v>
      </c>
      <c r="AX207" t="s">
        <v>74</v>
      </c>
      <c r="AY207" t="s">
        <v>74</v>
      </c>
      <c r="AZ207" t="s">
        <v>74</v>
      </c>
      <c r="BA207" t="s">
        <v>74</v>
      </c>
      <c r="BB207">
        <v>4337</v>
      </c>
      <c r="BC207">
        <v>4344</v>
      </c>
      <c r="BD207" t="s">
        <v>74</v>
      </c>
      <c r="BE207" t="s">
        <v>3817</v>
      </c>
      <c r="BF207" t="str">
        <f>HYPERLINK("http://dx.doi.org/10.1016/j.egyr.2023.03.079","http://dx.doi.org/10.1016/j.egyr.2023.03.079")</f>
        <v>http://dx.doi.org/10.1016/j.egyr.2023.03.079</v>
      </c>
      <c r="BG207" t="s">
        <v>74</v>
      </c>
      <c r="BH207" t="s">
        <v>74</v>
      </c>
      <c r="BI207">
        <v>8</v>
      </c>
      <c r="BJ207" t="s">
        <v>2999</v>
      </c>
      <c r="BK207" t="s">
        <v>100</v>
      </c>
      <c r="BL207" t="s">
        <v>2999</v>
      </c>
      <c r="BM207" t="s">
        <v>3818</v>
      </c>
      <c r="BN207" t="s">
        <v>74</v>
      </c>
      <c r="BO207" t="s">
        <v>74</v>
      </c>
      <c r="BP207" t="s">
        <v>74</v>
      </c>
      <c r="BQ207" t="s">
        <v>74</v>
      </c>
      <c r="BR207" t="s">
        <v>104</v>
      </c>
      <c r="BS207" t="s">
        <v>3819</v>
      </c>
      <c r="BT207" t="str">
        <f>HYPERLINK("https%3A%2F%2Fwww.webofscience.com%2Fwos%2Fwoscc%2Ffull-record%2FWOS:001054137300001","View Full Record in Web of Science")</f>
        <v>View Full Record in Web of Science</v>
      </c>
    </row>
    <row r="208" spans="1:72" x14ac:dyDescent="0.15">
      <c r="A208" t="s">
        <v>72</v>
      </c>
      <c r="B208" t="s">
        <v>3820</v>
      </c>
      <c r="C208" t="s">
        <v>74</v>
      </c>
      <c r="D208" t="s">
        <v>74</v>
      </c>
      <c r="E208" t="s">
        <v>74</v>
      </c>
      <c r="F208" t="s">
        <v>3821</v>
      </c>
      <c r="G208" t="s">
        <v>74</v>
      </c>
      <c r="H208" t="s">
        <v>74</v>
      </c>
      <c r="I208" t="s">
        <v>3822</v>
      </c>
      <c r="J208" t="s">
        <v>3823</v>
      </c>
      <c r="K208" t="s">
        <v>74</v>
      </c>
      <c r="L208" t="s">
        <v>74</v>
      </c>
      <c r="M208" t="s">
        <v>78</v>
      </c>
      <c r="N208" t="s">
        <v>79</v>
      </c>
      <c r="O208" t="s">
        <v>74</v>
      </c>
      <c r="P208" t="s">
        <v>74</v>
      </c>
      <c r="Q208" t="s">
        <v>74</v>
      </c>
      <c r="R208" t="s">
        <v>74</v>
      </c>
      <c r="S208" t="s">
        <v>74</v>
      </c>
      <c r="T208" t="s">
        <v>3824</v>
      </c>
      <c r="U208" t="s">
        <v>3825</v>
      </c>
      <c r="V208" t="s">
        <v>3826</v>
      </c>
      <c r="W208" t="s">
        <v>3827</v>
      </c>
      <c r="X208" t="s">
        <v>3828</v>
      </c>
      <c r="Y208" t="s">
        <v>3829</v>
      </c>
      <c r="Z208" t="s">
        <v>3830</v>
      </c>
      <c r="AA208" t="s">
        <v>3831</v>
      </c>
      <c r="AB208" t="s">
        <v>3832</v>
      </c>
      <c r="AC208" t="s">
        <v>3833</v>
      </c>
      <c r="AD208" t="s">
        <v>3834</v>
      </c>
      <c r="AE208" t="s">
        <v>3835</v>
      </c>
      <c r="AF208" t="s">
        <v>74</v>
      </c>
      <c r="AG208">
        <v>44</v>
      </c>
      <c r="AH208">
        <v>1</v>
      </c>
      <c r="AI208">
        <v>1</v>
      </c>
      <c r="AJ208">
        <v>1</v>
      </c>
      <c r="AK208">
        <v>1</v>
      </c>
      <c r="AL208" t="s">
        <v>90</v>
      </c>
      <c r="AM208" t="s">
        <v>91</v>
      </c>
      <c r="AN208" t="s">
        <v>92</v>
      </c>
      <c r="AO208" t="s">
        <v>3836</v>
      </c>
      <c r="AP208" t="s">
        <v>3837</v>
      </c>
      <c r="AQ208" t="s">
        <v>74</v>
      </c>
      <c r="AR208" t="s">
        <v>3838</v>
      </c>
      <c r="AS208" t="s">
        <v>3839</v>
      </c>
      <c r="AT208" t="s">
        <v>2840</v>
      </c>
      <c r="AU208">
        <v>2023</v>
      </c>
      <c r="AV208">
        <v>424</v>
      </c>
      <c r="AW208" t="s">
        <v>74</v>
      </c>
      <c r="AX208" t="s">
        <v>74</v>
      </c>
      <c r="AY208" t="s">
        <v>74</v>
      </c>
      <c r="AZ208" t="s">
        <v>74</v>
      </c>
      <c r="BA208" t="s">
        <v>74</v>
      </c>
      <c r="BB208" t="s">
        <v>74</v>
      </c>
      <c r="BC208" t="s">
        <v>74</v>
      </c>
      <c r="BD208">
        <v>113789</v>
      </c>
      <c r="BE208" t="s">
        <v>3840</v>
      </c>
      <c r="BF208" t="str">
        <f>HYPERLINK("http://dx.doi.org/10.1016/j.cattod.2022.06.004","http://dx.doi.org/10.1016/j.cattod.2022.06.004")</f>
        <v>http://dx.doi.org/10.1016/j.cattod.2022.06.004</v>
      </c>
      <c r="BG208" t="s">
        <v>74</v>
      </c>
      <c r="BH208" t="s">
        <v>74</v>
      </c>
      <c r="BI208">
        <v>9</v>
      </c>
      <c r="BJ208" t="s">
        <v>3841</v>
      </c>
      <c r="BK208" t="s">
        <v>100</v>
      </c>
      <c r="BL208" t="s">
        <v>458</v>
      </c>
      <c r="BM208" t="s">
        <v>3842</v>
      </c>
      <c r="BN208" t="s">
        <v>74</v>
      </c>
      <c r="BO208" t="s">
        <v>74</v>
      </c>
      <c r="BP208" t="s">
        <v>74</v>
      </c>
      <c r="BQ208" t="s">
        <v>74</v>
      </c>
      <c r="BR208" t="s">
        <v>104</v>
      </c>
      <c r="BS208" t="s">
        <v>3843</v>
      </c>
      <c r="BT208" t="str">
        <f>HYPERLINK("https%3A%2F%2Fwww.webofscience.com%2Fwos%2Fwoscc%2Ffull-record%2FWOS:001062275800001","View Full Record in Web of Science")</f>
        <v>View Full Record in Web of Science</v>
      </c>
    </row>
    <row r="209" spans="1:72" x14ac:dyDescent="0.15">
      <c r="A209" t="s">
        <v>72</v>
      </c>
      <c r="B209" t="s">
        <v>3844</v>
      </c>
      <c r="C209" t="s">
        <v>74</v>
      </c>
      <c r="D209" t="s">
        <v>74</v>
      </c>
      <c r="E209" t="s">
        <v>74</v>
      </c>
      <c r="F209" t="s">
        <v>3845</v>
      </c>
      <c r="G209" t="s">
        <v>74</v>
      </c>
      <c r="H209" t="s">
        <v>74</v>
      </c>
      <c r="I209" t="s">
        <v>3846</v>
      </c>
      <c r="J209" t="s">
        <v>3847</v>
      </c>
      <c r="K209" t="s">
        <v>74</v>
      </c>
      <c r="L209" t="s">
        <v>74</v>
      </c>
      <c r="M209" t="s">
        <v>78</v>
      </c>
      <c r="N209" t="s">
        <v>79</v>
      </c>
      <c r="O209" t="s">
        <v>74</v>
      </c>
      <c r="P209" t="s">
        <v>74</v>
      </c>
      <c r="Q209" t="s">
        <v>74</v>
      </c>
      <c r="R209" t="s">
        <v>74</v>
      </c>
      <c r="S209" t="s">
        <v>74</v>
      </c>
      <c r="T209" t="s">
        <v>3848</v>
      </c>
      <c r="U209" t="s">
        <v>3849</v>
      </c>
      <c r="V209" t="s">
        <v>3850</v>
      </c>
      <c r="W209" t="s">
        <v>3851</v>
      </c>
      <c r="X209" t="s">
        <v>3852</v>
      </c>
      <c r="Y209" t="s">
        <v>3853</v>
      </c>
      <c r="Z209" t="s">
        <v>3854</v>
      </c>
      <c r="AA209" t="s">
        <v>74</v>
      </c>
      <c r="AB209" t="s">
        <v>74</v>
      </c>
      <c r="AC209" t="s">
        <v>3855</v>
      </c>
      <c r="AD209" t="s">
        <v>3855</v>
      </c>
      <c r="AE209" t="s">
        <v>3856</v>
      </c>
      <c r="AF209" t="s">
        <v>74</v>
      </c>
      <c r="AG209">
        <v>39</v>
      </c>
      <c r="AH209">
        <v>0</v>
      </c>
      <c r="AI209">
        <v>0</v>
      </c>
      <c r="AJ209">
        <v>0</v>
      </c>
      <c r="AK209">
        <v>0</v>
      </c>
      <c r="AL209" t="s">
        <v>329</v>
      </c>
      <c r="AM209" t="s">
        <v>330</v>
      </c>
      <c r="AN209" t="s">
        <v>331</v>
      </c>
      <c r="AO209" t="s">
        <v>3857</v>
      </c>
      <c r="AP209" t="s">
        <v>3858</v>
      </c>
      <c r="AQ209" t="s">
        <v>74</v>
      </c>
      <c r="AR209" t="s">
        <v>3859</v>
      </c>
      <c r="AS209" t="s">
        <v>3860</v>
      </c>
      <c r="AT209" t="s">
        <v>2579</v>
      </c>
      <c r="AU209">
        <v>2023</v>
      </c>
      <c r="AV209">
        <v>97</v>
      </c>
      <c r="AW209" t="s">
        <v>74</v>
      </c>
      <c r="AX209" t="s">
        <v>74</v>
      </c>
      <c r="AY209" t="s">
        <v>74</v>
      </c>
      <c r="AZ209" t="s">
        <v>74</v>
      </c>
      <c r="BA209" t="s">
        <v>74</v>
      </c>
      <c r="BB209" t="s">
        <v>74</v>
      </c>
      <c r="BC209" t="s">
        <v>74</v>
      </c>
      <c r="BD209">
        <v>102788</v>
      </c>
      <c r="BE209" t="s">
        <v>3861</v>
      </c>
      <c r="BF209" t="str">
        <f>HYPERLINK("http://dx.doi.org/10.1016/j.parint.2023.102788","http://dx.doi.org/10.1016/j.parint.2023.102788")</f>
        <v>http://dx.doi.org/10.1016/j.parint.2023.102788</v>
      </c>
      <c r="BG209" t="s">
        <v>74</v>
      </c>
      <c r="BH209" t="s">
        <v>74</v>
      </c>
      <c r="BI209">
        <v>7</v>
      </c>
      <c r="BJ209" t="s">
        <v>3862</v>
      </c>
      <c r="BK209" t="s">
        <v>100</v>
      </c>
      <c r="BL209" t="s">
        <v>3862</v>
      </c>
      <c r="BM209" t="s">
        <v>3863</v>
      </c>
      <c r="BN209">
        <v>37482266</v>
      </c>
      <c r="BO209" t="s">
        <v>295</v>
      </c>
      <c r="BP209" t="s">
        <v>74</v>
      </c>
      <c r="BQ209" t="s">
        <v>74</v>
      </c>
      <c r="BR209" t="s">
        <v>104</v>
      </c>
      <c r="BS209" t="s">
        <v>3864</v>
      </c>
      <c r="BT209" t="str">
        <f>HYPERLINK("https%3A%2F%2Fwww.webofscience.com%2Fwos%2Fwoscc%2Ffull-record%2FWOS:001052534000001","View Full Record in Web of Science")</f>
        <v>View Full Record in Web of Science</v>
      </c>
    </row>
    <row r="210" spans="1:72" x14ac:dyDescent="0.15">
      <c r="A210" t="s">
        <v>72</v>
      </c>
      <c r="B210" t="s">
        <v>3865</v>
      </c>
      <c r="C210" t="s">
        <v>74</v>
      </c>
      <c r="D210" t="s">
        <v>74</v>
      </c>
      <c r="E210" t="s">
        <v>74</v>
      </c>
      <c r="F210" t="s">
        <v>3866</v>
      </c>
      <c r="G210" t="s">
        <v>74</v>
      </c>
      <c r="H210" t="s">
        <v>74</v>
      </c>
      <c r="I210" t="s">
        <v>3867</v>
      </c>
      <c r="J210" t="s">
        <v>1834</v>
      </c>
      <c r="K210" t="s">
        <v>74</v>
      </c>
      <c r="L210" t="s">
        <v>74</v>
      </c>
      <c r="M210" t="s">
        <v>78</v>
      </c>
      <c r="N210" t="s">
        <v>79</v>
      </c>
      <c r="O210" t="s">
        <v>74</v>
      </c>
      <c r="P210" t="s">
        <v>74</v>
      </c>
      <c r="Q210" t="s">
        <v>74</v>
      </c>
      <c r="R210" t="s">
        <v>74</v>
      </c>
      <c r="S210" t="s">
        <v>74</v>
      </c>
      <c r="T210" t="s">
        <v>3868</v>
      </c>
      <c r="U210" t="s">
        <v>3869</v>
      </c>
      <c r="V210" t="s">
        <v>3870</v>
      </c>
      <c r="W210" t="s">
        <v>3871</v>
      </c>
      <c r="X210" t="s">
        <v>3872</v>
      </c>
      <c r="Y210" t="s">
        <v>3873</v>
      </c>
      <c r="Z210" t="s">
        <v>3874</v>
      </c>
      <c r="AA210" t="s">
        <v>74</v>
      </c>
      <c r="AB210" t="s">
        <v>3875</v>
      </c>
      <c r="AC210" t="s">
        <v>74</v>
      </c>
      <c r="AD210" t="s">
        <v>74</v>
      </c>
      <c r="AE210" t="s">
        <v>74</v>
      </c>
      <c r="AF210" t="s">
        <v>74</v>
      </c>
      <c r="AG210">
        <v>87</v>
      </c>
      <c r="AH210">
        <v>4</v>
      </c>
      <c r="AI210">
        <v>4</v>
      </c>
      <c r="AJ210">
        <v>3</v>
      </c>
      <c r="AK210">
        <v>3</v>
      </c>
      <c r="AL210" t="s">
        <v>90</v>
      </c>
      <c r="AM210" t="s">
        <v>91</v>
      </c>
      <c r="AN210" t="s">
        <v>92</v>
      </c>
      <c r="AO210" t="s">
        <v>1845</v>
      </c>
      <c r="AP210" t="s">
        <v>74</v>
      </c>
      <c r="AQ210" t="s">
        <v>74</v>
      </c>
      <c r="AR210" t="s">
        <v>1846</v>
      </c>
      <c r="AS210" t="s">
        <v>1847</v>
      </c>
      <c r="AT210" t="s">
        <v>2579</v>
      </c>
      <c r="AU210">
        <v>2023</v>
      </c>
      <c r="AV210">
        <v>3</v>
      </c>
      <c r="AW210" t="s">
        <v>74</v>
      </c>
      <c r="AX210" t="s">
        <v>74</v>
      </c>
      <c r="AY210" t="s">
        <v>74</v>
      </c>
      <c r="AZ210" t="s">
        <v>74</v>
      </c>
      <c r="BA210" t="s">
        <v>74</v>
      </c>
      <c r="BB210" t="s">
        <v>74</v>
      </c>
      <c r="BC210" t="s">
        <v>74</v>
      </c>
      <c r="BD210">
        <v>100107</v>
      </c>
      <c r="BE210" t="s">
        <v>3876</v>
      </c>
      <c r="BF210" t="str">
        <f>HYPERLINK("http://dx.doi.org/10.1016/j.fhfh.2022.100107","http://dx.doi.org/10.1016/j.fhfh.2022.100107")</f>
        <v>http://dx.doi.org/10.1016/j.fhfh.2022.100107</v>
      </c>
      <c r="BG210" t="s">
        <v>74</v>
      </c>
      <c r="BH210" t="s">
        <v>74</v>
      </c>
      <c r="BI210">
        <v>15</v>
      </c>
      <c r="BJ210" t="s">
        <v>1849</v>
      </c>
      <c r="BK210" t="s">
        <v>1850</v>
      </c>
      <c r="BL210" t="s">
        <v>1851</v>
      </c>
      <c r="BM210" t="s">
        <v>3877</v>
      </c>
      <c r="BN210" t="s">
        <v>74</v>
      </c>
      <c r="BO210" t="s">
        <v>295</v>
      </c>
      <c r="BP210" t="s">
        <v>74</v>
      </c>
      <c r="BQ210" t="s">
        <v>74</v>
      </c>
      <c r="BR210" t="s">
        <v>104</v>
      </c>
      <c r="BS210" t="s">
        <v>3878</v>
      </c>
      <c r="BT210" t="str">
        <f>HYPERLINK("https%3A%2F%2Fwww.webofscience.com%2Fwos%2Fwoscc%2Ffull-record%2FWOS:001049017800001","View Full Record in Web of Science")</f>
        <v>View Full Record in Web of Science</v>
      </c>
    </row>
    <row r="211" spans="1:72" x14ac:dyDescent="0.15">
      <c r="A211" t="s">
        <v>72</v>
      </c>
      <c r="B211" t="s">
        <v>3879</v>
      </c>
      <c r="C211" t="s">
        <v>74</v>
      </c>
      <c r="D211" t="s">
        <v>74</v>
      </c>
      <c r="E211" t="s">
        <v>74</v>
      </c>
      <c r="F211" t="s">
        <v>3880</v>
      </c>
      <c r="G211" t="s">
        <v>74</v>
      </c>
      <c r="H211" t="s">
        <v>74</v>
      </c>
      <c r="I211" t="s">
        <v>3881</v>
      </c>
      <c r="J211" t="s">
        <v>3882</v>
      </c>
      <c r="K211" t="s">
        <v>74</v>
      </c>
      <c r="L211" t="s">
        <v>74</v>
      </c>
      <c r="M211" t="s">
        <v>78</v>
      </c>
      <c r="N211" t="s">
        <v>79</v>
      </c>
      <c r="O211" t="s">
        <v>74</v>
      </c>
      <c r="P211" t="s">
        <v>74</v>
      </c>
      <c r="Q211" t="s">
        <v>74</v>
      </c>
      <c r="R211" t="s">
        <v>74</v>
      </c>
      <c r="S211" t="s">
        <v>74</v>
      </c>
      <c r="T211" t="s">
        <v>3883</v>
      </c>
      <c r="U211" t="s">
        <v>3884</v>
      </c>
      <c r="V211" t="s">
        <v>3885</v>
      </c>
      <c r="W211" t="s">
        <v>3886</v>
      </c>
      <c r="X211" t="s">
        <v>3887</v>
      </c>
      <c r="Y211" t="s">
        <v>3888</v>
      </c>
      <c r="Z211" t="s">
        <v>3889</v>
      </c>
      <c r="AA211" t="s">
        <v>74</v>
      </c>
      <c r="AB211" t="s">
        <v>3890</v>
      </c>
      <c r="AC211" t="s">
        <v>3891</v>
      </c>
      <c r="AD211" t="s">
        <v>3891</v>
      </c>
      <c r="AE211" t="s">
        <v>3892</v>
      </c>
      <c r="AF211" t="s">
        <v>74</v>
      </c>
      <c r="AG211">
        <v>93</v>
      </c>
      <c r="AH211">
        <v>0</v>
      </c>
      <c r="AI211">
        <v>0</v>
      </c>
      <c r="AJ211">
        <v>8</v>
      </c>
      <c r="AK211">
        <v>8</v>
      </c>
      <c r="AL211" t="s">
        <v>120</v>
      </c>
      <c r="AM211" t="s">
        <v>121</v>
      </c>
      <c r="AN211" t="s">
        <v>122</v>
      </c>
      <c r="AO211" t="s">
        <v>3893</v>
      </c>
      <c r="AP211" t="s">
        <v>3894</v>
      </c>
      <c r="AQ211" t="s">
        <v>74</v>
      </c>
      <c r="AR211" t="s">
        <v>3895</v>
      </c>
      <c r="AS211" t="s">
        <v>3896</v>
      </c>
      <c r="AT211" t="s">
        <v>2579</v>
      </c>
      <c r="AU211">
        <v>2023</v>
      </c>
      <c r="AV211">
        <v>211</v>
      </c>
      <c r="AW211" t="s">
        <v>74</v>
      </c>
      <c r="AX211" t="s">
        <v>74</v>
      </c>
      <c r="AY211" t="s">
        <v>74</v>
      </c>
      <c r="AZ211" t="s">
        <v>74</v>
      </c>
      <c r="BA211" t="s">
        <v>74</v>
      </c>
      <c r="BB211" t="s">
        <v>74</v>
      </c>
      <c r="BC211" t="s">
        <v>74</v>
      </c>
      <c r="BD211">
        <v>108124</v>
      </c>
      <c r="BE211" t="s">
        <v>3897</v>
      </c>
      <c r="BF211" t="str">
        <f>HYPERLINK("http://dx.doi.org/10.1016/j.jcsr.2023.108124","http://dx.doi.org/10.1016/j.jcsr.2023.108124")</f>
        <v>http://dx.doi.org/10.1016/j.jcsr.2023.108124</v>
      </c>
      <c r="BG211" t="s">
        <v>74</v>
      </c>
      <c r="BH211" t="s">
        <v>74</v>
      </c>
      <c r="BI211">
        <v>20</v>
      </c>
      <c r="BJ211" t="s">
        <v>3898</v>
      </c>
      <c r="BK211" t="s">
        <v>100</v>
      </c>
      <c r="BL211" t="s">
        <v>3899</v>
      </c>
      <c r="BM211" t="s">
        <v>3900</v>
      </c>
      <c r="BN211" t="s">
        <v>74</v>
      </c>
      <c r="BO211" t="s">
        <v>74</v>
      </c>
      <c r="BP211" t="s">
        <v>74</v>
      </c>
      <c r="BQ211" t="s">
        <v>74</v>
      </c>
      <c r="BR211" t="s">
        <v>104</v>
      </c>
      <c r="BS211" t="s">
        <v>3901</v>
      </c>
      <c r="BT211" t="str">
        <f>HYPERLINK("https%3A%2F%2Fwww.webofscience.com%2Fwos%2Fwoscc%2Ffull-record%2FWOS:001049337600001","View Full Record in Web of Science")</f>
        <v>View Full Record in Web of Science</v>
      </c>
    </row>
    <row r="212" spans="1:72" x14ac:dyDescent="0.15">
      <c r="A212" t="s">
        <v>72</v>
      </c>
      <c r="B212" t="s">
        <v>3902</v>
      </c>
      <c r="C212" t="s">
        <v>74</v>
      </c>
      <c r="D212" t="s">
        <v>74</v>
      </c>
      <c r="E212" t="s">
        <v>74</v>
      </c>
      <c r="F212" t="s">
        <v>3903</v>
      </c>
      <c r="G212" t="s">
        <v>74</v>
      </c>
      <c r="H212" t="s">
        <v>74</v>
      </c>
      <c r="I212" t="s">
        <v>3904</v>
      </c>
      <c r="J212" t="s">
        <v>3905</v>
      </c>
      <c r="K212" t="s">
        <v>74</v>
      </c>
      <c r="L212" t="s">
        <v>74</v>
      </c>
      <c r="M212" t="s">
        <v>78</v>
      </c>
      <c r="N212" t="s">
        <v>79</v>
      </c>
      <c r="O212" t="s">
        <v>74</v>
      </c>
      <c r="P212" t="s">
        <v>74</v>
      </c>
      <c r="Q212" t="s">
        <v>74</v>
      </c>
      <c r="R212" t="s">
        <v>74</v>
      </c>
      <c r="S212" t="s">
        <v>74</v>
      </c>
      <c r="T212" t="s">
        <v>3906</v>
      </c>
      <c r="U212" t="s">
        <v>3907</v>
      </c>
      <c r="V212" t="s">
        <v>3908</v>
      </c>
      <c r="W212" t="s">
        <v>3909</v>
      </c>
      <c r="X212" t="s">
        <v>3910</v>
      </c>
      <c r="Y212" t="s">
        <v>3911</v>
      </c>
      <c r="Z212" t="s">
        <v>3912</v>
      </c>
      <c r="AA212" t="s">
        <v>3913</v>
      </c>
      <c r="AB212" t="s">
        <v>3914</v>
      </c>
      <c r="AC212" t="s">
        <v>3915</v>
      </c>
      <c r="AD212" t="s">
        <v>3915</v>
      </c>
      <c r="AE212" t="s">
        <v>3916</v>
      </c>
      <c r="AF212" t="s">
        <v>74</v>
      </c>
      <c r="AG212">
        <v>22</v>
      </c>
      <c r="AH212">
        <v>0</v>
      </c>
      <c r="AI212">
        <v>0</v>
      </c>
      <c r="AJ212">
        <v>0</v>
      </c>
      <c r="AK212">
        <v>0</v>
      </c>
      <c r="AL212" t="s">
        <v>147</v>
      </c>
      <c r="AM212" t="s">
        <v>148</v>
      </c>
      <c r="AN212" t="s">
        <v>149</v>
      </c>
      <c r="AO212" t="s">
        <v>3917</v>
      </c>
      <c r="AP212" t="s">
        <v>3918</v>
      </c>
      <c r="AQ212" t="s">
        <v>74</v>
      </c>
      <c r="AR212" t="s">
        <v>3919</v>
      </c>
      <c r="AS212" t="s">
        <v>3920</v>
      </c>
      <c r="AT212" t="s">
        <v>2579</v>
      </c>
      <c r="AU212">
        <v>2023</v>
      </c>
      <c r="AV212">
        <v>81</v>
      </c>
      <c r="AW212" t="s">
        <v>74</v>
      </c>
      <c r="AX212" t="s">
        <v>74</v>
      </c>
      <c r="AY212" t="s">
        <v>74</v>
      </c>
      <c r="AZ212" t="s">
        <v>74</v>
      </c>
      <c r="BA212" t="s">
        <v>74</v>
      </c>
      <c r="BB212" t="s">
        <v>74</v>
      </c>
      <c r="BC212" t="s">
        <v>74</v>
      </c>
      <c r="BD212">
        <v>103473</v>
      </c>
      <c r="BE212" t="s">
        <v>3921</v>
      </c>
      <c r="BF212" t="str">
        <f>HYPERLINK("http://dx.doi.org/10.1016/j.yofte.2023.103473","http://dx.doi.org/10.1016/j.yofte.2023.103473")</f>
        <v>http://dx.doi.org/10.1016/j.yofte.2023.103473</v>
      </c>
      <c r="BG212" t="s">
        <v>74</v>
      </c>
      <c r="BH212" t="s">
        <v>74</v>
      </c>
      <c r="BI212">
        <v>11</v>
      </c>
      <c r="BJ212" t="s">
        <v>3922</v>
      </c>
      <c r="BK212" t="s">
        <v>100</v>
      </c>
      <c r="BL212" t="s">
        <v>3923</v>
      </c>
      <c r="BM212" t="s">
        <v>3924</v>
      </c>
      <c r="BN212" t="s">
        <v>74</v>
      </c>
      <c r="BO212" t="s">
        <v>74</v>
      </c>
      <c r="BP212" t="s">
        <v>74</v>
      </c>
      <c r="BQ212" t="s">
        <v>74</v>
      </c>
      <c r="BR212" t="s">
        <v>104</v>
      </c>
      <c r="BS212" t="s">
        <v>3925</v>
      </c>
      <c r="BT212" t="str">
        <f>HYPERLINK("https%3A%2F%2Fwww.webofscience.com%2Fwos%2Fwoscc%2Ffull-record%2FWOS:001062794000001","View Full Record in Web of Science")</f>
        <v>View Full Record in Web of Science</v>
      </c>
    </row>
    <row r="213" spans="1:72" x14ac:dyDescent="0.15">
      <c r="A213" t="s">
        <v>72</v>
      </c>
      <c r="B213" t="s">
        <v>3926</v>
      </c>
      <c r="C213" t="s">
        <v>74</v>
      </c>
      <c r="D213" t="s">
        <v>74</v>
      </c>
      <c r="E213" t="s">
        <v>74</v>
      </c>
      <c r="F213" t="s">
        <v>3927</v>
      </c>
      <c r="G213" t="s">
        <v>74</v>
      </c>
      <c r="H213" t="s">
        <v>74</v>
      </c>
      <c r="I213" t="s">
        <v>3928</v>
      </c>
      <c r="J213" t="s">
        <v>3929</v>
      </c>
      <c r="K213" t="s">
        <v>74</v>
      </c>
      <c r="L213" t="s">
        <v>74</v>
      </c>
      <c r="M213" t="s">
        <v>78</v>
      </c>
      <c r="N213" t="s">
        <v>79</v>
      </c>
      <c r="O213" t="s">
        <v>74</v>
      </c>
      <c r="P213" t="s">
        <v>74</v>
      </c>
      <c r="Q213" t="s">
        <v>74</v>
      </c>
      <c r="R213" t="s">
        <v>74</v>
      </c>
      <c r="S213" t="s">
        <v>74</v>
      </c>
      <c r="T213" t="s">
        <v>3930</v>
      </c>
      <c r="U213" t="s">
        <v>3931</v>
      </c>
      <c r="V213" t="s">
        <v>3932</v>
      </c>
      <c r="W213" t="s">
        <v>3933</v>
      </c>
      <c r="X213" t="s">
        <v>3934</v>
      </c>
      <c r="Y213" t="s">
        <v>3935</v>
      </c>
      <c r="Z213" t="s">
        <v>3936</v>
      </c>
      <c r="AA213" t="s">
        <v>3937</v>
      </c>
      <c r="AB213" t="s">
        <v>3938</v>
      </c>
      <c r="AC213" t="s">
        <v>3939</v>
      </c>
      <c r="AD213" t="s">
        <v>3940</v>
      </c>
      <c r="AE213" t="s">
        <v>3941</v>
      </c>
      <c r="AF213" t="s">
        <v>74</v>
      </c>
      <c r="AG213">
        <v>46</v>
      </c>
      <c r="AH213">
        <v>0</v>
      </c>
      <c r="AI213">
        <v>0</v>
      </c>
      <c r="AJ213">
        <v>3</v>
      </c>
      <c r="AK213">
        <v>3</v>
      </c>
      <c r="AL213" t="s">
        <v>120</v>
      </c>
      <c r="AM213" t="s">
        <v>121</v>
      </c>
      <c r="AN213" t="s">
        <v>122</v>
      </c>
      <c r="AO213" t="s">
        <v>3942</v>
      </c>
      <c r="AP213" t="s">
        <v>3943</v>
      </c>
      <c r="AQ213" t="s">
        <v>74</v>
      </c>
      <c r="AR213" t="s">
        <v>3944</v>
      </c>
      <c r="AS213" t="s">
        <v>3945</v>
      </c>
      <c r="AT213" t="s">
        <v>2840</v>
      </c>
      <c r="AU213">
        <v>2023</v>
      </c>
      <c r="AV213">
        <v>321</v>
      </c>
      <c r="AW213" t="s">
        <v>74</v>
      </c>
      <c r="AX213" t="s">
        <v>74</v>
      </c>
      <c r="AY213" t="s">
        <v>74</v>
      </c>
      <c r="AZ213" t="s">
        <v>74</v>
      </c>
      <c r="BA213" t="s">
        <v>74</v>
      </c>
      <c r="BB213" t="s">
        <v>74</v>
      </c>
      <c r="BC213" t="s">
        <v>74</v>
      </c>
      <c r="BD213">
        <v>121279</v>
      </c>
      <c r="BE213" t="s">
        <v>3946</v>
      </c>
      <c r="BF213" t="str">
        <f>HYPERLINK("http://dx.doi.org/10.1016/j.carbpol.2023.121279","http://dx.doi.org/10.1016/j.carbpol.2023.121279")</f>
        <v>http://dx.doi.org/10.1016/j.carbpol.2023.121279</v>
      </c>
      <c r="BG213" t="s">
        <v>74</v>
      </c>
      <c r="BH213" t="s">
        <v>74</v>
      </c>
      <c r="BI213">
        <v>12</v>
      </c>
      <c r="BJ213" t="s">
        <v>3947</v>
      </c>
      <c r="BK213" t="s">
        <v>100</v>
      </c>
      <c r="BL213" t="s">
        <v>3948</v>
      </c>
      <c r="BM213" t="s">
        <v>3949</v>
      </c>
      <c r="BN213">
        <v>37739521</v>
      </c>
      <c r="BO213" t="s">
        <v>74</v>
      </c>
      <c r="BP213" t="s">
        <v>74</v>
      </c>
      <c r="BQ213" t="s">
        <v>74</v>
      </c>
      <c r="BR213" t="s">
        <v>104</v>
      </c>
      <c r="BS213" t="s">
        <v>3950</v>
      </c>
      <c r="BT213" t="str">
        <f>HYPERLINK("https%3A%2F%2Fwww.webofscience.com%2Fwos%2Fwoscc%2Ffull-record%2FWOS:001057260600001","View Full Record in Web of Science")</f>
        <v>View Full Record in Web of Science</v>
      </c>
    </row>
    <row r="214" spans="1:72" x14ac:dyDescent="0.15">
      <c r="A214" t="s">
        <v>72</v>
      </c>
      <c r="B214" t="s">
        <v>3951</v>
      </c>
      <c r="C214" t="s">
        <v>74</v>
      </c>
      <c r="D214" t="s">
        <v>74</v>
      </c>
      <c r="E214" t="s">
        <v>74</v>
      </c>
      <c r="F214" t="s">
        <v>3952</v>
      </c>
      <c r="G214" t="s">
        <v>74</v>
      </c>
      <c r="H214" t="s">
        <v>74</v>
      </c>
      <c r="I214" t="s">
        <v>3953</v>
      </c>
      <c r="J214" t="s">
        <v>3954</v>
      </c>
      <c r="K214" t="s">
        <v>74</v>
      </c>
      <c r="L214" t="s">
        <v>74</v>
      </c>
      <c r="M214" t="s">
        <v>78</v>
      </c>
      <c r="N214" t="s">
        <v>241</v>
      </c>
      <c r="O214" t="s">
        <v>74</v>
      </c>
      <c r="P214" t="s">
        <v>74</v>
      </c>
      <c r="Q214" t="s">
        <v>74</v>
      </c>
      <c r="R214" t="s">
        <v>74</v>
      </c>
      <c r="S214" t="s">
        <v>74</v>
      </c>
      <c r="T214" t="s">
        <v>3955</v>
      </c>
      <c r="U214" t="s">
        <v>74</v>
      </c>
      <c r="V214" t="s">
        <v>3956</v>
      </c>
      <c r="W214" t="s">
        <v>3957</v>
      </c>
      <c r="X214" t="s">
        <v>3958</v>
      </c>
      <c r="Y214" t="s">
        <v>3959</v>
      </c>
      <c r="Z214" t="s">
        <v>3960</v>
      </c>
      <c r="AA214" t="s">
        <v>74</v>
      </c>
      <c r="AB214" t="s">
        <v>74</v>
      </c>
      <c r="AC214" t="s">
        <v>74</v>
      </c>
      <c r="AD214" t="s">
        <v>74</v>
      </c>
      <c r="AE214" t="s">
        <v>74</v>
      </c>
      <c r="AF214" t="s">
        <v>74</v>
      </c>
      <c r="AG214">
        <v>33</v>
      </c>
      <c r="AH214">
        <v>0</v>
      </c>
      <c r="AI214">
        <v>0</v>
      </c>
      <c r="AJ214">
        <v>0</v>
      </c>
      <c r="AK214">
        <v>0</v>
      </c>
      <c r="AL214" t="s">
        <v>120</v>
      </c>
      <c r="AM214" t="s">
        <v>121</v>
      </c>
      <c r="AN214" t="s">
        <v>122</v>
      </c>
      <c r="AO214" t="s">
        <v>3961</v>
      </c>
      <c r="AP214" t="s">
        <v>3962</v>
      </c>
      <c r="AQ214" t="s">
        <v>74</v>
      </c>
      <c r="AR214" t="s">
        <v>3963</v>
      </c>
      <c r="AS214" t="s">
        <v>3964</v>
      </c>
      <c r="AT214" t="s">
        <v>2579</v>
      </c>
      <c r="AU214">
        <v>2023</v>
      </c>
      <c r="AV214">
        <v>79</v>
      </c>
      <c r="AW214" t="s">
        <v>74</v>
      </c>
      <c r="AX214" t="s">
        <v>74</v>
      </c>
      <c r="AY214" t="s">
        <v>74</v>
      </c>
      <c r="AZ214" t="s">
        <v>74</v>
      </c>
      <c r="BA214" t="s">
        <v>74</v>
      </c>
      <c r="BB214" t="s">
        <v>74</v>
      </c>
      <c r="BC214" t="s">
        <v>74</v>
      </c>
      <c r="BD214">
        <v>103524</v>
      </c>
      <c r="BE214" t="s">
        <v>3965</v>
      </c>
      <c r="BF214" t="str">
        <f>HYPERLINK("http://dx.doi.org/10.1016/j.iccn.2023.103524","http://dx.doi.org/10.1016/j.iccn.2023.103524")</f>
        <v>http://dx.doi.org/10.1016/j.iccn.2023.103524</v>
      </c>
      <c r="BG214" t="s">
        <v>74</v>
      </c>
      <c r="BH214" t="s">
        <v>74</v>
      </c>
      <c r="BI214">
        <v>9</v>
      </c>
      <c r="BJ214" t="s">
        <v>3966</v>
      </c>
      <c r="BK214" t="s">
        <v>666</v>
      </c>
      <c r="BL214" t="s">
        <v>3966</v>
      </c>
      <c r="BM214" t="s">
        <v>3967</v>
      </c>
      <c r="BN214">
        <v>37598503</v>
      </c>
      <c r="BO214" t="s">
        <v>295</v>
      </c>
      <c r="BP214" t="s">
        <v>74</v>
      </c>
      <c r="BQ214" t="s">
        <v>74</v>
      </c>
      <c r="BR214" t="s">
        <v>104</v>
      </c>
      <c r="BS214" t="s">
        <v>3968</v>
      </c>
      <c r="BT214" t="str">
        <f>HYPERLINK("https%3A%2F%2Fwww.webofscience.com%2Fwos%2Fwoscc%2Ffull-record%2FWOS:001064757700001","View Full Record in Web of Science")</f>
        <v>View Full Record in Web of Science</v>
      </c>
    </row>
    <row r="215" spans="1:72" x14ac:dyDescent="0.15">
      <c r="A215" t="s">
        <v>72</v>
      </c>
      <c r="B215" t="s">
        <v>3969</v>
      </c>
      <c r="C215" t="s">
        <v>74</v>
      </c>
      <c r="D215" t="s">
        <v>74</v>
      </c>
      <c r="E215" t="s">
        <v>74</v>
      </c>
      <c r="F215" t="s">
        <v>3970</v>
      </c>
      <c r="G215" t="s">
        <v>74</v>
      </c>
      <c r="H215" t="s">
        <v>74</v>
      </c>
      <c r="I215" t="s">
        <v>3971</v>
      </c>
      <c r="J215" t="s">
        <v>3972</v>
      </c>
      <c r="K215" t="s">
        <v>74</v>
      </c>
      <c r="L215" t="s">
        <v>74</v>
      </c>
      <c r="M215" t="s">
        <v>78</v>
      </c>
      <c r="N215" t="s">
        <v>79</v>
      </c>
      <c r="O215" t="s">
        <v>74</v>
      </c>
      <c r="P215" t="s">
        <v>74</v>
      </c>
      <c r="Q215" t="s">
        <v>74</v>
      </c>
      <c r="R215" t="s">
        <v>74</v>
      </c>
      <c r="S215" t="s">
        <v>74</v>
      </c>
      <c r="T215" t="s">
        <v>3973</v>
      </c>
      <c r="U215" t="s">
        <v>3974</v>
      </c>
      <c r="V215" t="s">
        <v>3975</v>
      </c>
      <c r="W215" t="s">
        <v>3976</v>
      </c>
      <c r="X215" t="s">
        <v>3977</v>
      </c>
      <c r="Y215" t="s">
        <v>3978</v>
      </c>
      <c r="Z215" t="s">
        <v>3979</v>
      </c>
      <c r="AA215" t="s">
        <v>74</v>
      </c>
      <c r="AB215" t="s">
        <v>3980</v>
      </c>
      <c r="AC215" t="s">
        <v>74</v>
      </c>
      <c r="AD215" t="s">
        <v>74</v>
      </c>
      <c r="AE215" t="s">
        <v>74</v>
      </c>
      <c r="AF215" t="s">
        <v>74</v>
      </c>
      <c r="AG215">
        <v>43</v>
      </c>
      <c r="AH215">
        <v>0</v>
      </c>
      <c r="AI215">
        <v>0</v>
      </c>
      <c r="AJ215">
        <v>0</v>
      </c>
      <c r="AK215">
        <v>0</v>
      </c>
      <c r="AL215" t="s">
        <v>90</v>
      </c>
      <c r="AM215" t="s">
        <v>91</v>
      </c>
      <c r="AN215" t="s">
        <v>92</v>
      </c>
      <c r="AO215" t="s">
        <v>74</v>
      </c>
      <c r="AP215" t="s">
        <v>3981</v>
      </c>
      <c r="AQ215" t="s">
        <v>74</v>
      </c>
      <c r="AR215" t="s">
        <v>3982</v>
      </c>
      <c r="AS215" t="s">
        <v>3983</v>
      </c>
      <c r="AT215" t="s">
        <v>2579</v>
      </c>
      <c r="AU215">
        <v>2023</v>
      </c>
      <c r="AV215">
        <v>17</v>
      </c>
      <c r="AW215" t="s">
        <v>74</v>
      </c>
      <c r="AX215" t="s">
        <v>74</v>
      </c>
      <c r="AY215" t="s">
        <v>74</v>
      </c>
      <c r="AZ215" t="s">
        <v>74</v>
      </c>
      <c r="BA215" t="s">
        <v>74</v>
      </c>
      <c r="BB215" t="s">
        <v>74</v>
      </c>
      <c r="BC215" t="s">
        <v>74</v>
      </c>
      <c r="BD215">
        <v>100571</v>
      </c>
      <c r="BE215" t="s">
        <v>3984</v>
      </c>
      <c r="BF215" t="str">
        <f>HYPERLINK("http://dx.doi.org/10.1016/j.onehlt.2023.100571","http://dx.doi.org/10.1016/j.onehlt.2023.100571")</f>
        <v>http://dx.doi.org/10.1016/j.onehlt.2023.100571</v>
      </c>
      <c r="BG215" t="s">
        <v>74</v>
      </c>
      <c r="BH215" t="s">
        <v>74</v>
      </c>
      <c r="BI215">
        <v>6</v>
      </c>
      <c r="BJ215" t="s">
        <v>3985</v>
      </c>
      <c r="BK215" t="s">
        <v>100</v>
      </c>
      <c r="BL215" t="s">
        <v>3985</v>
      </c>
      <c r="BM215" t="s">
        <v>3986</v>
      </c>
      <c r="BN215">
        <v>37332882</v>
      </c>
      <c r="BO215" t="s">
        <v>2583</v>
      </c>
      <c r="BP215" t="s">
        <v>74</v>
      </c>
      <c r="BQ215" t="s">
        <v>74</v>
      </c>
      <c r="BR215" t="s">
        <v>104</v>
      </c>
      <c r="BS215" t="s">
        <v>3987</v>
      </c>
      <c r="BT215" t="str">
        <f>HYPERLINK("https%3A%2F%2Fwww.webofscience.com%2Fwos%2Fwoscc%2Ffull-record%2FWOS:001054914200001","View Full Record in Web of Science")</f>
        <v>View Full Record in Web of Science</v>
      </c>
    </row>
    <row r="216" spans="1:72" x14ac:dyDescent="0.15">
      <c r="A216" t="s">
        <v>72</v>
      </c>
      <c r="B216" t="s">
        <v>3988</v>
      </c>
      <c r="C216" t="s">
        <v>74</v>
      </c>
      <c r="D216" t="s">
        <v>74</v>
      </c>
      <c r="E216" t="s">
        <v>74</v>
      </c>
      <c r="F216" t="s">
        <v>3989</v>
      </c>
      <c r="G216" t="s">
        <v>74</v>
      </c>
      <c r="H216" t="s">
        <v>74</v>
      </c>
      <c r="I216" t="s">
        <v>3990</v>
      </c>
      <c r="J216" t="s">
        <v>3991</v>
      </c>
      <c r="K216" t="s">
        <v>74</v>
      </c>
      <c r="L216" t="s">
        <v>74</v>
      </c>
      <c r="M216" t="s">
        <v>78</v>
      </c>
      <c r="N216" t="s">
        <v>79</v>
      </c>
      <c r="O216" t="s">
        <v>74</v>
      </c>
      <c r="P216" t="s">
        <v>74</v>
      </c>
      <c r="Q216" t="s">
        <v>74</v>
      </c>
      <c r="R216" t="s">
        <v>74</v>
      </c>
      <c r="S216" t="s">
        <v>74</v>
      </c>
      <c r="T216" t="s">
        <v>3992</v>
      </c>
      <c r="U216" t="s">
        <v>3993</v>
      </c>
      <c r="V216" t="s">
        <v>3994</v>
      </c>
      <c r="W216" t="s">
        <v>3995</v>
      </c>
      <c r="X216" t="s">
        <v>3996</v>
      </c>
      <c r="Y216" t="s">
        <v>3997</v>
      </c>
      <c r="Z216" t="s">
        <v>3998</v>
      </c>
      <c r="AA216" t="s">
        <v>74</v>
      </c>
      <c r="AB216" t="s">
        <v>74</v>
      </c>
      <c r="AC216" t="s">
        <v>74</v>
      </c>
      <c r="AD216" t="s">
        <v>74</v>
      </c>
      <c r="AE216" t="s">
        <v>74</v>
      </c>
      <c r="AF216" t="s">
        <v>74</v>
      </c>
      <c r="AG216">
        <v>12</v>
      </c>
      <c r="AH216">
        <v>0</v>
      </c>
      <c r="AI216">
        <v>0</v>
      </c>
      <c r="AJ216">
        <v>4</v>
      </c>
      <c r="AK216">
        <v>4</v>
      </c>
      <c r="AL216" t="s">
        <v>90</v>
      </c>
      <c r="AM216" t="s">
        <v>91</v>
      </c>
      <c r="AN216" t="s">
        <v>92</v>
      </c>
      <c r="AO216" t="s">
        <v>74</v>
      </c>
      <c r="AP216" t="s">
        <v>3999</v>
      </c>
      <c r="AQ216" t="s">
        <v>74</v>
      </c>
      <c r="AR216" t="s">
        <v>3991</v>
      </c>
      <c r="AS216" t="s">
        <v>4000</v>
      </c>
      <c r="AT216" t="s">
        <v>2579</v>
      </c>
      <c r="AU216">
        <v>2023</v>
      </c>
      <c r="AV216">
        <v>11</v>
      </c>
      <c r="AW216" t="s">
        <v>74</v>
      </c>
      <c r="AX216" t="s">
        <v>74</v>
      </c>
      <c r="AY216" t="s">
        <v>74</v>
      </c>
      <c r="AZ216" t="s">
        <v>74</v>
      </c>
      <c r="BA216" t="s">
        <v>74</v>
      </c>
      <c r="BB216" t="s">
        <v>74</v>
      </c>
      <c r="BC216" t="s">
        <v>74</v>
      </c>
      <c r="BD216">
        <v>102284</v>
      </c>
      <c r="BE216" t="s">
        <v>4001</v>
      </c>
      <c r="BF216" t="str">
        <f>HYPERLINK("http://dx.doi.org/10.1016/j.mex.2023.102284","http://dx.doi.org/10.1016/j.mex.2023.102284")</f>
        <v>http://dx.doi.org/10.1016/j.mex.2023.102284</v>
      </c>
      <c r="BG216" t="s">
        <v>74</v>
      </c>
      <c r="BH216" t="s">
        <v>74</v>
      </c>
      <c r="BI216">
        <v>9</v>
      </c>
      <c r="BJ216" t="s">
        <v>4002</v>
      </c>
      <c r="BK216" t="s">
        <v>1850</v>
      </c>
      <c r="BL216" t="s">
        <v>4003</v>
      </c>
      <c r="BM216" t="s">
        <v>4004</v>
      </c>
      <c r="BN216">
        <v>37560403</v>
      </c>
      <c r="BO216" t="s">
        <v>2425</v>
      </c>
      <c r="BP216" t="s">
        <v>74</v>
      </c>
      <c r="BQ216" t="s">
        <v>74</v>
      </c>
      <c r="BR216" t="s">
        <v>104</v>
      </c>
      <c r="BS216" t="s">
        <v>4005</v>
      </c>
      <c r="BT216" t="str">
        <f>HYPERLINK("https%3A%2F%2Fwww.webofscience.com%2Fwos%2Fwoscc%2Ffull-record%2FWOS:001048863100001","View Full Record in Web of Science")</f>
        <v>View Full Record in Web of Science</v>
      </c>
    </row>
    <row r="217" spans="1:72" x14ac:dyDescent="0.15">
      <c r="A217" t="s">
        <v>72</v>
      </c>
      <c r="B217" t="s">
        <v>4006</v>
      </c>
      <c r="C217" t="s">
        <v>74</v>
      </c>
      <c r="D217" t="s">
        <v>74</v>
      </c>
      <c r="E217" t="s">
        <v>74</v>
      </c>
      <c r="F217" t="s">
        <v>4007</v>
      </c>
      <c r="G217" t="s">
        <v>74</v>
      </c>
      <c r="H217" t="s">
        <v>74</v>
      </c>
      <c r="I217" t="s">
        <v>4008</v>
      </c>
      <c r="J217" t="s">
        <v>4009</v>
      </c>
      <c r="K217" t="s">
        <v>74</v>
      </c>
      <c r="L217" t="s">
        <v>74</v>
      </c>
      <c r="M217" t="s">
        <v>78</v>
      </c>
      <c r="N217" t="s">
        <v>79</v>
      </c>
      <c r="O217" t="s">
        <v>74</v>
      </c>
      <c r="P217" t="s">
        <v>74</v>
      </c>
      <c r="Q217" t="s">
        <v>74</v>
      </c>
      <c r="R217" t="s">
        <v>74</v>
      </c>
      <c r="S217" t="s">
        <v>74</v>
      </c>
      <c r="T217" t="s">
        <v>4010</v>
      </c>
      <c r="U217" t="s">
        <v>4011</v>
      </c>
      <c r="V217" t="s">
        <v>4012</v>
      </c>
      <c r="W217" t="s">
        <v>4013</v>
      </c>
      <c r="X217" t="s">
        <v>4014</v>
      </c>
      <c r="Y217" t="s">
        <v>4015</v>
      </c>
      <c r="Z217" t="s">
        <v>4016</v>
      </c>
      <c r="AA217" t="s">
        <v>74</v>
      </c>
      <c r="AB217" t="s">
        <v>74</v>
      </c>
      <c r="AC217" t="s">
        <v>4017</v>
      </c>
      <c r="AD217" t="s">
        <v>4017</v>
      </c>
      <c r="AE217" t="s">
        <v>4018</v>
      </c>
      <c r="AF217" t="s">
        <v>74</v>
      </c>
      <c r="AG217">
        <v>49</v>
      </c>
      <c r="AH217">
        <v>0</v>
      </c>
      <c r="AI217">
        <v>0</v>
      </c>
      <c r="AJ217">
        <v>0</v>
      </c>
      <c r="AK217">
        <v>0</v>
      </c>
      <c r="AL217" t="s">
        <v>90</v>
      </c>
      <c r="AM217" t="s">
        <v>91</v>
      </c>
      <c r="AN217" t="s">
        <v>92</v>
      </c>
      <c r="AO217" t="s">
        <v>4019</v>
      </c>
      <c r="AP217" t="s">
        <v>74</v>
      </c>
      <c r="AQ217" t="s">
        <v>74</v>
      </c>
      <c r="AR217" t="s">
        <v>4020</v>
      </c>
      <c r="AS217" t="s">
        <v>4021</v>
      </c>
      <c r="AT217" t="s">
        <v>2579</v>
      </c>
      <c r="AU217">
        <v>2023</v>
      </c>
      <c r="AV217">
        <v>7</v>
      </c>
      <c r="AW217" t="s">
        <v>74</v>
      </c>
      <c r="AX217" t="s">
        <v>74</v>
      </c>
      <c r="AY217" t="s">
        <v>74</v>
      </c>
      <c r="AZ217" t="s">
        <v>74</v>
      </c>
      <c r="BA217" t="s">
        <v>74</v>
      </c>
      <c r="BB217" t="s">
        <v>74</v>
      </c>
      <c r="BC217" t="s">
        <v>74</v>
      </c>
      <c r="BD217">
        <v>100168</v>
      </c>
      <c r="BE217" t="s">
        <v>4022</v>
      </c>
      <c r="BF217" t="str">
        <f>HYPERLINK("http://dx.doi.org/10.1016/j.addlet.2023.100168","http://dx.doi.org/10.1016/j.addlet.2023.100168")</f>
        <v>http://dx.doi.org/10.1016/j.addlet.2023.100168</v>
      </c>
      <c r="BG217" t="s">
        <v>74</v>
      </c>
      <c r="BH217" t="s">
        <v>74</v>
      </c>
      <c r="BI217">
        <v>10</v>
      </c>
      <c r="BJ217" t="s">
        <v>4023</v>
      </c>
      <c r="BK217" t="s">
        <v>1850</v>
      </c>
      <c r="BL217" t="s">
        <v>156</v>
      </c>
      <c r="BM217" t="s">
        <v>4024</v>
      </c>
      <c r="BN217" t="s">
        <v>74</v>
      </c>
      <c r="BO217" t="s">
        <v>504</v>
      </c>
      <c r="BP217" t="s">
        <v>74</v>
      </c>
      <c r="BQ217" t="s">
        <v>74</v>
      </c>
      <c r="BR217" t="s">
        <v>104</v>
      </c>
      <c r="BS217" t="s">
        <v>4025</v>
      </c>
      <c r="BT217" t="str">
        <f>HYPERLINK("https%3A%2F%2Fwww.webofscience.com%2Fwos%2Fwoscc%2Ffull-record%2FWOS:001061657400001","View Full Record in Web of Science")</f>
        <v>View Full Record in Web of Science</v>
      </c>
    </row>
    <row r="218" spans="1:72" x14ac:dyDescent="0.15">
      <c r="A218" t="s">
        <v>72</v>
      </c>
      <c r="B218" t="s">
        <v>4026</v>
      </c>
      <c r="C218" t="s">
        <v>74</v>
      </c>
      <c r="D218" t="s">
        <v>74</v>
      </c>
      <c r="E218" t="s">
        <v>74</v>
      </c>
      <c r="F218" t="s">
        <v>4027</v>
      </c>
      <c r="G218" t="s">
        <v>74</v>
      </c>
      <c r="H218" t="s">
        <v>74</v>
      </c>
      <c r="I218" t="s">
        <v>4028</v>
      </c>
      <c r="J218" t="s">
        <v>4029</v>
      </c>
      <c r="K218" t="s">
        <v>74</v>
      </c>
      <c r="L218" t="s">
        <v>74</v>
      </c>
      <c r="M218" t="s">
        <v>78</v>
      </c>
      <c r="N218" t="s">
        <v>241</v>
      </c>
      <c r="O218" t="s">
        <v>74</v>
      </c>
      <c r="P218" t="s">
        <v>74</v>
      </c>
      <c r="Q218" t="s">
        <v>74</v>
      </c>
      <c r="R218" t="s">
        <v>74</v>
      </c>
      <c r="S218" t="s">
        <v>74</v>
      </c>
      <c r="T218" t="s">
        <v>4030</v>
      </c>
      <c r="U218" t="s">
        <v>4031</v>
      </c>
      <c r="V218" t="s">
        <v>4032</v>
      </c>
      <c r="W218" t="s">
        <v>4033</v>
      </c>
      <c r="X218" t="s">
        <v>4034</v>
      </c>
      <c r="Y218" t="s">
        <v>4035</v>
      </c>
      <c r="Z218" t="s">
        <v>4036</v>
      </c>
      <c r="AA218" t="s">
        <v>4037</v>
      </c>
      <c r="AB218" t="s">
        <v>4038</v>
      </c>
      <c r="AC218" t="s">
        <v>4039</v>
      </c>
      <c r="AD218" t="s">
        <v>4040</v>
      </c>
      <c r="AE218" t="s">
        <v>4041</v>
      </c>
      <c r="AF218" t="s">
        <v>74</v>
      </c>
      <c r="AG218">
        <v>96</v>
      </c>
      <c r="AH218">
        <v>0</v>
      </c>
      <c r="AI218">
        <v>0</v>
      </c>
      <c r="AJ218">
        <v>17</v>
      </c>
      <c r="AK218">
        <v>17</v>
      </c>
      <c r="AL218" t="s">
        <v>90</v>
      </c>
      <c r="AM218" t="s">
        <v>91</v>
      </c>
      <c r="AN218" t="s">
        <v>92</v>
      </c>
      <c r="AO218" t="s">
        <v>4042</v>
      </c>
      <c r="AP218" t="s">
        <v>4043</v>
      </c>
      <c r="AQ218" t="s">
        <v>74</v>
      </c>
      <c r="AR218" t="s">
        <v>4044</v>
      </c>
      <c r="AS218" t="s">
        <v>4045</v>
      </c>
      <c r="AT218" t="s">
        <v>2579</v>
      </c>
      <c r="AU218">
        <v>2023</v>
      </c>
      <c r="AV218">
        <v>82</v>
      </c>
      <c r="AW218" t="s">
        <v>74</v>
      </c>
      <c r="AX218" t="s">
        <v>74</v>
      </c>
      <c r="AY218" t="s">
        <v>74</v>
      </c>
      <c r="AZ218" t="s">
        <v>74</v>
      </c>
      <c r="BA218" t="s">
        <v>74</v>
      </c>
      <c r="BB218" t="s">
        <v>74</v>
      </c>
      <c r="BC218" t="s">
        <v>74</v>
      </c>
      <c r="BD218">
        <v>101152</v>
      </c>
      <c r="BE218" t="s">
        <v>4046</v>
      </c>
      <c r="BF218" t="str">
        <f>HYPERLINK("http://dx.doi.org/10.1016/j.cogsys.2023.101152","http://dx.doi.org/10.1016/j.cogsys.2023.101152")</f>
        <v>http://dx.doi.org/10.1016/j.cogsys.2023.101152</v>
      </c>
      <c r="BG218" t="s">
        <v>74</v>
      </c>
      <c r="BH218" t="s">
        <v>74</v>
      </c>
      <c r="BI218">
        <v>15</v>
      </c>
      <c r="BJ218" t="s">
        <v>4047</v>
      </c>
      <c r="BK218" t="s">
        <v>666</v>
      </c>
      <c r="BL218" t="s">
        <v>4048</v>
      </c>
      <c r="BM218" t="s">
        <v>4049</v>
      </c>
      <c r="BN218" t="s">
        <v>74</v>
      </c>
      <c r="BO218" t="s">
        <v>74</v>
      </c>
      <c r="BP218" t="s">
        <v>74</v>
      </c>
      <c r="BQ218" t="s">
        <v>74</v>
      </c>
      <c r="BR218" t="s">
        <v>104</v>
      </c>
      <c r="BS218" t="s">
        <v>4050</v>
      </c>
      <c r="BT218" t="str">
        <f>HYPERLINK("https%3A%2F%2Fwww.webofscience.com%2Fwos%2Fwoscc%2Ffull-record%2FWOS:001053403900001","View Full Record in Web of Science")</f>
        <v>View Full Record in Web of Science</v>
      </c>
    </row>
    <row r="219" spans="1:72" x14ac:dyDescent="0.15">
      <c r="A219" t="s">
        <v>72</v>
      </c>
      <c r="B219" t="s">
        <v>4051</v>
      </c>
      <c r="C219" t="s">
        <v>74</v>
      </c>
      <c r="D219" t="s">
        <v>74</v>
      </c>
      <c r="E219" t="s">
        <v>74</v>
      </c>
      <c r="F219" t="s">
        <v>4052</v>
      </c>
      <c r="G219" t="s">
        <v>74</v>
      </c>
      <c r="H219" t="s">
        <v>74</v>
      </c>
      <c r="I219" t="s">
        <v>4053</v>
      </c>
      <c r="J219" t="s">
        <v>2868</v>
      </c>
      <c r="K219" t="s">
        <v>74</v>
      </c>
      <c r="L219" t="s">
        <v>74</v>
      </c>
      <c r="M219" t="s">
        <v>78</v>
      </c>
      <c r="N219" t="s">
        <v>79</v>
      </c>
      <c r="O219" t="s">
        <v>74</v>
      </c>
      <c r="P219" t="s">
        <v>74</v>
      </c>
      <c r="Q219" t="s">
        <v>74</v>
      </c>
      <c r="R219" t="s">
        <v>74</v>
      </c>
      <c r="S219" t="s">
        <v>74</v>
      </c>
      <c r="T219" t="s">
        <v>4054</v>
      </c>
      <c r="U219" t="s">
        <v>4055</v>
      </c>
      <c r="V219" t="s">
        <v>4056</v>
      </c>
      <c r="W219" t="s">
        <v>4057</v>
      </c>
      <c r="X219" t="s">
        <v>4058</v>
      </c>
      <c r="Y219" t="s">
        <v>4059</v>
      </c>
      <c r="Z219" t="s">
        <v>4060</v>
      </c>
      <c r="AA219" t="s">
        <v>4061</v>
      </c>
      <c r="AB219" t="s">
        <v>4062</v>
      </c>
      <c r="AC219" t="s">
        <v>4063</v>
      </c>
      <c r="AD219" t="s">
        <v>4064</v>
      </c>
      <c r="AE219" t="s">
        <v>4065</v>
      </c>
      <c r="AF219" t="s">
        <v>74</v>
      </c>
      <c r="AG219">
        <v>64</v>
      </c>
      <c r="AH219">
        <v>0</v>
      </c>
      <c r="AI219">
        <v>0</v>
      </c>
      <c r="AJ219">
        <v>3</v>
      </c>
      <c r="AK219">
        <v>3</v>
      </c>
      <c r="AL219" t="s">
        <v>173</v>
      </c>
      <c r="AM219" t="s">
        <v>121</v>
      </c>
      <c r="AN219" t="s">
        <v>174</v>
      </c>
      <c r="AO219" t="s">
        <v>2877</v>
      </c>
      <c r="AP219" t="s">
        <v>2878</v>
      </c>
      <c r="AQ219" t="s">
        <v>74</v>
      </c>
      <c r="AR219" t="s">
        <v>2879</v>
      </c>
      <c r="AS219" t="s">
        <v>2880</v>
      </c>
      <c r="AT219" t="s">
        <v>2840</v>
      </c>
      <c r="AU219">
        <v>2023</v>
      </c>
      <c r="AV219">
        <v>259</v>
      </c>
      <c r="AW219" t="s">
        <v>74</v>
      </c>
      <c r="AX219" t="s">
        <v>74</v>
      </c>
      <c r="AY219" t="s">
        <v>74</v>
      </c>
      <c r="AZ219" t="s">
        <v>74</v>
      </c>
      <c r="BA219" t="s">
        <v>74</v>
      </c>
      <c r="BB219" t="s">
        <v>74</v>
      </c>
      <c r="BC219" t="s">
        <v>74</v>
      </c>
      <c r="BD219">
        <v>108595</v>
      </c>
      <c r="BE219" t="s">
        <v>4066</v>
      </c>
      <c r="BF219" t="str">
        <f>HYPERLINK("http://dx.doi.org/10.1016/j.ijmecsci.2023.108595","http://dx.doi.org/10.1016/j.ijmecsci.2023.108595")</f>
        <v>http://dx.doi.org/10.1016/j.ijmecsci.2023.108595</v>
      </c>
      <c r="BG219" t="s">
        <v>74</v>
      </c>
      <c r="BH219" t="s">
        <v>74</v>
      </c>
      <c r="BI219">
        <v>11</v>
      </c>
      <c r="BJ219" t="s">
        <v>2882</v>
      </c>
      <c r="BK219" t="s">
        <v>100</v>
      </c>
      <c r="BL219" t="s">
        <v>2883</v>
      </c>
      <c r="BM219" t="s">
        <v>4067</v>
      </c>
      <c r="BN219" t="s">
        <v>74</v>
      </c>
      <c r="BO219" t="s">
        <v>2583</v>
      </c>
      <c r="BP219" t="s">
        <v>74</v>
      </c>
      <c r="BQ219" t="s">
        <v>74</v>
      </c>
      <c r="BR219" t="s">
        <v>104</v>
      </c>
      <c r="BS219" t="s">
        <v>4068</v>
      </c>
      <c r="BT219" t="str">
        <f>HYPERLINK("https%3A%2F%2Fwww.webofscience.com%2Fwos%2Fwoscc%2Ffull-record%2FWOS:001049239900001","View Full Record in Web of Science")</f>
        <v>View Full Record in Web of Science</v>
      </c>
    </row>
    <row r="220" spans="1:72" x14ac:dyDescent="0.15">
      <c r="A220" t="s">
        <v>72</v>
      </c>
      <c r="B220" t="s">
        <v>4069</v>
      </c>
      <c r="C220" t="s">
        <v>74</v>
      </c>
      <c r="D220" t="s">
        <v>74</v>
      </c>
      <c r="E220" t="s">
        <v>74</v>
      </c>
      <c r="F220" t="s">
        <v>4070</v>
      </c>
      <c r="G220" t="s">
        <v>74</v>
      </c>
      <c r="H220" t="s">
        <v>74</v>
      </c>
      <c r="I220" t="s">
        <v>4071</v>
      </c>
      <c r="J220" t="s">
        <v>3786</v>
      </c>
      <c r="K220" t="s">
        <v>74</v>
      </c>
      <c r="L220" t="s">
        <v>74</v>
      </c>
      <c r="M220" t="s">
        <v>78</v>
      </c>
      <c r="N220" t="s">
        <v>79</v>
      </c>
      <c r="O220" t="s">
        <v>74</v>
      </c>
      <c r="P220" t="s">
        <v>74</v>
      </c>
      <c r="Q220" t="s">
        <v>74</v>
      </c>
      <c r="R220" t="s">
        <v>74</v>
      </c>
      <c r="S220" t="s">
        <v>74</v>
      </c>
      <c r="T220" t="s">
        <v>4072</v>
      </c>
      <c r="U220" t="s">
        <v>4073</v>
      </c>
      <c r="V220" t="s">
        <v>4074</v>
      </c>
      <c r="W220" t="s">
        <v>4075</v>
      </c>
      <c r="X220" t="s">
        <v>4076</v>
      </c>
      <c r="Y220" t="s">
        <v>4077</v>
      </c>
      <c r="Z220" t="s">
        <v>4078</v>
      </c>
      <c r="AA220" t="s">
        <v>74</v>
      </c>
      <c r="AB220" t="s">
        <v>74</v>
      </c>
      <c r="AC220" t="s">
        <v>4079</v>
      </c>
      <c r="AD220" t="s">
        <v>4080</v>
      </c>
      <c r="AE220" t="s">
        <v>4081</v>
      </c>
      <c r="AF220" t="s">
        <v>74</v>
      </c>
      <c r="AG220">
        <v>42</v>
      </c>
      <c r="AH220">
        <v>0</v>
      </c>
      <c r="AI220">
        <v>0</v>
      </c>
      <c r="AJ220">
        <v>3</v>
      </c>
      <c r="AK220">
        <v>3</v>
      </c>
      <c r="AL220" t="s">
        <v>90</v>
      </c>
      <c r="AM220" t="s">
        <v>91</v>
      </c>
      <c r="AN220" t="s">
        <v>92</v>
      </c>
      <c r="AO220" t="s">
        <v>3794</v>
      </c>
      <c r="AP220" t="s">
        <v>3795</v>
      </c>
      <c r="AQ220" t="s">
        <v>74</v>
      </c>
      <c r="AR220" t="s">
        <v>3796</v>
      </c>
      <c r="AS220" t="s">
        <v>3797</v>
      </c>
      <c r="AT220" t="s">
        <v>2840</v>
      </c>
      <c r="AU220">
        <v>2023</v>
      </c>
      <c r="AV220">
        <v>639</v>
      </c>
      <c r="AW220" t="s">
        <v>74</v>
      </c>
      <c r="AX220" t="s">
        <v>74</v>
      </c>
      <c r="AY220" t="s">
        <v>74</v>
      </c>
      <c r="AZ220" t="s">
        <v>74</v>
      </c>
      <c r="BA220" t="s">
        <v>74</v>
      </c>
      <c r="BB220" t="s">
        <v>74</v>
      </c>
      <c r="BC220" t="s">
        <v>74</v>
      </c>
      <c r="BD220">
        <v>158217</v>
      </c>
      <c r="BE220" t="s">
        <v>4082</v>
      </c>
      <c r="BF220" t="str">
        <f>HYPERLINK("http://dx.doi.org/10.1016/j.apsusc.2023.158217","http://dx.doi.org/10.1016/j.apsusc.2023.158217")</f>
        <v>http://dx.doi.org/10.1016/j.apsusc.2023.158217</v>
      </c>
      <c r="BG220" t="s">
        <v>74</v>
      </c>
      <c r="BH220" t="s">
        <v>74</v>
      </c>
      <c r="BI220">
        <v>9</v>
      </c>
      <c r="BJ220" t="s">
        <v>3799</v>
      </c>
      <c r="BK220" t="s">
        <v>100</v>
      </c>
      <c r="BL220" t="s">
        <v>3800</v>
      </c>
      <c r="BM220" t="s">
        <v>4083</v>
      </c>
      <c r="BN220" t="s">
        <v>74</v>
      </c>
      <c r="BO220" t="s">
        <v>74</v>
      </c>
      <c r="BP220" t="s">
        <v>74</v>
      </c>
      <c r="BQ220" t="s">
        <v>74</v>
      </c>
      <c r="BR220" t="s">
        <v>104</v>
      </c>
      <c r="BS220" t="s">
        <v>4084</v>
      </c>
      <c r="BT220" t="str">
        <f>HYPERLINK("https%3A%2F%2Fwww.webofscience.com%2Fwos%2Fwoscc%2Ffull-record%2FWOS:001059767900001","View Full Record in Web of Science")</f>
        <v>View Full Record in Web of Science</v>
      </c>
    </row>
    <row r="221" spans="1:72" x14ac:dyDescent="0.15">
      <c r="A221" t="s">
        <v>72</v>
      </c>
      <c r="B221" t="s">
        <v>4085</v>
      </c>
      <c r="C221" t="s">
        <v>74</v>
      </c>
      <c r="D221" t="s">
        <v>74</v>
      </c>
      <c r="E221" t="s">
        <v>74</v>
      </c>
      <c r="F221" t="s">
        <v>4086</v>
      </c>
      <c r="G221" t="s">
        <v>74</v>
      </c>
      <c r="H221" t="s">
        <v>74</v>
      </c>
      <c r="I221" t="s">
        <v>4087</v>
      </c>
      <c r="J221" t="s">
        <v>4088</v>
      </c>
      <c r="K221" t="s">
        <v>74</v>
      </c>
      <c r="L221" t="s">
        <v>74</v>
      </c>
      <c r="M221" t="s">
        <v>78</v>
      </c>
      <c r="N221" t="s">
        <v>79</v>
      </c>
      <c r="O221" t="s">
        <v>74</v>
      </c>
      <c r="P221" t="s">
        <v>74</v>
      </c>
      <c r="Q221" t="s">
        <v>74</v>
      </c>
      <c r="R221" t="s">
        <v>74</v>
      </c>
      <c r="S221" t="s">
        <v>74</v>
      </c>
      <c r="T221" t="s">
        <v>4089</v>
      </c>
      <c r="U221" t="s">
        <v>4090</v>
      </c>
      <c r="V221" t="s">
        <v>4091</v>
      </c>
      <c r="W221" t="s">
        <v>4092</v>
      </c>
      <c r="X221" t="s">
        <v>4093</v>
      </c>
      <c r="Y221" t="s">
        <v>4094</v>
      </c>
      <c r="Z221" t="s">
        <v>4095</v>
      </c>
      <c r="AA221" t="s">
        <v>74</v>
      </c>
      <c r="AB221" t="s">
        <v>74</v>
      </c>
      <c r="AC221" t="s">
        <v>74</v>
      </c>
      <c r="AD221" t="s">
        <v>74</v>
      </c>
      <c r="AE221" t="s">
        <v>74</v>
      </c>
      <c r="AF221" t="s">
        <v>74</v>
      </c>
      <c r="AG221">
        <v>25</v>
      </c>
      <c r="AH221">
        <v>0</v>
      </c>
      <c r="AI221">
        <v>0</v>
      </c>
      <c r="AJ221">
        <v>1</v>
      </c>
      <c r="AK221">
        <v>1</v>
      </c>
      <c r="AL221" t="s">
        <v>173</v>
      </c>
      <c r="AM221" t="s">
        <v>121</v>
      </c>
      <c r="AN221" t="s">
        <v>174</v>
      </c>
      <c r="AO221" t="s">
        <v>4096</v>
      </c>
      <c r="AP221" t="s">
        <v>4097</v>
      </c>
      <c r="AQ221" t="s">
        <v>74</v>
      </c>
      <c r="AR221" t="s">
        <v>4098</v>
      </c>
      <c r="AS221" t="s">
        <v>4099</v>
      </c>
      <c r="AT221" t="s">
        <v>2579</v>
      </c>
      <c r="AU221">
        <v>2023</v>
      </c>
      <c r="AV221">
        <v>310</v>
      </c>
      <c r="AW221" t="s">
        <v>74</v>
      </c>
      <c r="AX221" t="s">
        <v>74</v>
      </c>
      <c r="AY221" t="s">
        <v>74</v>
      </c>
      <c r="AZ221" t="s">
        <v>74</v>
      </c>
      <c r="BA221" t="s">
        <v>74</v>
      </c>
      <c r="BB221" t="s">
        <v>74</v>
      </c>
      <c r="BC221" t="s">
        <v>74</v>
      </c>
      <c r="BD221">
        <v>108736</v>
      </c>
      <c r="BE221" t="s">
        <v>4100</v>
      </c>
      <c r="BF221" t="str">
        <f>HYPERLINK("http://dx.doi.org/10.1016/j.jqsrt.2023.108736","http://dx.doi.org/10.1016/j.jqsrt.2023.108736")</f>
        <v>http://dx.doi.org/10.1016/j.jqsrt.2023.108736</v>
      </c>
      <c r="BG221" t="s">
        <v>74</v>
      </c>
      <c r="BH221" t="s">
        <v>74</v>
      </c>
      <c r="BI221">
        <v>6</v>
      </c>
      <c r="BJ221" t="s">
        <v>4101</v>
      </c>
      <c r="BK221" t="s">
        <v>100</v>
      </c>
      <c r="BL221" t="s">
        <v>4101</v>
      </c>
      <c r="BM221" t="s">
        <v>4102</v>
      </c>
      <c r="BN221" t="s">
        <v>74</v>
      </c>
      <c r="BO221" t="s">
        <v>74</v>
      </c>
      <c r="BP221" t="s">
        <v>74</v>
      </c>
      <c r="BQ221" t="s">
        <v>74</v>
      </c>
      <c r="BR221" t="s">
        <v>104</v>
      </c>
      <c r="BS221" t="s">
        <v>4103</v>
      </c>
      <c r="BT221" t="str">
        <f>HYPERLINK("https%3A%2F%2Fwww.webofscience.com%2Fwos%2Fwoscc%2Ffull-record%2FWOS:001052475600001","View Full Record in Web of Science")</f>
        <v>View Full Record in Web of Science</v>
      </c>
    </row>
    <row r="222" spans="1:72" x14ac:dyDescent="0.15">
      <c r="A222" t="s">
        <v>72</v>
      </c>
      <c r="B222" t="s">
        <v>4104</v>
      </c>
      <c r="C222" t="s">
        <v>74</v>
      </c>
      <c r="D222" t="s">
        <v>74</v>
      </c>
      <c r="E222" t="s">
        <v>74</v>
      </c>
      <c r="F222" t="s">
        <v>4105</v>
      </c>
      <c r="G222" t="s">
        <v>74</v>
      </c>
      <c r="H222" t="s">
        <v>74</v>
      </c>
      <c r="I222" t="s">
        <v>4106</v>
      </c>
      <c r="J222" t="s">
        <v>4107</v>
      </c>
      <c r="K222" t="s">
        <v>74</v>
      </c>
      <c r="L222" t="s">
        <v>74</v>
      </c>
      <c r="M222" t="s">
        <v>78</v>
      </c>
      <c r="N222" t="s">
        <v>79</v>
      </c>
      <c r="O222" t="s">
        <v>74</v>
      </c>
      <c r="P222" t="s">
        <v>74</v>
      </c>
      <c r="Q222" t="s">
        <v>74</v>
      </c>
      <c r="R222" t="s">
        <v>74</v>
      </c>
      <c r="S222" t="s">
        <v>74</v>
      </c>
      <c r="T222" t="s">
        <v>4108</v>
      </c>
      <c r="U222" t="s">
        <v>4109</v>
      </c>
      <c r="V222" t="s">
        <v>4110</v>
      </c>
      <c r="W222" t="s">
        <v>4111</v>
      </c>
      <c r="X222" t="s">
        <v>4112</v>
      </c>
      <c r="Y222" t="s">
        <v>4113</v>
      </c>
      <c r="Z222" t="s">
        <v>4114</v>
      </c>
      <c r="AA222" t="s">
        <v>4115</v>
      </c>
      <c r="AB222" t="s">
        <v>4116</v>
      </c>
      <c r="AC222" t="s">
        <v>74</v>
      </c>
      <c r="AD222" t="s">
        <v>74</v>
      </c>
      <c r="AE222" t="s">
        <v>74</v>
      </c>
      <c r="AF222" t="s">
        <v>74</v>
      </c>
      <c r="AG222">
        <v>118</v>
      </c>
      <c r="AH222">
        <v>0</v>
      </c>
      <c r="AI222">
        <v>0</v>
      </c>
      <c r="AJ222">
        <v>24</v>
      </c>
      <c r="AK222">
        <v>24</v>
      </c>
      <c r="AL222" t="s">
        <v>120</v>
      </c>
      <c r="AM222" t="s">
        <v>121</v>
      </c>
      <c r="AN222" t="s">
        <v>122</v>
      </c>
      <c r="AO222" t="s">
        <v>4117</v>
      </c>
      <c r="AP222" t="s">
        <v>4118</v>
      </c>
      <c r="AQ222" t="s">
        <v>74</v>
      </c>
      <c r="AR222" t="s">
        <v>4119</v>
      </c>
      <c r="AS222" t="s">
        <v>4120</v>
      </c>
      <c r="AT222" t="s">
        <v>2579</v>
      </c>
      <c r="AU222">
        <v>2023</v>
      </c>
      <c r="AV222">
        <v>73</v>
      </c>
      <c r="AW222" t="s">
        <v>74</v>
      </c>
      <c r="AX222" t="s">
        <v>74</v>
      </c>
      <c r="AY222" t="s">
        <v>74</v>
      </c>
      <c r="AZ222" t="s">
        <v>74</v>
      </c>
      <c r="BA222" t="s">
        <v>74</v>
      </c>
      <c r="BB222" t="s">
        <v>74</v>
      </c>
      <c r="BC222" t="s">
        <v>74</v>
      </c>
      <c r="BD222">
        <v>102684</v>
      </c>
      <c r="BE222" t="s">
        <v>4121</v>
      </c>
      <c r="BF222" t="str">
        <f>HYPERLINK("http://dx.doi.org/10.1016/j.ijinfomgt.2023.102684","http://dx.doi.org/10.1016/j.ijinfomgt.2023.102684")</f>
        <v>http://dx.doi.org/10.1016/j.ijinfomgt.2023.102684</v>
      </c>
      <c r="BG222" t="s">
        <v>74</v>
      </c>
      <c r="BH222" t="s">
        <v>74</v>
      </c>
      <c r="BI222">
        <v>11</v>
      </c>
      <c r="BJ222" t="s">
        <v>4122</v>
      </c>
      <c r="BK222" t="s">
        <v>627</v>
      </c>
      <c r="BL222" t="s">
        <v>4122</v>
      </c>
      <c r="BM222" t="s">
        <v>4123</v>
      </c>
      <c r="BN222" t="s">
        <v>74</v>
      </c>
      <c r="BO222" t="s">
        <v>295</v>
      </c>
      <c r="BP222" t="s">
        <v>74</v>
      </c>
      <c r="BQ222" t="s">
        <v>74</v>
      </c>
      <c r="BR222" t="s">
        <v>104</v>
      </c>
      <c r="BS222" t="s">
        <v>4124</v>
      </c>
      <c r="BT222" t="str">
        <f>HYPERLINK("https%3A%2F%2Fwww.webofscience.com%2Fwos%2Fwoscc%2Ffull-record%2FWOS:001044213700001","View Full Record in Web of Science")</f>
        <v>View Full Record in Web of Science</v>
      </c>
    </row>
    <row r="223" spans="1:72" x14ac:dyDescent="0.15">
      <c r="A223" t="s">
        <v>72</v>
      </c>
      <c r="B223" t="s">
        <v>4125</v>
      </c>
      <c r="C223" t="s">
        <v>74</v>
      </c>
      <c r="D223" t="s">
        <v>74</v>
      </c>
      <c r="E223" t="s">
        <v>74</v>
      </c>
      <c r="F223" t="s">
        <v>4126</v>
      </c>
      <c r="G223" t="s">
        <v>74</v>
      </c>
      <c r="H223" t="s">
        <v>74</v>
      </c>
      <c r="I223" t="s">
        <v>4127</v>
      </c>
      <c r="J223" t="s">
        <v>4128</v>
      </c>
      <c r="K223" t="s">
        <v>74</v>
      </c>
      <c r="L223" t="s">
        <v>74</v>
      </c>
      <c r="M223" t="s">
        <v>78</v>
      </c>
      <c r="N223" t="s">
        <v>79</v>
      </c>
      <c r="O223" t="s">
        <v>74</v>
      </c>
      <c r="P223" t="s">
        <v>74</v>
      </c>
      <c r="Q223" t="s">
        <v>74</v>
      </c>
      <c r="R223" t="s">
        <v>74</v>
      </c>
      <c r="S223" t="s">
        <v>74</v>
      </c>
      <c r="T223" t="s">
        <v>4129</v>
      </c>
      <c r="U223" t="s">
        <v>4130</v>
      </c>
      <c r="V223" t="s">
        <v>4131</v>
      </c>
      <c r="W223" t="s">
        <v>4132</v>
      </c>
      <c r="X223" t="s">
        <v>4133</v>
      </c>
      <c r="Y223" t="s">
        <v>4134</v>
      </c>
      <c r="Z223" t="s">
        <v>4135</v>
      </c>
      <c r="AA223" t="s">
        <v>74</v>
      </c>
      <c r="AB223" t="s">
        <v>74</v>
      </c>
      <c r="AC223" t="s">
        <v>74</v>
      </c>
      <c r="AD223" t="s">
        <v>74</v>
      </c>
      <c r="AE223" t="s">
        <v>74</v>
      </c>
      <c r="AF223" t="s">
        <v>74</v>
      </c>
      <c r="AG223">
        <v>54</v>
      </c>
      <c r="AH223">
        <v>0</v>
      </c>
      <c r="AI223">
        <v>0</v>
      </c>
      <c r="AJ223">
        <v>0</v>
      </c>
      <c r="AK223">
        <v>0</v>
      </c>
      <c r="AL223" t="s">
        <v>173</v>
      </c>
      <c r="AM223" t="s">
        <v>121</v>
      </c>
      <c r="AN223" t="s">
        <v>174</v>
      </c>
      <c r="AO223" t="s">
        <v>4136</v>
      </c>
      <c r="AP223" t="s">
        <v>4137</v>
      </c>
      <c r="AQ223" t="s">
        <v>74</v>
      </c>
      <c r="AR223" t="s">
        <v>4138</v>
      </c>
      <c r="AS223" t="s">
        <v>4139</v>
      </c>
      <c r="AT223" t="s">
        <v>2579</v>
      </c>
      <c r="AU223">
        <v>2023</v>
      </c>
      <c r="AV223">
        <v>206</v>
      </c>
      <c r="AW223" t="s">
        <v>74</v>
      </c>
      <c r="AX223" t="s">
        <v>74</v>
      </c>
      <c r="AY223" t="s">
        <v>74</v>
      </c>
      <c r="AZ223" t="s">
        <v>74</v>
      </c>
      <c r="BA223" t="s">
        <v>74</v>
      </c>
      <c r="BB223" t="s">
        <v>74</v>
      </c>
      <c r="BC223" t="s">
        <v>74</v>
      </c>
      <c r="BD223">
        <v>104908</v>
      </c>
      <c r="BE223" t="s">
        <v>4140</v>
      </c>
      <c r="BF223" t="str">
        <f>HYPERLINK("http://dx.doi.org/10.1016/j.compedu.2023.104908","http://dx.doi.org/10.1016/j.compedu.2023.104908")</f>
        <v>http://dx.doi.org/10.1016/j.compedu.2023.104908</v>
      </c>
      <c r="BG223" t="s">
        <v>74</v>
      </c>
      <c r="BH223" t="s">
        <v>74</v>
      </c>
      <c r="BI223">
        <v>24</v>
      </c>
      <c r="BJ223" t="s">
        <v>4141</v>
      </c>
      <c r="BK223" t="s">
        <v>666</v>
      </c>
      <c r="BL223" t="s">
        <v>4142</v>
      </c>
      <c r="BM223" t="s">
        <v>4143</v>
      </c>
      <c r="BN223" t="s">
        <v>74</v>
      </c>
      <c r="BO223" t="s">
        <v>4144</v>
      </c>
      <c r="BP223" t="s">
        <v>74</v>
      </c>
      <c r="BQ223" t="s">
        <v>74</v>
      </c>
      <c r="BR223" t="s">
        <v>104</v>
      </c>
      <c r="BS223" t="s">
        <v>4145</v>
      </c>
      <c r="BT223" t="str">
        <f>HYPERLINK("https%3A%2F%2Fwww.webofscience.com%2Fwos%2Fwoscc%2Ffull-record%2FWOS:001069952800001","View Full Record in Web of Science")</f>
        <v>View Full Record in Web of Science</v>
      </c>
    </row>
    <row r="224" spans="1:72" x14ac:dyDescent="0.15">
      <c r="A224" t="s">
        <v>72</v>
      </c>
      <c r="B224" t="s">
        <v>4146</v>
      </c>
      <c r="C224" t="s">
        <v>74</v>
      </c>
      <c r="D224" t="s">
        <v>74</v>
      </c>
      <c r="E224" t="s">
        <v>74</v>
      </c>
      <c r="F224" t="s">
        <v>4147</v>
      </c>
      <c r="G224" t="s">
        <v>74</v>
      </c>
      <c r="H224" t="s">
        <v>74</v>
      </c>
      <c r="I224" t="s">
        <v>4148</v>
      </c>
      <c r="J224" t="s">
        <v>3740</v>
      </c>
      <c r="K224" t="s">
        <v>74</v>
      </c>
      <c r="L224" t="s">
        <v>74</v>
      </c>
      <c r="M224" t="s">
        <v>78</v>
      </c>
      <c r="N224" t="s">
        <v>79</v>
      </c>
      <c r="O224" t="s">
        <v>74</v>
      </c>
      <c r="P224" t="s">
        <v>74</v>
      </c>
      <c r="Q224" t="s">
        <v>74</v>
      </c>
      <c r="R224" t="s">
        <v>74</v>
      </c>
      <c r="S224" t="s">
        <v>74</v>
      </c>
      <c r="T224" t="s">
        <v>4149</v>
      </c>
      <c r="U224" t="s">
        <v>74</v>
      </c>
      <c r="V224" t="s">
        <v>4150</v>
      </c>
      <c r="W224" t="s">
        <v>4151</v>
      </c>
      <c r="X224" t="s">
        <v>4152</v>
      </c>
      <c r="Y224" t="s">
        <v>4153</v>
      </c>
      <c r="Z224" t="s">
        <v>4154</v>
      </c>
      <c r="AA224" t="s">
        <v>74</v>
      </c>
      <c r="AB224" t="s">
        <v>74</v>
      </c>
      <c r="AC224" t="s">
        <v>74</v>
      </c>
      <c r="AD224" t="s">
        <v>74</v>
      </c>
      <c r="AE224" t="s">
        <v>74</v>
      </c>
      <c r="AF224" t="s">
        <v>74</v>
      </c>
      <c r="AG224">
        <v>70</v>
      </c>
      <c r="AH224">
        <v>0</v>
      </c>
      <c r="AI224">
        <v>0</v>
      </c>
      <c r="AJ224">
        <v>1</v>
      </c>
      <c r="AK224">
        <v>1</v>
      </c>
      <c r="AL224" t="s">
        <v>90</v>
      </c>
      <c r="AM224" t="s">
        <v>91</v>
      </c>
      <c r="AN224" t="s">
        <v>92</v>
      </c>
      <c r="AO224" t="s">
        <v>3751</v>
      </c>
      <c r="AP224" t="s">
        <v>3752</v>
      </c>
      <c r="AQ224" t="s">
        <v>74</v>
      </c>
      <c r="AR224" t="s">
        <v>3753</v>
      </c>
      <c r="AS224" t="s">
        <v>3754</v>
      </c>
      <c r="AT224" t="s">
        <v>2840</v>
      </c>
      <c r="AU224">
        <v>2023</v>
      </c>
      <c r="AV224">
        <v>252</v>
      </c>
      <c r="AW224" t="s">
        <v>74</v>
      </c>
      <c r="AX224" t="s">
        <v>74</v>
      </c>
      <c r="AY224" t="s">
        <v>74</v>
      </c>
      <c r="AZ224" t="s">
        <v>74</v>
      </c>
      <c r="BA224" t="s">
        <v>74</v>
      </c>
      <c r="BB224" t="s">
        <v>74</v>
      </c>
      <c r="BC224" t="s">
        <v>74</v>
      </c>
      <c r="BD224">
        <v>126457</v>
      </c>
      <c r="BE224" t="s">
        <v>4155</v>
      </c>
      <c r="BF224" t="str">
        <f>HYPERLINK("http://dx.doi.org/10.1016/j.ijbiomac.2023.126457","http://dx.doi.org/10.1016/j.ijbiomac.2023.126457")</f>
        <v>http://dx.doi.org/10.1016/j.ijbiomac.2023.126457</v>
      </c>
      <c r="BG224" t="s">
        <v>74</v>
      </c>
      <c r="BH224" t="s">
        <v>74</v>
      </c>
      <c r="BI224">
        <v>8</v>
      </c>
      <c r="BJ224" t="s">
        <v>3756</v>
      </c>
      <c r="BK224" t="s">
        <v>100</v>
      </c>
      <c r="BL224" t="s">
        <v>3757</v>
      </c>
      <c r="BM224" t="s">
        <v>4156</v>
      </c>
      <c r="BN224">
        <v>37611684</v>
      </c>
      <c r="BO224" t="s">
        <v>74</v>
      </c>
      <c r="BP224" t="s">
        <v>74</v>
      </c>
      <c r="BQ224" t="s">
        <v>74</v>
      </c>
      <c r="BR224" t="s">
        <v>104</v>
      </c>
      <c r="BS224" t="s">
        <v>4157</v>
      </c>
      <c r="BT224" t="str">
        <f>HYPERLINK("https%3A%2F%2Fwww.webofscience.com%2Fwos%2Fwoscc%2Ffull-record%2FWOS:001072094700001","View Full Record in Web of Science")</f>
        <v>View Full Record in Web of Science</v>
      </c>
    </row>
    <row r="225" spans="1:72" x14ac:dyDescent="0.15">
      <c r="A225" t="s">
        <v>72</v>
      </c>
      <c r="B225" t="s">
        <v>4158</v>
      </c>
      <c r="C225" t="s">
        <v>74</v>
      </c>
      <c r="D225" t="s">
        <v>74</v>
      </c>
      <c r="E225" t="s">
        <v>74</v>
      </c>
      <c r="F225" t="s">
        <v>4159</v>
      </c>
      <c r="G225" t="s">
        <v>74</v>
      </c>
      <c r="H225" t="s">
        <v>74</v>
      </c>
      <c r="I225" t="s">
        <v>4160</v>
      </c>
      <c r="J225" t="s">
        <v>1017</v>
      </c>
      <c r="K225" t="s">
        <v>74</v>
      </c>
      <c r="L225" t="s">
        <v>74</v>
      </c>
      <c r="M225" t="s">
        <v>78</v>
      </c>
      <c r="N225" t="s">
        <v>79</v>
      </c>
      <c r="O225" t="s">
        <v>74</v>
      </c>
      <c r="P225" t="s">
        <v>74</v>
      </c>
      <c r="Q225" t="s">
        <v>74</v>
      </c>
      <c r="R225" t="s">
        <v>74</v>
      </c>
      <c r="S225" t="s">
        <v>74</v>
      </c>
      <c r="T225" t="s">
        <v>4161</v>
      </c>
      <c r="U225" t="s">
        <v>4162</v>
      </c>
      <c r="V225" t="s">
        <v>4163</v>
      </c>
      <c r="W225" t="s">
        <v>4164</v>
      </c>
      <c r="X225" t="s">
        <v>4165</v>
      </c>
      <c r="Y225" t="s">
        <v>4166</v>
      </c>
      <c r="Z225" t="s">
        <v>4167</v>
      </c>
      <c r="AA225" t="s">
        <v>74</v>
      </c>
      <c r="AB225" t="s">
        <v>74</v>
      </c>
      <c r="AC225" t="s">
        <v>4168</v>
      </c>
      <c r="AD225" t="s">
        <v>4169</v>
      </c>
      <c r="AE225" t="s">
        <v>4170</v>
      </c>
      <c r="AF225" t="s">
        <v>74</v>
      </c>
      <c r="AG225">
        <v>32</v>
      </c>
      <c r="AH225">
        <v>0</v>
      </c>
      <c r="AI225">
        <v>0</v>
      </c>
      <c r="AJ225">
        <v>1</v>
      </c>
      <c r="AK225">
        <v>1</v>
      </c>
      <c r="AL225" t="s">
        <v>120</v>
      </c>
      <c r="AM225" t="s">
        <v>121</v>
      </c>
      <c r="AN225" t="s">
        <v>122</v>
      </c>
      <c r="AO225" t="s">
        <v>1029</v>
      </c>
      <c r="AP225" t="s">
        <v>1030</v>
      </c>
      <c r="AQ225" t="s">
        <v>74</v>
      </c>
      <c r="AR225" t="s">
        <v>1017</v>
      </c>
      <c r="AS225" t="s">
        <v>1031</v>
      </c>
      <c r="AT225" t="s">
        <v>2579</v>
      </c>
      <c r="AU225">
        <v>2023</v>
      </c>
      <c r="AV225">
        <v>154</v>
      </c>
      <c r="AW225" t="s">
        <v>74</v>
      </c>
      <c r="AX225" t="s">
        <v>74</v>
      </c>
      <c r="AY225" t="s">
        <v>74</v>
      </c>
      <c r="AZ225" t="s">
        <v>74</v>
      </c>
      <c r="BA225" t="s">
        <v>74</v>
      </c>
      <c r="BB225" t="s">
        <v>74</v>
      </c>
      <c r="BC225" t="s">
        <v>74</v>
      </c>
      <c r="BD225">
        <v>109979</v>
      </c>
      <c r="BE225" t="s">
        <v>4171</v>
      </c>
      <c r="BF225" t="str">
        <f>HYPERLINK("http://dx.doi.org/10.1016/j.foodcont.2023.109979","http://dx.doi.org/10.1016/j.foodcont.2023.109979")</f>
        <v>http://dx.doi.org/10.1016/j.foodcont.2023.109979</v>
      </c>
      <c r="BG225" t="s">
        <v>74</v>
      </c>
      <c r="BH225" t="s">
        <v>74</v>
      </c>
      <c r="BI225">
        <v>10</v>
      </c>
      <c r="BJ225" t="s">
        <v>1033</v>
      </c>
      <c r="BK225" t="s">
        <v>100</v>
      </c>
      <c r="BL225" t="s">
        <v>1033</v>
      </c>
      <c r="BM225" t="s">
        <v>4172</v>
      </c>
      <c r="BN225" t="s">
        <v>74</v>
      </c>
      <c r="BO225" t="s">
        <v>74</v>
      </c>
      <c r="BP225" t="s">
        <v>74</v>
      </c>
      <c r="BQ225" t="s">
        <v>74</v>
      </c>
      <c r="BR225" t="s">
        <v>104</v>
      </c>
      <c r="BS225" t="s">
        <v>4173</v>
      </c>
      <c r="BT225" t="str">
        <f>HYPERLINK("https%3A%2F%2Fwww.webofscience.com%2Fwos%2Fwoscc%2Ffull-record%2FWOS:001059621000001","View Full Record in Web of Science")</f>
        <v>View Full Record in Web of Science</v>
      </c>
    </row>
    <row r="226" spans="1:72" x14ac:dyDescent="0.15">
      <c r="A226" t="s">
        <v>72</v>
      </c>
      <c r="B226" t="s">
        <v>4174</v>
      </c>
      <c r="C226" t="s">
        <v>74</v>
      </c>
      <c r="D226" t="s">
        <v>74</v>
      </c>
      <c r="E226" t="s">
        <v>74</v>
      </c>
      <c r="F226" t="s">
        <v>4175</v>
      </c>
      <c r="G226" t="s">
        <v>74</v>
      </c>
      <c r="H226" t="s">
        <v>74</v>
      </c>
      <c r="I226" t="s">
        <v>4176</v>
      </c>
      <c r="J226" t="s">
        <v>4177</v>
      </c>
      <c r="K226" t="s">
        <v>74</v>
      </c>
      <c r="L226" t="s">
        <v>74</v>
      </c>
      <c r="M226" t="s">
        <v>78</v>
      </c>
      <c r="N226" t="s">
        <v>79</v>
      </c>
      <c r="O226" t="s">
        <v>74</v>
      </c>
      <c r="P226" t="s">
        <v>74</v>
      </c>
      <c r="Q226" t="s">
        <v>74</v>
      </c>
      <c r="R226" t="s">
        <v>74</v>
      </c>
      <c r="S226" t="s">
        <v>74</v>
      </c>
      <c r="T226" t="s">
        <v>4178</v>
      </c>
      <c r="U226" t="s">
        <v>4179</v>
      </c>
      <c r="V226" t="s">
        <v>4180</v>
      </c>
      <c r="W226" t="s">
        <v>4181</v>
      </c>
      <c r="X226" t="s">
        <v>74</v>
      </c>
      <c r="Y226" t="s">
        <v>4182</v>
      </c>
      <c r="Z226" t="s">
        <v>4183</v>
      </c>
      <c r="AA226" t="s">
        <v>74</v>
      </c>
      <c r="AB226" t="s">
        <v>74</v>
      </c>
      <c r="AC226" t="s">
        <v>74</v>
      </c>
      <c r="AD226" t="s">
        <v>74</v>
      </c>
      <c r="AE226" t="s">
        <v>74</v>
      </c>
      <c r="AF226" t="s">
        <v>74</v>
      </c>
      <c r="AG226">
        <v>29</v>
      </c>
      <c r="AH226">
        <v>0</v>
      </c>
      <c r="AI226">
        <v>0</v>
      </c>
      <c r="AJ226">
        <v>1</v>
      </c>
      <c r="AK226">
        <v>1</v>
      </c>
      <c r="AL226" t="s">
        <v>90</v>
      </c>
      <c r="AM226" t="s">
        <v>91</v>
      </c>
      <c r="AN226" t="s">
        <v>92</v>
      </c>
      <c r="AO226" t="s">
        <v>74</v>
      </c>
      <c r="AP226" t="s">
        <v>4184</v>
      </c>
      <c r="AQ226" t="s">
        <v>74</v>
      </c>
      <c r="AR226" t="s">
        <v>4185</v>
      </c>
      <c r="AS226" t="s">
        <v>4186</v>
      </c>
      <c r="AT226" t="s">
        <v>2579</v>
      </c>
      <c r="AU226">
        <v>2023</v>
      </c>
      <c r="AV226">
        <v>34</v>
      </c>
      <c r="AW226" t="s">
        <v>74</v>
      </c>
      <c r="AX226" t="s">
        <v>74</v>
      </c>
      <c r="AY226" t="s">
        <v>74</v>
      </c>
      <c r="AZ226" t="s">
        <v>74</v>
      </c>
      <c r="BA226" t="s">
        <v>74</v>
      </c>
      <c r="BB226" t="s">
        <v>74</v>
      </c>
      <c r="BC226" t="s">
        <v>74</v>
      </c>
      <c r="BD226">
        <v>101810</v>
      </c>
      <c r="BE226" t="s">
        <v>4187</v>
      </c>
      <c r="BF226" t="str">
        <f>HYPERLINK("http://dx.doi.org/10.1016/j.inat.2023.101810","http://dx.doi.org/10.1016/j.inat.2023.101810")</f>
        <v>http://dx.doi.org/10.1016/j.inat.2023.101810</v>
      </c>
      <c r="BG226" t="s">
        <v>74</v>
      </c>
      <c r="BH226" t="s">
        <v>74</v>
      </c>
      <c r="BI226">
        <v>6</v>
      </c>
      <c r="BJ226" t="s">
        <v>4188</v>
      </c>
      <c r="BK226" t="s">
        <v>1850</v>
      </c>
      <c r="BL226" t="s">
        <v>4189</v>
      </c>
      <c r="BM226" t="s">
        <v>4190</v>
      </c>
      <c r="BN226" t="s">
        <v>74</v>
      </c>
      <c r="BO226" t="s">
        <v>295</v>
      </c>
      <c r="BP226" t="s">
        <v>74</v>
      </c>
      <c r="BQ226" t="s">
        <v>74</v>
      </c>
      <c r="BR226" t="s">
        <v>104</v>
      </c>
      <c r="BS226" t="s">
        <v>4191</v>
      </c>
      <c r="BT226" t="str">
        <f>HYPERLINK("https%3A%2F%2Fwww.webofscience.com%2Fwos%2Fwoscc%2Ffull-record%2FWOS:001059964200001","View Full Record in Web of Science")</f>
        <v>View Full Record in Web of Science</v>
      </c>
    </row>
    <row r="227" spans="1:72" x14ac:dyDescent="0.15">
      <c r="A227" t="s">
        <v>72</v>
      </c>
      <c r="B227" t="s">
        <v>4192</v>
      </c>
      <c r="C227" t="s">
        <v>74</v>
      </c>
      <c r="D227" t="s">
        <v>74</v>
      </c>
      <c r="E227" t="s">
        <v>74</v>
      </c>
      <c r="F227" t="s">
        <v>4193</v>
      </c>
      <c r="G227" t="s">
        <v>74</v>
      </c>
      <c r="H227" t="s">
        <v>74</v>
      </c>
      <c r="I227" t="s">
        <v>4194</v>
      </c>
      <c r="J227" t="s">
        <v>4195</v>
      </c>
      <c r="K227" t="s">
        <v>74</v>
      </c>
      <c r="L227" t="s">
        <v>74</v>
      </c>
      <c r="M227" t="s">
        <v>78</v>
      </c>
      <c r="N227" t="s">
        <v>79</v>
      </c>
      <c r="O227" t="s">
        <v>74</v>
      </c>
      <c r="P227" t="s">
        <v>74</v>
      </c>
      <c r="Q227" t="s">
        <v>74</v>
      </c>
      <c r="R227" t="s">
        <v>74</v>
      </c>
      <c r="S227" t="s">
        <v>74</v>
      </c>
      <c r="T227" t="s">
        <v>4196</v>
      </c>
      <c r="U227" t="s">
        <v>4197</v>
      </c>
      <c r="V227" t="s">
        <v>4198</v>
      </c>
      <c r="W227" t="s">
        <v>4199</v>
      </c>
      <c r="X227" t="s">
        <v>4200</v>
      </c>
      <c r="Y227" t="s">
        <v>4201</v>
      </c>
      <c r="Z227" t="s">
        <v>4202</v>
      </c>
      <c r="AA227" t="s">
        <v>74</v>
      </c>
      <c r="AB227" t="s">
        <v>4203</v>
      </c>
      <c r="AC227" t="s">
        <v>4204</v>
      </c>
      <c r="AD227" t="s">
        <v>4205</v>
      </c>
      <c r="AE227" t="s">
        <v>4206</v>
      </c>
      <c r="AF227" t="s">
        <v>74</v>
      </c>
      <c r="AG227">
        <v>61</v>
      </c>
      <c r="AH227">
        <v>0</v>
      </c>
      <c r="AI227">
        <v>0</v>
      </c>
      <c r="AJ227">
        <v>0</v>
      </c>
      <c r="AK227">
        <v>0</v>
      </c>
      <c r="AL227" t="s">
        <v>475</v>
      </c>
      <c r="AM227" t="s">
        <v>476</v>
      </c>
      <c r="AN227" t="s">
        <v>477</v>
      </c>
      <c r="AO227" t="s">
        <v>4207</v>
      </c>
      <c r="AP227" t="s">
        <v>4208</v>
      </c>
      <c r="AQ227" t="s">
        <v>74</v>
      </c>
      <c r="AR227" t="s">
        <v>4195</v>
      </c>
      <c r="AS227" t="s">
        <v>4209</v>
      </c>
      <c r="AT227" t="s">
        <v>2579</v>
      </c>
      <c r="AU227">
        <v>2023</v>
      </c>
      <c r="AV227">
        <v>113</v>
      </c>
      <c r="AW227" t="s">
        <v>74</v>
      </c>
      <c r="AX227" t="s">
        <v>74</v>
      </c>
      <c r="AY227" t="s">
        <v>74</v>
      </c>
      <c r="AZ227" t="s">
        <v>74</v>
      </c>
      <c r="BA227" t="s">
        <v>74</v>
      </c>
      <c r="BB227" t="s">
        <v>74</v>
      </c>
      <c r="BC227" t="s">
        <v>74</v>
      </c>
      <c r="BD227">
        <v>104564</v>
      </c>
      <c r="BE227" t="s">
        <v>4210</v>
      </c>
      <c r="BF227" t="str">
        <f>HYPERLINK("http://dx.doi.org/10.1016/j.cryobiol.2023.104564","http://dx.doi.org/10.1016/j.cryobiol.2023.104564")</f>
        <v>http://dx.doi.org/10.1016/j.cryobiol.2023.104564</v>
      </c>
      <c r="BG227" t="s">
        <v>74</v>
      </c>
      <c r="BH227" t="s">
        <v>74</v>
      </c>
      <c r="BI227">
        <v>9</v>
      </c>
      <c r="BJ227" t="s">
        <v>4211</v>
      </c>
      <c r="BK227" t="s">
        <v>100</v>
      </c>
      <c r="BL227" t="s">
        <v>4212</v>
      </c>
      <c r="BM227" t="s">
        <v>4213</v>
      </c>
      <c r="BN227">
        <v>37541564</v>
      </c>
      <c r="BO227" t="s">
        <v>74</v>
      </c>
      <c r="BP227" t="s">
        <v>74</v>
      </c>
      <c r="BQ227" t="s">
        <v>74</v>
      </c>
      <c r="BR227" t="s">
        <v>104</v>
      </c>
      <c r="BS227" t="s">
        <v>4214</v>
      </c>
      <c r="BT227" t="str">
        <f>HYPERLINK("https%3A%2F%2Fwww.webofscience.com%2Fwos%2Fwoscc%2Ffull-record%2FWOS:001070384800001","View Full Record in Web of Science")</f>
        <v>View Full Record in Web of Science</v>
      </c>
    </row>
    <row r="228" spans="1:72" x14ac:dyDescent="0.15">
      <c r="A228" t="s">
        <v>72</v>
      </c>
      <c r="B228" t="s">
        <v>4215</v>
      </c>
      <c r="C228" t="s">
        <v>74</v>
      </c>
      <c r="D228" t="s">
        <v>74</v>
      </c>
      <c r="E228" t="s">
        <v>74</v>
      </c>
      <c r="F228" t="s">
        <v>4216</v>
      </c>
      <c r="G228" t="s">
        <v>74</v>
      </c>
      <c r="H228" t="s">
        <v>74</v>
      </c>
      <c r="I228" t="s">
        <v>4217</v>
      </c>
      <c r="J228" t="s">
        <v>2631</v>
      </c>
      <c r="K228" t="s">
        <v>74</v>
      </c>
      <c r="L228" t="s">
        <v>74</v>
      </c>
      <c r="M228" t="s">
        <v>78</v>
      </c>
      <c r="N228" t="s">
        <v>79</v>
      </c>
      <c r="O228" t="s">
        <v>74</v>
      </c>
      <c r="P228" t="s">
        <v>74</v>
      </c>
      <c r="Q228" t="s">
        <v>74</v>
      </c>
      <c r="R228" t="s">
        <v>74</v>
      </c>
      <c r="S228" t="s">
        <v>74</v>
      </c>
      <c r="T228" t="s">
        <v>4218</v>
      </c>
      <c r="U228" t="s">
        <v>4219</v>
      </c>
      <c r="V228" t="s">
        <v>4220</v>
      </c>
      <c r="W228" t="s">
        <v>4221</v>
      </c>
      <c r="X228" t="s">
        <v>74</v>
      </c>
      <c r="Y228" t="s">
        <v>4222</v>
      </c>
      <c r="Z228" t="s">
        <v>4223</v>
      </c>
      <c r="AA228" t="s">
        <v>74</v>
      </c>
      <c r="AB228" t="s">
        <v>74</v>
      </c>
      <c r="AC228" t="s">
        <v>74</v>
      </c>
      <c r="AD228" t="s">
        <v>74</v>
      </c>
      <c r="AE228" t="s">
        <v>74</v>
      </c>
      <c r="AF228" t="s">
        <v>74</v>
      </c>
      <c r="AG228">
        <v>25</v>
      </c>
      <c r="AH228">
        <v>0</v>
      </c>
      <c r="AI228">
        <v>0</v>
      </c>
      <c r="AJ228">
        <v>2</v>
      </c>
      <c r="AK228">
        <v>2</v>
      </c>
      <c r="AL228" t="s">
        <v>90</v>
      </c>
      <c r="AM228" t="s">
        <v>91</v>
      </c>
      <c r="AN228" t="s">
        <v>92</v>
      </c>
      <c r="AO228" t="s">
        <v>2643</v>
      </c>
      <c r="AP228" t="s">
        <v>74</v>
      </c>
      <c r="AQ228" t="s">
        <v>74</v>
      </c>
      <c r="AR228" t="s">
        <v>2644</v>
      </c>
      <c r="AS228" t="s">
        <v>2645</v>
      </c>
      <c r="AT228" t="s">
        <v>2579</v>
      </c>
      <c r="AU228">
        <v>2023</v>
      </c>
      <c r="AV228">
        <v>19</v>
      </c>
      <c r="AW228" t="s">
        <v>74</v>
      </c>
      <c r="AX228" t="s">
        <v>74</v>
      </c>
      <c r="AY228" t="s">
        <v>74</v>
      </c>
      <c r="AZ228" t="s">
        <v>74</v>
      </c>
      <c r="BA228" t="s">
        <v>74</v>
      </c>
      <c r="BB228" t="s">
        <v>74</v>
      </c>
      <c r="BC228" t="s">
        <v>74</v>
      </c>
      <c r="BD228" t="s">
        <v>4224</v>
      </c>
      <c r="BE228" t="s">
        <v>4225</v>
      </c>
      <c r="BF228" t="str">
        <f>HYPERLINK("http://dx.doi.org/10.1016/j.cscm.2023.e02389","http://dx.doi.org/10.1016/j.cscm.2023.e02389")</f>
        <v>http://dx.doi.org/10.1016/j.cscm.2023.e02389</v>
      </c>
      <c r="BG228" t="s">
        <v>74</v>
      </c>
      <c r="BH228" t="s">
        <v>74</v>
      </c>
      <c r="BI228">
        <v>14</v>
      </c>
      <c r="BJ228" t="s">
        <v>2648</v>
      </c>
      <c r="BK228" t="s">
        <v>100</v>
      </c>
      <c r="BL228" t="s">
        <v>2649</v>
      </c>
      <c r="BM228" t="s">
        <v>4226</v>
      </c>
      <c r="BN228" t="s">
        <v>74</v>
      </c>
      <c r="BO228" t="s">
        <v>295</v>
      </c>
      <c r="BP228" t="s">
        <v>74</v>
      </c>
      <c r="BQ228" t="s">
        <v>74</v>
      </c>
      <c r="BR228" t="s">
        <v>104</v>
      </c>
      <c r="BS228" t="s">
        <v>4227</v>
      </c>
      <c r="BT228" t="str">
        <f>HYPERLINK("https%3A%2F%2Fwww.webofscience.com%2Fwos%2Fwoscc%2Ffull-record%2FWOS:001058428600001","View Full Record in Web of Science")</f>
        <v>View Full Record in Web of Science</v>
      </c>
    </row>
    <row r="229" spans="1:72" x14ac:dyDescent="0.15">
      <c r="A229" t="s">
        <v>72</v>
      </c>
      <c r="B229" t="s">
        <v>4228</v>
      </c>
      <c r="C229" t="s">
        <v>74</v>
      </c>
      <c r="D229" t="s">
        <v>74</v>
      </c>
      <c r="E229" t="s">
        <v>74</v>
      </c>
      <c r="F229" t="s">
        <v>4229</v>
      </c>
      <c r="G229" t="s">
        <v>74</v>
      </c>
      <c r="H229" t="s">
        <v>74</v>
      </c>
      <c r="I229" t="s">
        <v>4230</v>
      </c>
      <c r="J229" t="s">
        <v>2730</v>
      </c>
      <c r="K229" t="s">
        <v>74</v>
      </c>
      <c r="L229" t="s">
        <v>74</v>
      </c>
      <c r="M229" t="s">
        <v>78</v>
      </c>
      <c r="N229" t="s">
        <v>79</v>
      </c>
      <c r="O229" t="s">
        <v>74</v>
      </c>
      <c r="P229" t="s">
        <v>74</v>
      </c>
      <c r="Q229" t="s">
        <v>74</v>
      </c>
      <c r="R229" t="s">
        <v>74</v>
      </c>
      <c r="S229" t="s">
        <v>74</v>
      </c>
      <c r="T229" t="s">
        <v>4231</v>
      </c>
      <c r="U229" t="s">
        <v>4232</v>
      </c>
      <c r="V229" t="s">
        <v>4233</v>
      </c>
      <c r="W229" t="s">
        <v>4234</v>
      </c>
      <c r="X229" t="s">
        <v>4235</v>
      </c>
      <c r="Y229" t="s">
        <v>4236</v>
      </c>
      <c r="Z229" t="s">
        <v>4237</v>
      </c>
      <c r="AA229" t="s">
        <v>74</v>
      </c>
      <c r="AB229" t="s">
        <v>74</v>
      </c>
      <c r="AC229" t="s">
        <v>4238</v>
      </c>
      <c r="AD229" t="s">
        <v>4239</v>
      </c>
      <c r="AE229" t="s">
        <v>4240</v>
      </c>
      <c r="AF229" t="s">
        <v>74</v>
      </c>
      <c r="AG229">
        <v>45</v>
      </c>
      <c r="AH229">
        <v>0</v>
      </c>
      <c r="AI229">
        <v>0</v>
      </c>
      <c r="AJ229">
        <v>1</v>
      </c>
      <c r="AK229">
        <v>1</v>
      </c>
      <c r="AL229" t="s">
        <v>90</v>
      </c>
      <c r="AM229" t="s">
        <v>91</v>
      </c>
      <c r="AN229" t="s">
        <v>92</v>
      </c>
      <c r="AO229" t="s">
        <v>2743</v>
      </c>
      <c r="AP229" t="s">
        <v>2744</v>
      </c>
      <c r="AQ229" t="s">
        <v>74</v>
      </c>
      <c r="AR229" t="s">
        <v>2745</v>
      </c>
      <c r="AS229" t="s">
        <v>2746</v>
      </c>
      <c r="AT229" t="s">
        <v>2579</v>
      </c>
      <c r="AU229">
        <v>2023</v>
      </c>
      <c r="AV229">
        <v>124</v>
      </c>
      <c r="AW229" t="s">
        <v>74</v>
      </c>
      <c r="AX229" t="s">
        <v>74</v>
      </c>
      <c r="AY229" t="s">
        <v>74</v>
      </c>
      <c r="AZ229" t="s">
        <v>74</v>
      </c>
      <c r="BA229" t="s">
        <v>74</v>
      </c>
      <c r="BB229">
        <v>339</v>
      </c>
      <c r="BC229">
        <v>350</v>
      </c>
      <c r="BD229" t="s">
        <v>74</v>
      </c>
      <c r="BE229" t="s">
        <v>4241</v>
      </c>
      <c r="BF229" t="str">
        <f>HYPERLINK("http://dx.doi.org/10.1016/j.gr.2023.07.014","http://dx.doi.org/10.1016/j.gr.2023.07.014")</f>
        <v>http://dx.doi.org/10.1016/j.gr.2023.07.014</v>
      </c>
      <c r="BG229" t="s">
        <v>74</v>
      </c>
      <c r="BH229" t="s">
        <v>74</v>
      </c>
      <c r="BI229">
        <v>12</v>
      </c>
      <c r="BJ229" t="s">
        <v>2748</v>
      </c>
      <c r="BK229" t="s">
        <v>100</v>
      </c>
      <c r="BL229" t="s">
        <v>2749</v>
      </c>
      <c r="BM229" t="s">
        <v>4242</v>
      </c>
      <c r="BN229" t="s">
        <v>74</v>
      </c>
      <c r="BO229" t="s">
        <v>74</v>
      </c>
      <c r="BP229" t="s">
        <v>74</v>
      </c>
      <c r="BQ229" t="s">
        <v>74</v>
      </c>
      <c r="BR229" t="s">
        <v>104</v>
      </c>
      <c r="BS229" t="s">
        <v>4243</v>
      </c>
      <c r="BT229" t="str">
        <f>HYPERLINK("https%3A%2F%2Fwww.webofscience.com%2Fwos%2Fwoscc%2Ffull-record%2FWOS:001059408000001","View Full Record in Web of Science")</f>
        <v>View Full Record in Web of Science</v>
      </c>
    </row>
    <row r="230" spans="1:72" x14ac:dyDescent="0.15">
      <c r="A230" t="s">
        <v>72</v>
      </c>
      <c r="B230" t="s">
        <v>4244</v>
      </c>
      <c r="C230" t="s">
        <v>74</v>
      </c>
      <c r="D230" t="s">
        <v>74</v>
      </c>
      <c r="E230" t="s">
        <v>74</v>
      </c>
      <c r="F230" t="s">
        <v>4245</v>
      </c>
      <c r="G230" t="s">
        <v>74</v>
      </c>
      <c r="H230" t="s">
        <v>74</v>
      </c>
      <c r="I230" t="s">
        <v>4246</v>
      </c>
      <c r="J230" t="s">
        <v>162</v>
      </c>
      <c r="K230" t="s">
        <v>74</v>
      </c>
      <c r="L230" t="s">
        <v>74</v>
      </c>
      <c r="M230" t="s">
        <v>78</v>
      </c>
      <c r="N230" t="s">
        <v>79</v>
      </c>
      <c r="O230" t="s">
        <v>74</v>
      </c>
      <c r="P230" t="s">
        <v>74</v>
      </c>
      <c r="Q230" t="s">
        <v>74</v>
      </c>
      <c r="R230" t="s">
        <v>74</v>
      </c>
      <c r="S230" t="s">
        <v>74</v>
      </c>
      <c r="T230" t="s">
        <v>4247</v>
      </c>
      <c r="U230" t="s">
        <v>4248</v>
      </c>
      <c r="V230" t="s">
        <v>4249</v>
      </c>
      <c r="W230" t="s">
        <v>4250</v>
      </c>
      <c r="X230" t="s">
        <v>4251</v>
      </c>
      <c r="Y230" t="s">
        <v>4252</v>
      </c>
      <c r="Z230" t="s">
        <v>4253</v>
      </c>
      <c r="AA230" t="s">
        <v>74</v>
      </c>
      <c r="AB230" t="s">
        <v>74</v>
      </c>
      <c r="AC230" t="s">
        <v>4254</v>
      </c>
      <c r="AD230" t="s">
        <v>4255</v>
      </c>
      <c r="AE230" t="s">
        <v>4256</v>
      </c>
      <c r="AF230" t="s">
        <v>74</v>
      </c>
      <c r="AG230">
        <v>35</v>
      </c>
      <c r="AH230">
        <v>0</v>
      </c>
      <c r="AI230">
        <v>0</v>
      </c>
      <c r="AJ230">
        <v>4</v>
      </c>
      <c r="AK230">
        <v>4</v>
      </c>
      <c r="AL230" t="s">
        <v>173</v>
      </c>
      <c r="AM230" t="s">
        <v>121</v>
      </c>
      <c r="AN230" t="s">
        <v>174</v>
      </c>
      <c r="AO230" t="s">
        <v>175</v>
      </c>
      <c r="AP230" t="s">
        <v>176</v>
      </c>
      <c r="AQ230" t="s">
        <v>74</v>
      </c>
      <c r="AR230" t="s">
        <v>177</v>
      </c>
      <c r="AS230" t="s">
        <v>178</v>
      </c>
      <c r="AT230" t="s">
        <v>2840</v>
      </c>
      <c r="AU230">
        <v>2023</v>
      </c>
      <c r="AV230">
        <v>232</v>
      </c>
      <c r="AW230" t="s">
        <v>74</v>
      </c>
      <c r="AX230" t="s">
        <v>74</v>
      </c>
      <c r="AY230" t="s">
        <v>74</v>
      </c>
      <c r="AZ230" t="s">
        <v>74</v>
      </c>
      <c r="BA230" t="s">
        <v>74</v>
      </c>
      <c r="BB230" t="s">
        <v>74</v>
      </c>
      <c r="BC230" t="s">
        <v>74</v>
      </c>
      <c r="BD230">
        <v>120710</v>
      </c>
      <c r="BE230" t="s">
        <v>4257</v>
      </c>
      <c r="BF230" t="str">
        <f>HYPERLINK("http://dx.doi.org/10.1016/j.eswa.2023.120710","http://dx.doi.org/10.1016/j.eswa.2023.120710")</f>
        <v>http://dx.doi.org/10.1016/j.eswa.2023.120710</v>
      </c>
      <c r="BG230" t="s">
        <v>74</v>
      </c>
      <c r="BH230" t="s">
        <v>74</v>
      </c>
      <c r="BI230">
        <v>8</v>
      </c>
      <c r="BJ230" t="s">
        <v>180</v>
      </c>
      <c r="BK230" t="s">
        <v>100</v>
      </c>
      <c r="BL230" t="s">
        <v>181</v>
      </c>
      <c r="BM230" t="s">
        <v>4258</v>
      </c>
      <c r="BN230" t="s">
        <v>74</v>
      </c>
      <c r="BO230" t="s">
        <v>74</v>
      </c>
      <c r="BP230" t="s">
        <v>74</v>
      </c>
      <c r="BQ230" t="s">
        <v>74</v>
      </c>
      <c r="BR230" t="s">
        <v>104</v>
      </c>
      <c r="BS230" t="s">
        <v>4259</v>
      </c>
      <c r="BT230" t="str">
        <f>HYPERLINK("https%3A%2F%2Fwww.webofscience.com%2Fwos%2Fwoscc%2Ffull-record%2FWOS:001058356700001","View Full Record in Web of Science")</f>
        <v>View Full Record in Web of Science</v>
      </c>
    </row>
    <row r="231" spans="1:72" x14ac:dyDescent="0.15">
      <c r="A231" t="s">
        <v>72</v>
      </c>
      <c r="B231" t="s">
        <v>4260</v>
      </c>
      <c r="C231" t="s">
        <v>74</v>
      </c>
      <c r="D231" t="s">
        <v>74</v>
      </c>
      <c r="E231" t="s">
        <v>74</v>
      </c>
      <c r="F231" t="s">
        <v>4261</v>
      </c>
      <c r="G231" t="s">
        <v>74</v>
      </c>
      <c r="H231" t="s">
        <v>74</v>
      </c>
      <c r="I231" t="s">
        <v>4262</v>
      </c>
      <c r="J231" t="s">
        <v>1950</v>
      </c>
      <c r="K231" t="s">
        <v>74</v>
      </c>
      <c r="L231" t="s">
        <v>74</v>
      </c>
      <c r="M231" t="s">
        <v>78</v>
      </c>
      <c r="N231" t="s">
        <v>79</v>
      </c>
      <c r="O231" t="s">
        <v>74</v>
      </c>
      <c r="P231" t="s">
        <v>74</v>
      </c>
      <c r="Q231" t="s">
        <v>74</v>
      </c>
      <c r="R231" t="s">
        <v>74</v>
      </c>
      <c r="S231" t="s">
        <v>74</v>
      </c>
      <c r="T231" t="s">
        <v>4263</v>
      </c>
      <c r="U231" t="s">
        <v>4264</v>
      </c>
      <c r="V231" t="s">
        <v>4265</v>
      </c>
      <c r="W231" t="s">
        <v>4266</v>
      </c>
      <c r="X231" t="s">
        <v>4267</v>
      </c>
      <c r="Y231" t="s">
        <v>4268</v>
      </c>
      <c r="Z231" t="s">
        <v>4269</v>
      </c>
      <c r="AA231" t="s">
        <v>4270</v>
      </c>
      <c r="AB231" t="s">
        <v>4271</v>
      </c>
      <c r="AC231" t="s">
        <v>4272</v>
      </c>
      <c r="AD231" t="s">
        <v>4273</v>
      </c>
      <c r="AE231" t="s">
        <v>4274</v>
      </c>
      <c r="AF231" t="s">
        <v>74</v>
      </c>
      <c r="AG231">
        <v>65</v>
      </c>
      <c r="AH231">
        <v>0</v>
      </c>
      <c r="AI231">
        <v>0</v>
      </c>
      <c r="AJ231">
        <v>7</v>
      </c>
      <c r="AK231">
        <v>7</v>
      </c>
      <c r="AL231" t="s">
        <v>173</v>
      </c>
      <c r="AM231" t="s">
        <v>121</v>
      </c>
      <c r="AN231" t="s">
        <v>174</v>
      </c>
      <c r="AO231" t="s">
        <v>1963</v>
      </c>
      <c r="AP231" t="s">
        <v>1964</v>
      </c>
      <c r="AQ231" t="s">
        <v>74</v>
      </c>
      <c r="AR231" t="s">
        <v>1950</v>
      </c>
      <c r="AS231" t="s">
        <v>1965</v>
      </c>
      <c r="AT231" t="s">
        <v>2840</v>
      </c>
      <c r="AU231">
        <v>2023</v>
      </c>
      <c r="AV231">
        <v>284</v>
      </c>
      <c r="AW231" t="s">
        <v>74</v>
      </c>
      <c r="AX231" t="s">
        <v>74</v>
      </c>
      <c r="AY231" t="s">
        <v>74</v>
      </c>
      <c r="AZ231" t="s">
        <v>74</v>
      </c>
      <c r="BA231" t="s">
        <v>74</v>
      </c>
      <c r="BB231" t="s">
        <v>74</v>
      </c>
      <c r="BC231" t="s">
        <v>74</v>
      </c>
      <c r="BD231">
        <v>128703</v>
      </c>
      <c r="BE231" t="s">
        <v>4275</v>
      </c>
      <c r="BF231" t="str">
        <f>HYPERLINK("http://dx.doi.org/10.1016/j.energy.2023.128703","http://dx.doi.org/10.1016/j.energy.2023.128703")</f>
        <v>http://dx.doi.org/10.1016/j.energy.2023.128703</v>
      </c>
      <c r="BG231" t="s">
        <v>74</v>
      </c>
      <c r="BH231" t="s">
        <v>74</v>
      </c>
      <c r="BI231">
        <v>13</v>
      </c>
      <c r="BJ231" t="s">
        <v>1967</v>
      </c>
      <c r="BK231" t="s">
        <v>100</v>
      </c>
      <c r="BL231" t="s">
        <v>1967</v>
      </c>
      <c r="BM231" t="s">
        <v>4276</v>
      </c>
      <c r="BN231" t="s">
        <v>74</v>
      </c>
      <c r="BO231" t="s">
        <v>295</v>
      </c>
      <c r="BP231" t="s">
        <v>74</v>
      </c>
      <c r="BQ231" t="s">
        <v>74</v>
      </c>
      <c r="BR231" t="s">
        <v>104</v>
      </c>
      <c r="BS231" t="s">
        <v>4277</v>
      </c>
      <c r="BT231" t="str">
        <f>HYPERLINK("https%3A%2F%2Fwww.webofscience.com%2Fwos%2Fwoscc%2Ffull-record%2FWOS:001055797100001","View Full Record in Web of Science")</f>
        <v>View Full Record in Web of Science</v>
      </c>
    </row>
    <row r="232" spans="1:72" x14ac:dyDescent="0.15">
      <c r="A232" t="s">
        <v>72</v>
      </c>
      <c r="B232" t="s">
        <v>4278</v>
      </c>
      <c r="C232" t="s">
        <v>74</v>
      </c>
      <c r="D232" t="s">
        <v>74</v>
      </c>
      <c r="E232" t="s">
        <v>74</v>
      </c>
      <c r="F232" t="s">
        <v>4279</v>
      </c>
      <c r="G232" t="s">
        <v>74</v>
      </c>
      <c r="H232" t="s">
        <v>74</v>
      </c>
      <c r="I232" t="s">
        <v>4280</v>
      </c>
      <c r="J232" t="s">
        <v>3100</v>
      </c>
      <c r="K232" t="s">
        <v>74</v>
      </c>
      <c r="L232" t="s">
        <v>74</v>
      </c>
      <c r="M232" t="s">
        <v>78</v>
      </c>
      <c r="N232" t="s">
        <v>79</v>
      </c>
      <c r="O232" t="s">
        <v>74</v>
      </c>
      <c r="P232" t="s">
        <v>74</v>
      </c>
      <c r="Q232" t="s">
        <v>74</v>
      </c>
      <c r="R232" t="s">
        <v>74</v>
      </c>
      <c r="S232" t="s">
        <v>74</v>
      </c>
      <c r="T232" t="s">
        <v>4281</v>
      </c>
      <c r="U232" t="s">
        <v>4282</v>
      </c>
      <c r="V232" t="s">
        <v>4283</v>
      </c>
      <c r="W232" t="s">
        <v>4284</v>
      </c>
      <c r="X232" t="s">
        <v>4285</v>
      </c>
      <c r="Y232" t="s">
        <v>4286</v>
      </c>
      <c r="Z232" t="s">
        <v>4287</v>
      </c>
      <c r="AA232" t="s">
        <v>4288</v>
      </c>
      <c r="AB232" t="s">
        <v>4289</v>
      </c>
      <c r="AC232" t="s">
        <v>4290</v>
      </c>
      <c r="AD232" t="s">
        <v>753</v>
      </c>
      <c r="AE232" t="s">
        <v>4291</v>
      </c>
      <c r="AF232" t="s">
        <v>74</v>
      </c>
      <c r="AG232">
        <v>42</v>
      </c>
      <c r="AH232">
        <v>0</v>
      </c>
      <c r="AI232">
        <v>0</v>
      </c>
      <c r="AJ232">
        <v>1</v>
      </c>
      <c r="AK232">
        <v>1</v>
      </c>
      <c r="AL232" t="s">
        <v>90</v>
      </c>
      <c r="AM232" t="s">
        <v>91</v>
      </c>
      <c r="AN232" t="s">
        <v>92</v>
      </c>
      <c r="AO232" t="s">
        <v>3109</v>
      </c>
      <c r="AP232" t="s">
        <v>3110</v>
      </c>
      <c r="AQ232" t="s">
        <v>74</v>
      </c>
      <c r="AR232" t="s">
        <v>3111</v>
      </c>
      <c r="AS232" t="s">
        <v>3112</v>
      </c>
      <c r="AT232" t="s">
        <v>2579</v>
      </c>
      <c r="AU232">
        <v>2023</v>
      </c>
      <c r="AV232">
        <v>149</v>
      </c>
      <c r="AW232" t="s">
        <v>74</v>
      </c>
      <c r="AX232" t="s">
        <v>74</v>
      </c>
      <c r="AY232" t="s">
        <v>74</v>
      </c>
      <c r="AZ232" t="s">
        <v>74</v>
      </c>
      <c r="BA232" t="s">
        <v>74</v>
      </c>
      <c r="BB232">
        <v>294</v>
      </c>
      <c r="BC232">
        <v>303</v>
      </c>
      <c r="BD232" t="s">
        <v>74</v>
      </c>
      <c r="BE232" t="s">
        <v>4292</v>
      </c>
      <c r="BF232" t="str">
        <f>HYPERLINK("http://dx.doi.org/10.1016/j.future.2023.07.016","http://dx.doi.org/10.1016/j.future.2023.07.016")</f>
        <v>http://dx.doi.org/10.1016/j.future.2023.07.016</v>
      </c>
      <c r="BG232" t="s">
        <v>74</v>
      </c>
      <c r="BH232" t="s">
        <v>74</v>
      </c>
      <c r="BI232">
        <v>10</v>
      </c>
      <c r="BJ232" t="s">
        <v>2941</v>
      </c>
      <c r="BK232" t="s">
        <v>100</v>
      </c>
      <c r="BL232" t="s">
        <v>563</v>
      </c>
      <c r="BM232" t="s">
        <v>4293</v>
      </c>
      <c r="BN232" t="s">
        <v>74</v>
      </c>
      <c r="BO232" t="s">
        <v>74</v>
      </c>
      <c r="BP232" t="s">
        <v>74</v>
      </c>
      <c r="BQ232" t="s">
        <v>74</v>
      </c>
      <c r="BR232" t="s">
        <v>104</v>
      </c>
      <c r="BS232" t="s">
        <v>4294</v>
      </c>
      <c r="BT232" t="str">
        <f>HYPERLINK("https%3A%2F%2Fwww.webofscience.com%2Fwos%2Fwoscc%2Ffull-record%2FWOS:001059407000001","View Full Record in Web of Science")</f>
        <v>View Full Record in Web of Science</v>
      </c>
    </row>
    <row r="233" spans="1:72" x14ac:dyDescent="0.15">
      <c r="A233" t="s">
        <v>72</v>
      </c>
      <c r="B233" t="s">
        <v>4295</v>
      </c>
      <c r="C233" t="s">
        <v>74</v>
      </c>
      <c r="D233" t="s">
        <v>74</v>
      </c>
      <c r="E233" t="s">
        <v>74</v>
      </c>
      <c r="F233" t="s">
        <v>4296</v>
      </c>
      <c r="G233" t="s">
        <v>74</v>
      </c>
      <c r="H233" t="s">
        <v>74</v>
      </c>
      <c r="I233" t="s">
        <v>4297</v>
      </c>
      <c r="J233" t="s">
        <v>1587</v>
      </c>
      <c r="K233" t="s">
        <v>74</v>
      </c>
      <c r="L233" t="s">
        <v>74</v>
      </c>
      <c r="M233" t="s">
        <v>78</v>
      </c>
      <c r="N233" t="s">
        <v>79</v>
      </c>
      <c r="O233" t="s">
        <v>74</v>
      </c>
      <c r="P233" t="s">
        <v>74</v>
      </c>
      <c r="Q233" t="s">
        <v>74</v>
      </c>
      <c r="R233" t="s">
        <v>74</v>
      </c>
      <c r="S233" t="s">
        <v>74</v>
      </c>
      <c r="T233" t="s">
        <v>4298</v>
      </c>
      <c r="U233" t="s">
        <v>4299</v>
      </c>
      <c r="V233" t="s">
        <v>4300</v>
      </c>
      <c r="W233" t="s">
        <v>4301</v>
      </c>
      <c r="X233" t="s">
        <v>4302</v>
      </c>
      <c r="Y233" t="s">
        <v>4303</v>
      </c>
      <c r="Z233" t="s">
        <v>4304</v>
      </c>
      <c r="AA233" t="s">
        <v>74</v>
      </c>
      <c r="AB233" t="s">
        <v>74</v>
      </c>
      <c r="AC233" t="s">
        <v>4305</v>
      </c>
      <c r="AD233" t="s">
        <v>4306</v>
      </c>
      <c r="AE233" t="s">
        <v>4307</v>
      </c>
      <c r="AF233" t="s">
        <v>74</v>
      </c>
      <c r="AG233">
        <v>49</v>
      </c>
      <c r="AH233">
        <v>0</v>
      </c>
      <c r="AI233">
        <v>0</v>
      </c>
      <c r="AJ233">
        <v>0</v>
      </c>
      <c r="AK233">
        <v>0</v>
      </c>
      <c r="AL233" t="s">
        <v>90</v>
      </c>
      <c r="AM233" t="s">
        <v>91</v>
      </c>
      <c r="AN233" t="s">
        <v>92</v>
      </c>
      <c r="AO233" t="s">
        <v>1598</v>
      </c>
      <c r="AP233" t="s">
        <v>1599</v>
      </c>
      <c r="AQ233" t="s">
        <v>74</v>
      </c>
      <c r="AR233" t="s">
        <v>1600</v>
      </c>
      <c r="AS233" t="s">
        <v>1601</v>
      </c>
      <c r="AT233" t="s">
        <v>2840</v>
      </c>
      <c r="AU233">
        <v>2023</v>
      </c>
      <c r="AV233">
        <v>326</v>
      </c>
      <c r="AW233" t="s">
        <v>74</v>
      </c>
      <c r="AX233" t="s">
        <v>74</v>
      </c>
      <c r="AY233" t="s">
        <v>74</v>
      </c>
      <c r="AZ233" t="s">
        <v>74</v>
      </c>
      <c r="BA233" t="s">
        <v>74</v>
      </c>
      <c r="BB233" t="s">
        <v>74</v>
      </c>
      <c r="BC233" t="s">
        <v>74</v>
      </c>
      <c r="BD233">
        <v>124856</v>
      </c>
      <c r="BE233" t="s">
        <v>4308</v>
      </c>
      <c r="BF233" t="str">
        <f>HYPERLINK("http://dx.doi.org/10.1016/j.seppur.2023.124856","http://dx.doi.org/10.1016/j.seppur.2023.124856")</f>
        <v>http://dx.doi.org/10.1016/j.seppur.2023.124856</v>
      </c>
      <c r="BG233" t="s">
        <v>74</v>
      </c>
      <c r="BH233" t="s">
        <v>74</v>
      </c>
      <c r="BI233">
        <v>10</v>
      </c>
      <c r="BJ233" t="s">
        <v>1603</v>
      </c>
      <c r="BK233" t="s">
        <v>100</v>
      </c>
      <c r="BL233" t="s">
        <v>873</v>
      </c>
      <c r="BM233" t="s">
        <v>4309</v>
      </c>
      <c r="BN233" t="s">
        <v>74</v>
      </c>
      <c r="BO233" t="s">
        <v>74</v>
      </c>
      <c r="BP233" t="s">
        <v>74</v>
      </c>
      <c r="BQ233" t="s">
        <v>74</v>
      </c>
      <c r="BR233" t="s">
        <v>104</v>
      </c>
      <c r="BS233" t="s">
        <v>4310</v>
      </c>
      <c r="BT233" t="str">
        <f>HYPERLINK("https%3A%2F%2Fwww.webofscience.com%2Fwos%2Fwoscc%2Ffull-record%2FWOS:001065657300001","View Full Record in Web of Science")</f>
        <v>View Full Record in Web of Science</v>
      </c>
    </row>
    <row r="234" spans="1:72" x14ac:dyDescent="0.15">
      <c r="A234" t="s">
        <v>72</v>
      </c>
      <c r="B234" t="s">
        <v>4311</v>
      </c>
      <c r="C234" t="s">
        <v>74</v>
      </c>
      <c r="D234" t="s">
        <v>74</v>
      </c>
      <c r="E234" t="s">
        <v>74</v>
      </c>
      <c r="F234" t="s">
        <v>4312</v>
      </c>
      <c r="G234" t="s">
        <v>74</v>
      </c>
      <c r="H234" t="s">
        <v>74</v>
      </c>
      <c r="I234" t="s">
        <v>4313</v>
      </c>
      <c r="J234" t="s">
        <v>4314</v>
      </c>
      <c r="K234" t="s">
        <v>74</v>
      </c>
      <c r="L234" t="s">
        <v>74</v>
      </c>
      <c r="M234" t="s">
        <v>78</v>
      </c>
      <c r="N234" t="s">
        <v>79</v>
      </c>
      <c r="O234" t="s">
        <v>74</v>
      </c>
      <c r="P234" t="s">
        <v>74</v>
      </c>
      <c r="Q234" t="s">
        <v>74</v>
      </c>
      <c r="R234" t="s">
        <v>74</v>
      </c>
      <c r="S234" t="s">
        <v>74</v>
      </c>
      <c r="T234" t="s">
        <v>4315</v>
      </c>
      <c r="U234" t="s">
        <v>4316</v>
      </c>
      <c r="V234" t="s">
        <v>4317</v>
      </c>
      <c r="W234" t="s">
        <v>4318</v>
      </c>
      <c r="X234" t="s">
        <v>4319</v>
      </c>
      <c r="Y234" t="s">
        <v>4320</v>
      </c>
      <c r="Z234" t="s">
        <v>4321</v>
      </c>
      <c r="AA234" t="s">
        <v>74</v>
      </c>
      <c r="AB234" t="s">
        <v>74</v>
      </c>
      <c r="AC234" t="s">
        <v>4322</v>
      </c>
      <c r="AD234" t="s">
        <v>4323</v>
      </c>
      <c r="AE234" t="s">
        <v>4324</v>
      </c>
      <c r="AF234" t="s">
        <v>74</v>
      </c>
      <c r="AG234">
        <v>70</v>
      </c>
      <c r="AH234">
        <v>0</v>
      </c>
      <c r="AI234">
        <v>0</v>
      </c>
      <c r="AJ234">
        <v>0</v>
      </c>
      <c r="AK234">
        <v>0</v>
      </c>
      <c r="AL234" t="s">
        <v>514</v>
      </c>
      <c r="AM234" t="s">
        <v>515</v>
      </c>
      <c r="AN234" t="s">
        <v>516</v>
      </c>
      <c r="AO234" t="s">
        <v>4325</v>
      </c>
      <c r="AP234" t="s">
        <v>4326</v>
      </c>
      <c r="AQ234" t="s">
        <v>74</v>
      </c>
      <c r="AR234" t="s">
        <v>4327</v>
      </c>
      <c r="AS234" t="s">
        <v>4328</v>
      </c>
      <c r="AT234" t="s">
        <v>2579</v>
      </c>
      <c r="AU234">
        <v>2023</v>
      </c>
      <c r="AV234">
        <v>194</v>
      </c>
      <c r="AW234" t="s">
        <v>74</v>
      </c>
      <c r="AX234" t="s">
        <v>74</v>
      </c>
      <c r="AY234" t="s">
        <v>74</v>
      </c>
      <c r="AZ234" t="s">
        <v>74</v>
      </c>
      <c r="BA234" t="s">
        <v>74</v>
      </c>
      <c r="BB234" t="s">
        <v>74</v>
      </c>
      <c r="BC234" t="s">
        <v>74</v>
      </c>
      <c r="BD234">
        <v>108590</v>
      </c>
      <c r="BE234" t="s">
        <v>4329</v>
      </c>
      <c r="BF234" t="str">
        <f>HYPERLINK("http://dx.doi.org/10.1016/j.ijthermalsci.2023.108590","http://dx.doi.org/10.1016/j.ijthermalsci.2023.108590")</f>
        <v>http://dx.doi.org/10.1016/j.ijthermalsci.2023.108590</v>
      </c>
      <c r="BG234" t="s">
        <v>74</v>
      </c>
      <c r="BH234" t="s">
        <v>74</v>
      </c>
      <c r="BI234">
        <v>14</v>
      </c>
      <c r="BJ234" t="s">
        <v>4330</v>
      </c>
      <c r="BK234" t="s">
        <v>100</v>
      </c>
      <c r="BL234" t="s">
        <v>4331</v>
      </c>
      <c r="BM234" t="s">
        <v>4332</v>
      </c>
      <c r="BN234" t="s">
        <v>74</v>
      </c>
      <c r="BO234" t="s">
        <v>74</v>
      </c>
      <c r="BP234" t="s">
        <v>74</v>
      </c>
      <c r="BQ234" t="s">
        <v>74</v>
      </c>
      <c r="BR234" t="s">
        <v>104</v>
      </c>
      <c r="BS234" t="s">
        <v>4333</v>
      </c>
      <c r="BT234" t="str">
        <f>HYPERLINK("https%3A%2F%2Fwww.webofscience.com%2Fwos%2Fwoscc%2Ffull-record%2FWOS:001066414000001","View Full Record in Web of Science")</f>
        <v>View Full Record in Web of Science</v>
      </c>
    </row>
    <row r="235" spans="1:72" x14ac:dyDescent="0.15">
      <c r="A235" t="s">
        <v>72</v>
      </c>
      <c r="B235" t="s">
        <v>4334</v>
      </c>
      <c r="C235" t="s">
        <v>74</v>
      </c>
      <c r="D235" t="s">
        <v>74</v>
      </c>
      <c r="E235" t="s">
        <v>74</v>
      </c>
      <c r="F235" t="s">
        <v>4335</v>
      </c>
      <c r="G235" t="s">
        <v>74</v>
      </c>
      <c r="H235" t="s">
        <v>74</v>
      </c>
      <c r="I235" t="s">
        <v>4336</v>
      </c>
      <c r="J235" t="s">
        <v>4088</v>
      </c>
      <c r="K235" t="s">
        <v>74</v>
      </c>
      <c r="L235" t="s">
        <v>74</v>
      </c>
      <c r="M235" t="s">
        <v>78</v>
      </c>
      <c r="N235" t="s">
        <v>79</v>
      </c>
      <c r="O235" t="s">
        <v>74</v>
      </c>
      <c r="P235" t="s">
        <v>74</v>
      </c>
      <c r="Q235" t="s">
        <v>74</v>
      </c>
      <c r="R235" t="s">
        <v>74</v>
      </c>
      <c r="S235" t="s">
        <v>74</v>
      </c>
      <c r="T235" t="s">
        <v>4337</v>
      </c>
      <c r="U235" t="s">
        <v>4338</v>
      </c>
      <c r="V235" t="s">
        <v>4339</v>
      </c>
      <c r="W235" t="s">
        <v>4340</v>
      </c>
      <c r="X235" t="s">
        <v>4341</v>
      </c>
      <c r="Y235" t="s">
        <v>4342</v>
      </c>
      <c r="Z235" t="s">
        <v>4343</v>
      </c>
      <c r="AA235" t="s">
        <v>74</v>
      </c>
      <c r="AB235" t="s">
        <v>74</v>
      </c>
      <c r="AC235" t="s">
        <v>4344</v>
      </c>
      <c r="AD235" t="s">
        <v>4345</v>
      </c>
      <c r="AE235" t="s">
        <v>4346</v>
      </c>
      <c r="AF235" t="s">
        <v>74</v>
      </c>
      <c r="AG235">
        <v>33</v>
      </c>
      <c r="AH235">
        <v>0</v>
      </c>
      <c r="AI235">
        <v>0</v>
      </c>
      <c r="AJ235">
        <v>0</v>
      </c>
      <c r="AK235">
        <v>0</v>
      </c>
      <c r="AL235" t="s">
        <v>173</v>
      </c>
      <c r="AM235" t="s">
        <v>121</v>
      </c>
      <c r="AN235" t="s">
        <v>174</v>
      </c>
      <c r="AO235" t="s">
        <v>4096</v>
      </c>
      <c r="AP235" t="s">
        <v>4097</v>
      </c>
      <c r="AQ235" t="s">
        <v>74</v>
      </c>
      <c r="AR235" t="s">
        <v>4098</v>
      </c>
      <c r="AS235" t="s">
        <v>4099</v>
      </c>
      <c r="AT235" t="s">
        <v>2579</v>
      </c>
      <c r="AU235">
        <v>2023</v>
      </c>
      <c r="AV235">
        <v>310</v>
      </c>
      <c r="AW235" t="s">
        <v>74</v>
      </c>
      <c r="AX235" t="s">
        <v>74</v>
      </c>
      <c r="AY235" t="s">
        <v>74</v>
      </c>
      <c r="AZ235" t="s">
        <v>74</v>
      </c>
      <c r="BA235" t="s">
        <v>74</v>
      </c>
      <c r="BB235" t="s">
        <v>74</v>
      </c>
      <c r="BC235" t="s">
        <v>74</v>
      </c>
      <c r="BD235">
        <v>108743</v>
      </c>
      <c r="BE235" t="s">
        <v>4347</v>
      </c>
      <c r="BF235" t="str">
        <f>HYPERLINK("http://dx.doi.org/10.1016/j.jqsrt.2023.108743","http://dx.doi.org/10.1016/j.jqsrt.2023.108743")</f>
        <v>http://dx.doi.org/10.1016/j.jqsrt.2023.108743</v>
      </c>
      <c r="BG235" t="s">
        <v>74</v>
      </c>
      <c r="BH235" t="s">
        <v>74</v>
      </c>
      <c r="BI235">
        <v>12</v>
      </c>
      <c r="BJ235" t="s">
        <v>4101</v>
      </c>
      <c r="BK235" t="s">
        <v>100</v>
      </c>
      <c r="BL235" t="s">
        <v>4101</v>
      </c>
      <c r="BM235" t="s">
        <v>4348</v>
      </c>
      <c r="BN235" t="s">
        <v>74</v>
      </c>
      <c r="BO235" t="s">
        <v>295</v>
      </c>
      <c r="BP235" t="s">
        <v>74</v>
      </c>
      <c r="BQ235" t="s">
        <v>74</v>
      </c>
      <c r="BR235" t="s">
        <v>104</v>
      </c>
      <c r="BS235" t="s">
        <v>4349</v>
      </c>
      <c r="BT235" t="str">
        <f>HYPERLINK("https%3A%2F%2Fwww.webofscience.com%2Fwos%2Fwoscc%2Ffull-record%2FWOS:001059143600001","View Full Record in Web of Science")</f>
        <v>View Full Record in Web of Science</v>
      </c>
    </row>
    <row r="236" spans="1:72" x14ac:dyDescent="0.15">
      <c r="A236" t="s">
        <v>72</v>
      </c>
      <c r="B236" t="s">
        <v>4350</v>
      </c>
      <c r="C236" t="s">
        <v>74</v>
      </c>
      <c r="D236" t="s">
        <v>74</v>
      </c>
      <c r="E236" t="s">
        <v>74</v>
      </c>
      <c r="F236" t="s">
        <v>4351</v>
      </c>
      <c r="G236" t="s">
        <v>74</v>
      </c>
      <c r="H236" t="s">
        <v>74</v>
      </c>
      <c r="I236" t="s">
        <v>4352</v>
      </c>
      <c r="J236" t="s">
        <v>2695</v>
      </c>
      <c r="K236" t="s">
        <v>74</v>
      </c>
      <c r="L236" t="s">
        <v>74</v>
      </c>
      <c r="M236" t="s">
        <v>78</v>
      </c>
      <c r="N236" t="s">
        <v>79</v>
      </c>
      <c r="O236" t="s">
        <v>74</v>
      </c>
      <c r="P236" t="s">
        <v>74</v>
      </c>
      <c r="Q236" t="s">
        <v>74</v>
      </c>
      <c r="R236" t="s">
        <v>74</v>
      </c>
      <c r="S236" t="s">
        <v>74</v>
      </c>
      <c r="T236" t="s">
        <v>4353</v>
      </c>
      <c r="U236" t="s">
        <v>4354</v>
      </c>
      <c r="V236" t="s">
        <v>4355</v>
      </c>
      <c r="W236" t="s">
        <v>4356</v>
      </c>
      <c r="X236" t="s">
        <v>74</v>
      </c>
      <c r="Y236" t="s">
        <v>4357</v>
      </c>
      <c r="Z236" t="s">
        <v>4358</v>
      </c>
      <c r="AA236" t="s">
        <v>4359</v>
      </c>
      <c r="AB236" t="s">
        <v>4360</v>
      </c>
      <c r="AC236" t="s">
        <v>4361</v>
      </c>
      <c r="AD236" t="s">
        <v>4362</v>
      </c>
      <c r="AE236" t="s">
        <v>4363</v>
      </c>
      <c r="AF236" t="s">
        <v>74</v>
      </c>
      <c r="AG236">
        <v>42</v>
      </c>
      <c r="AH236">
        <v>0</v>
      </c>
      <c r="AI236">
        <v>0</v>
      </c>
      <c r="AJ236">
        <v>2</v>
      </c>
      <c r="AK236">
        <v>2</v>
      </c>
      <c r="AL236" t="s">
        <v>90</v>
      </c>
      <c r="AM236" t="s">
        <v>91</v>
      </c>
      <c r="AN236" t="s">
        <v>92</v>
      </c>
      <c r="AO236" t="s">
        <v>2702</v>
      </c>
      <c r="AP236" t="s">
        <v>74</v>
      </c>
      <c r="AQ236" t="s">
        <v>74</v>
      </c>
      <c r="AR236" t="s">
        <v>2703</v>
      </c>
      <c r="AS236" t="s">
        <v>2704</v>
      </c>
      <c r="AT236" t="s">
        <v>2579</v>
      </c>
      <c r="AU236">
        <v>2023</v>
      </c>
      <c r="AV236">
        <v>6</v>
      </c>
      <c r="AW236" t="s">
        <v>74</v>
      </c>
      <c r="AX236" t="s">
        <v>74</v>
      </c>
      <c r="AY236" t="s">
        <v>74</v>
      </c>
      <c r="AZ236" t="s">
        <v>74</v>
      </c>
      <c r="BA236" t="s">
        <v>74</v>
      </c>
      <c r="BB236" t="s">
        <v>74</v>
      </c>
      <c r="BC236" t="s">
        <v>74</v>
      </c>
      <c r="BD236">
        <v>101031</v>
      </c>
      <c r="BE236" t="s">
        <v>4364</v>
      </c>
      <c r="BF236" t="str">
        <f>HYPERLINK("http://dx.doi.org/10.1016/j.rechem.2023.101031","http://dx.doi.org/10.1016/j.rechem.2023.101031")</f>
        <v>http://dx.doi.org/10.1016/j.rechem.2023.101031</v>
      </c>
      <c r="BG236" t="s">
        <v>74</v>
      </c>
      <c r="BH236" t="s">
        <v>74</v>
      </c>
      <c r="BI236">
        <v>8</v>
      </c>
      <c r="BJ236" t="s">
        <v>2706</v>
      </c>
      <c r="BK236" t="s">
        <v>1850</v>
      </c>
      <c r="BL236" t="s">
        <v>395</v>
      </c>
      <c r="BM236" t="s">
        <v>4365</v>
      </c>
      <c r="BN236" t="s">
        <v>74</v>
      </c>
      <c r="BO236" t="s">
        <v>4366</v>
      </c>
      <c r="BP236" t="s">
        <v>74</v>
      </c>
      <c r="BQ236" t="s">
        <v>74</v>
      </c>
      <c r="BR236" t="s">
        <v>104</v>
      </c>
      <c r="BS236" t="s">
        <v>4367</v>
      </c>
      <c r="BT236" t="str">
        <f>HYPERLINK("https%3A%2F%2Fwww.webofscience.com%2Fwos%2Fwoscc%2Ffull-record%2FWOS:001049346000001","View Full Record in Web of Science")</f>
        <v>View Full Record in Web of Science</v>
      </c>
    </row>
    <row r="237" spans="1:72" x14ac:dyDescent="0.15">
      <c r="A237" t="s">
        <v>72</v>
      </c>
      <c r="B237" t="s">
        <v>4368</v>
      </c>
      <c r="C237" t="s">
        <v>74</v>
      </c>
      <c r="D237" t="s">
        <v>74</v>
      </c>
      <c r="E237" t="s">
        <v>74</v>
      </c>
      <c r="F237" t="s">
        <v>4369</v>
      </c>
      <c r="G237" t="s">
        <v>74</v>
      </c>
      <c r="H237" t="s">
        <v>74</v>
      </c>
      <c r="I237" t="s">
        <v>4370</v>
      </c>
      <c r="J237" t="s">
        <v>4371</v>
      </c>
      <c r="K237" t="s">
        <v>74</v>
      </c>
      <c r="L237" t="s">
        <v>74</v>
      </c>
      <c r="M237" t="s">
        <v>78</v>
      </c>
      <c r="N237" t="s">
        <v>79</v>
      </c>
      <c r="O237" t="s">
        <v>74</v>
      </c>
      <c r="P237" t="s">
        <v>74</v>
      </c>
      <c r="Q237" t="s">
        <v>74</v>
      </c>
      <c r="R237" t="s">
        <v>74</v>
      </c>
      <c r="S237" t="s">
        <v>74</v>
      </c>
      <c r="T237" t="s">
        <v>74</v>
      </c>
      <c r="U237" t="s">
        <v>4372</v>
      </c>
      <c r="V237" t="s">
        <v>4373</v>
      </c>
      <c r="W237" t="s">
        <v>4374</v>
      </c>
      <c r="X237" t="s">
        <v>4375</v>
      </c>
      <c r="Y237" t="s">
        <v>4376</v>
      </c>
      <c r="Z237" t="s">
        <v>4377</v>
      </c>
      <c r="AA237" t="s">
        <v>74</v>
      </c>
      <c r="AB237" t="s">
        <v>74</v>
      </c>
      <c r="AC237" t="s">
        <v>4378</v>
      </c>
      <c r="AD237" t="s">
        <v>4379</v>
      </c>
      <c r="AE237" t="s">
        <v>4380</v>
      </c>
      <c r="AF237" t="s">
        <v>74</v>
      </c>
      <c r="AG237">
        <v>50</v>
      </c>
      <c r="AH237">
        <v>0</v>
      </c>
      <c r="AI237">
        <v>0</v>
      </c>
      <c r="AJ237">
        <v>1</v>
      </c>
      <c r="AK237">
        <v>1</v>
      </c>
      <c r="AL237" t="s">
        <v>90</v>
      </c>
      <c r="AM237" t="s">
        <v>91</v>
      </c>
      <c r="AN237" t="s">
        <v>92</v>
      </c>
      <c r="AO237" t="s">
        <v>4381</v>
      </c>
      <c r="AP237" t="s">
        <v>4382</v>
      </c>
      <c r="AQ237" t="s">
        <v>74</v>
      </c>
      <c r="AR237" t="s">
        <v>4383</v>
      </c>
      <c r="AS237" t="s">
        <v>4384</v>
      </c>
      <c r="AT237" t="s">
        <v>2840</v>
      </c>
      <c r="AU237">
        <v>2023</v>
      </c>
      <c r="AV237">
        <v>586</v>
      </c>
      <c r="AW237" t="s">
        <v>74</v>
      </c>
      <c r="AX237" t="s">
        <v>74</v>
      </c>
      <c r="AY237" t="s">
        <v>74</v>
      </c>
      <c r="AZ237" t="s">
        <v>74</v>
      </c>
      <c r="BA237" t="s">
        <v>74</v>
      </c>
      <c r="BB237" t="s">
        <v>74</v>
      </c>
      <c r="BC237" t="s">
        <v>74</v>
      </c>
      <c r="BD237">
        <v>154654</v>
      </c>
      <c r="BE237" t="s">
        <v>4385</v>
      </c>
      <c r="BF237" t="str">
        <f>HYPERLINK("http://dx.doi.org/10.1016/j.jnucmat.2023.154654","http://dx.doi.org/10.1016/j.jnucmat.2023.154654")</f>
        <v>http://dx.doi.org/10.1016/j.jnucmat.2023.154654</v>
      </c>
      <c r="BG237" t="s">
        <v>74</v>
      </c>
      <c r="BH237" t="s">
        <v>74</v>
      </c>
      <c r="BI237">
        <v>8</v>
      </c>
      <c r="BJ237" t="s">
        <v>4386</v>
      </c>
      <c r="BK237" t="s">
        <v>100</v>
      </c>
      <c r="BL237" t="s">
        <v>4387</v>
      </c>
      <c r="BM237" t="s">
        <v>4388</v>
      </c>
      <c r="BN237" t="s">
        <v>74</v>
      </c>
      <c r="BO237" t="s">
        <v>74</v>
      </c>
      <c r="BP237" t="s">
        <v>74</v>
      </c>
      <c r="BQ237" t="s">
        <v>74</v>
      </c>
      <c r="BR237" t="s">
        <v>104</v>
      </c>
      <c r="BS237" t="s">
        <v>4389</v>
      </c>
      <c r="BT237" t="str">
        <f>HYPERLINK("https%3A%2F%2Fwww.webofscience.com%2Fwos%2Fwoscc%2Ffull-record%2FWOS:001053179300001","View Full Record in Web of Science")</f>
        <v>View Full Record in Web of Science</v>
      </c>
    </row>
    <row r="238" spans="1:72" x14ac:dyDescent="0.15">
      <c r="A238" t="s">
        <v>72</v>
      </c>
      <c r="B238" t="s">
        <v>4390</v>
      </c>
      <c r="C238" t="s">
        <v>74</v>
      </c>
      <c r="D238" t="s">
        <v>74</v>
      </c>
      <c r="E238" t="s">
        <v>74</v>
      </c>
      <c r="F238" t="s">
        <v>4391</v>
      </c>
      <c r="G238" t="s">
        <v>74</v>
      </c>
      <c r="H238" t="s">
        <v>74</v>
      </c>
      <c r="I238" t="s">
        <v>4392</v>
      </c>
      <c r="J238" t="s">
        <v>4393</v>
      </c>
      <c r="K238" t="s">
        <v>74</v>
      </c>
      <c r="L238" t="s">
        <v>74</v>
      </c>
      <c r="M238" t="s">
        <v>78</v>
      </c>
      <c r="N238" t="s">
        <v>79</v>
      </c>
      <c r="O238" t="s">
        <v>74</v>
      </c>
      <c r="P238" t="s">
        <v>74</v>
      </c>
      <c r="Q238" t="s">
        <v>74</v>
      </c>
      <c r="R238" t="s">
        <v>74</v>
      </c>
      <c r="S238" t="s">
        <v>74</v>
      </c>
      <c r="T238" t="s">
        <v>4394</v>
      </c>
      <c r="U238" t="s">
        <v>4395</v>
      </c>
      <c r="V238" t="s">
        <v>4396</v>
      </c>
      <c r="W238" t="s">
        <v>4397</v>
      </c>
      <c r="X238" t="s">
        <v>4398</v>
      </c>
      <c r="Y238" t="s">
        <v>4399</v>
      </c>
      <c r="Z238" t="s">
        <v>4400</v>
      </c>
      <c r="AA238" t="s">
        <v>74</v>
      </c>
      <c r="AB238" t="s">
        <v>74</v>
      </c>
      <c r="AC238" t="s">
        <v>4401</v>
      </c>
      <c r="AD238" t="s">
        <v>4402</v>
      </c>
      <c r="AE238" t="s">
        <v>4403</v>
      </c>
      <c r="AF238" t="s">
        <v>74</v>
      </c>
      <c r="AG238">
        <v>62</v>
      </c>
      <c r="AH238">
        <v>0</v>
      </c>
      <c r="AI238">
        <v>0</v>
      </c>
      <c r="AJ238">
        <v>0</v>
      </c>
      <c r="AK238">
        <v>0</v>
      </c>
      <c r="AL238" t="s">
        <v>90</v>
      </c>
      <c r="AM238" t="s">
        <v>91</v>
      </c>
      <c r="AN238" t="s">
        <v>92</v>
      </c>
      <c r="AO238" t="s">
        <v>4404</v>
      </c>
      <c r="AP238" t="s">
        <v>4405</v>
      </c>
      <c r="AQ238" t="s">
        <v>74</v>
      </c>
      <c r="AR238" t="s">
        <v>4406</v>
      </c>
      <c r="AS238" t="s">
        <v>4407</v>
      </c>
      <c r="AT238" t="s">
        <v>2579</v>
      </c>
      <c r="AU238">
        <v>2023</v>
      </c>
      <c r="AV238">
        <v>164</v>
      </c>
      <c r="AW238" t="s">
        <v>74</v>
      </c>
      <c r="AX238" t="s">
        <v>74</v>
      </c>
      <c r="AY238" t="s">
        <v>74</v>
      </c>
      <c r="AZ238" t="s">
        <v>74</v>
      </c>
      <c r="BA238" t="s">
        <v>74</v>
      </c>
      <c r="BB238" t="s">
        <v>74</v>
      </c>
      <c r="BC238" t="s">
        <v>74</v>
      </c>
      <c r="BD238">
        <v>107304</v>
      </c>
      <c r="BE238" t="s">
        <v>4408</v>
      </c>
      <c r="BF238" t="str">
        <f>HYPERLINK("http://dx.doi.org/10.1016/j.infsof.2023.107304","http://dx.doi.org/10.1016/j.infsof.2023.107304")</f>
        <v>http://dx.doi.org/10.1016/j.infsof.2023.107304</v>
      </c>
      <c r="BG238" t="s">
        <v>74</v>
      </c>
      <c r="BH238" t="s">
        <v>74</v>
      </c>
      <c r="BI238">
        <v>9</v>
      </c>
      <c r="BJ238" t="s">
        <v>4409</v>
      </c>
      <c r="BK238" t="s">
        <v>100</v>
      </c>
      <c r="BL238" t="s">
        <v>563</v>
      </c>
      <c r="BM238" t="s">
        <v>4410</v>
      </c>
      <c r="BN238" t="s">
        <v>74</v>
      </c>
      <c r="BO238" t="s">
        <v>74</v>
      </c>
      <c r="BP238" t="s">
        <v>74</v>
      </c>
      <c r="BQ238" t="s">
        <v>74</v>
      </c>
      <c r="BR238" t="s">
        <v>104</v>
      </c>
      <c r="BS238" t="s">
        <v>4411</v>
      </c>
      <c r="BT238" t="str">
        <f>HYPERLINK("https%3A%2F%2Fwww.webofscience.com%2Fwos%2Fwoscc%2Ffull-record%2FWOS:001065671700001","View Full Record in Web of Science")</f>
        <v>View Full Record in Web of Science</v>
      </c>
    </row>
    <row r="239" spans="1:72" x14ac:dyDescent="0.15">
      <c r="A239" t="s">
        <v>72</v>
      </c>
      <c r="B239" t="s">
        <v>4412</v>
      </c>
      <c r="C239" t="s">
        <v>74</v>
      </c>
      <c r="D239" t="s">
        <v>74</v>
      </c>
      <c r="E239" t="s">
        <v>74</v>
      </c>
      <c r="F239" t="s">
        <v>4413</v>
      </c>
      <c r="G239" t="s">
        <v>74</v>
      </c>
      <c r="H239" t="s">
        <v>74</v>
      </c>
      <c r="I239" t="s">
        <v>4414</v>
      </c>
      <c r="J239" t="s">
        <v>3261</v>
      </c>
      <c r="K239" t="s">
        <v>74</v>
      </c>
      <c r="L239" t="s">
        <v>74</v>
      </c>
      <c r="M239" t="s">
        <v>78</v>
      </c>
      <c r="N239" t="s">
        <v>79</v>
      </c>
      <c r="O239" t="s">
        <v>74</v>
      </c>
      <c r="P239" t="s">
        <v>74</v>
      </c>
      <c r="Q239" t="s">
        <v>74</v>
      </c>
      <c r="R239" t="s">
        <v>74</v>
      </c>
      <c r="S239" t="s">
        <v>74</v>
      </c>
      <c r="T239" t="s">
        <v>4415</v>
      </c>
      <c r="U239" t="s">
        <v>4416</v>
      </c>
      <c r="V239" t="s">
        <v>4417</v>
      </c>
      <c r="W239" t="s">
        <v>4418</v>
      </c>
      <c r="X239" t="s">
        <v>4419</v>
      </c>
      <c r="Y239" t="s">
        <v>4420</v>
      </c>
      <c r="Z239" t="s">
        <v>4421</v>
      </c>
      <c r="AA239" t="s">
        <v>74</v>
      </c>
      <c r="AB239" t="s">
        <v>74</v>
      </c>
      <c r="AC239" t="s">
        <v>4422</v>
      </c>
      <c r="AD239" t="s">
        <v>4423</v>
      </c>
      <c r="AE239" t="s">
        <v>4424</v>
      </c>
      <c r="AF239" t="s">
        <v>74</v>
      </c>
      <c r="AG239">
        <v>67</v>
      </c>
      <c r="AH239">
        <v>0</v>
      </c>
      <c r="AI239">
        <v>0</v>
      </c>
      <c r="AJ239">
        <v>0</v>
      </c>
      <c r="AK239">
        <v>0</v>
      </c>
      <c r="AL239" t="s">
        <v>173</v>
      </c>
      <c r="AM239" t="s">
        <v>121</v>
      </c>
      <c r="AN239" t="s">
        <v>174</v>
      </c>
      <c r="AO239" t="s">
        <v>3272</v>
      </c>
      <c r="AP239" t="s">
        <v>3273</v>
      </c>
      <c r="AQ239" t="s">
        <v>74</v>
      </c>
      <c r="AR239" t="s">
        <v>3274</v>
      </c>
      <c r="AS239" t="s">
        <v>3275</v>
      </c>
      <c r="AT239" t="s">
        <v>2840</v>
      </c>
      <c r="AU239">
        <v>2023</v>
      </c>
      <c r="AV239">
        <v>216</v>
      </c>
      <c r="AW239" t="s">
        <v>74</v>
      </c>
      <c r="AX239" t="s">
        <v>74</v>
      </c>
      <c r="AY239" t="s">
        <v>74</v>
      </c>
      <c r="AZ239" t="s">
        <v>74</v>
      </c>
      <c r="BA239" t="s">
        <v>74</v>
      </c>
      <c r="BB239" t="s">
        <v>74</v>
      </c>
      <c r="BC239" t="s">
        <v>74</v>
      </c>
      <c r="BD239">
        <v>124627</v>
      </c>
      <c r="BE239" t="s">
        <v>4425</v>
      </c>
      <c r="BF239" t="str">
        <f>HYPERLINK("http://dx.doi.org/10.1016/j.ijheatmasstransfer.2023.124627","http://dx.doi.org/10.1016/j.ijheatmasstransfer.2023.124627")</f>
        <v>http://dx.doi.org/10.1016/j.ijheatmasstransfer.2023.124627</v>
      </c>
      <c r="BG239" t="s">
        <v>74</v>
      </c>
      <c r="BH239" t="s">
        <v>74</v>
      </c>
      <c r="BI239">
        <v>11</v>
      </c>
      <c r="BJ239" t="s">
        <v>3277</v>
      </c>
      <c r="BK239" t="s">
        <v>100</v>
      </c>
      <c r="BL239" t="s">
        <v>3278</v>
      </c>
      <c r="BM239" t="s">
        <v>4426</v>
      </c>
      <c r="BN239" t="s">
        <v>74</v>
      </c>
      <c r="BO239" t="s">
        <v>74</v>
      </c>
      <c r="BP239" t="s">
        <v>74</v>
      </c>
      <c r="BQ239" t="s">
        <v>74</v>
      </c>
      <c r="BR239" t="s">
        <v>104</v>
      </c>
      <c r="BS239" t="s">
        <v>4427</v>
      </c>
      <c r="BT239" t="str">
        <f>HYPERLINK("https%3A%2F%2Fwww.webofscience.com%2Fwos%2Fwoscc%2Ffull-record%2FWOS:001066385800001","View Full Record in Web of Science")</f>
        <v>View Full Record in Web of Science</v>
      </c>
    </row>
    <row r="240" spans="1:72" x14ac:dyDescent="0.15">
      <c r="A240" t="s">
        <v>72</v>
      </c>
      <c r="B240" t="s">
        <v>4428</v>
      </c>
      <c r="C240" t="s">
        <v>74</v>
      </c>
      <c r="D240" t="s">
        <v>74</v>
      </c>
      <c r="E240" t="s">
        <v>74</v>
      </c>
      <c r="F240" t="s">
        <v>4429</v>
      </c>
      <c r="G240" t="s">
        <v>74</v>
      </c>
      <c r="H240" t="s">
        <v>74</v>
      </c>
      <c r="I240" t="s">
        <v>4430</v>
      </c>
      <c r="J240" t="s">
        <v>162</v>
      </c>
      <c r="K240" t="s">
        <v>74</v>
      </c>
      <c r="L240" t="s">
        <v>74</v>
      </c>
      <c r="M240" t="s">
        <v>78</v>
      </c>
      <c r="N240" t="s">
        <v>79</v>
      </c>
      <c r="O240" t="s">
        <v>74</v>
      </c>
      <c r="P240" t="s">
        <v>74</v>
      </c>
      <c r="Q240" t="s">
        <v>74</v>
      </c>
      <c r="R240" t="s">
        <v>74</v>
      </c>
      <c r="S240" t="s">
        <v>74</v>
      </c>
      <c r="T240" t="s">
        <v>4431</v>
      </c>
      <c r="U240" t="s">
        <v>4432</v>
      </c>
      <c r="V240" t="s">
        <v>4433</v>
      </c>
      <c r="W240" t="s">
        <v>4434</v>
      </c>
      <c r="X240" t="s">
        <v>4435</v>
      </c>
      <c r="Y240" t="s">
        <v>4436</v>
      </c>
      <c r="Z240" t="s">
        <v>4437</v>
      </c>
      <c r="AA240" t="s">
        <v>74</v>
      </c>
      <c r="AB240" t="s">
        <v>74</v>
      </c>
      <c r="AC240" t="s">
        <v>4438</v>
      </c>
      <c r="AD240" t="s">
        <v>4439</v>
      </c>
      <c r="AE240" t="s">
        <v>4440</v>
      </c>
      <c r="AF240" t="s">
        <v>74</v>
      </c>
      <c r="AG240">
        <v>55</v>
      </c>
      <c r="AH240">
        <v>0</v>
      </c>
      <c r="AI240">
        <v>0</v>
      </c>
      <c r="AJ240">
        <v>3</v>
      </c>
      <c r="AK240">
        <v>3</v>
      </c>
      <c r="AL240" t="s">
        <v>173</v>
      </c>
      <c r="AM240" t="s">
        <v>121</v>
      </c>
      <c r="AN240" t="s">
        <v>174</v>
      </c>
      <c r="AO240" t="s">
        <v>175</v>
      </c>
      <c r="AP240" t="s">
        <v>176</v>
      </c>
      <c r="AQ240" t="s">
        <v>74</v>
      </c>
      <c r="AR240" t="s">
        <v>177</v>
      </c>
      <c r="AS240" t="s">
        <v>178</v>
      </c>
      <c r="AT240" t="s">
        <v>2840</v>
      </c>
      <c r="AU240">
        <v>2023</v>
      </c>
      <c r="AV240">
        <v>232</v>
      </c>
      <c r="AW240" t="s">
        <v>74</v>
      </c>
      <c r="AX240" t="s">
        <v>74</v>
      </c>
      <c r="AY240" t="s">
        <v>74</v>
      </c>
      <c r="AZ240" t="s">
        <v>74</v>
      </c>
      <c r="BA240" t="s">
        <v>74</v>
      </c>
      <c r="BB240" t="s">
        <v>74</v>
      </c>
      <c r="BC240" t="s">
        <v>74</v>
      </c>
      <c r="BD240">
        <v>120720</v>
      </c>
      <c r="BE240" t="s">
        <v>4441</v>
      </c>
      <c r="BF240" t="str">
        <f>HYPERLINK("http://dx.doi.org/10.1016/j.eswa.2023.120720","http://dx.doi.org/10.1016/j.eswa.2023.120720")</f>
        <v>http://dx.doi.org/10.1016/j.eswa.2023.120720</v>
      </c>
      <c r="BG240" t="s">
        <v>74</v>
      </c>
      <c r="BH240" t="s">
        <v>74</v>
      </c>
      <c r="BI240">
        <v>9</v>
      </c>
      <c r="BJ240" t="s">
        <v>180</v>
      </c>
      <c r="BK240" t="s">
        <v>100</v>
      </c>
      <c r="BL240" t="s">
        <v>181</v>
      </c>
      <c r="BM240" t="s">
        <v>4442</v>
      </c>
      <c r="BN240" t="s">
        <v>74</v>
      </c>
      <c r="BO240" t="s">
        <v>74</v>
      </c>
      <c r="BP240" t="s">
        <v>74</v>
      </c>
      <c r="BQ240" t="s">
        <v>74</v>
      </c>
      <c r="BR240" t="s">
        <v>104</v>
      </c>
      <c r="BS240" t="s">
        <v>4443</v>
      </c>
      <c r="BT240" t="str">
        <f>HYPERLINK("https%3A%2F%2Fwww.webofscience.com%2Fwos%2Fwoscc%2Ffull-record%2FWOS:001053865500001","View Full Record in Web of Science")</f>
        <v>View Full Record in Web of Science</v>
      </c>
    </row>
    <row r="241" spans="1:72" x14ac:dyDescent="0.15">
      <c r="A241" t="s">
        <v>72</v>
      </c>
      <c r="B241" t="s">
        <v>4444</v>
      </c>
      <c r="C241" t="s">
        <v>74</v>
      </c>
      <c r="D241" t="s">
        <v>74</v>
      </c>
      <c r="E241" t="s">
        <v>74</v>
      </c>
      <c r="F241" t="s">
        <v>4445</v>
      </c>
      <c r="G241" t="s">
        <v>74</v>
      </c>
      <c r="H241" t="s">
        <v>74</v>
      </c>
      <c r="I241" t="s">
        <v>4446</v>
      </c>
      <c r="J241" t="s">
        <v>4314</v>
      </c>
      <c r="K241" t="s">
        <v>74</v>
      </c>
      <c r="L241" t="s">
        <v>74</v>
      </c>
      <c r="M241" t="s">
        <v>78</v>
      </c>
      <c r="N241" t="s">
        <v>79</v>
      </c>
      <c r="O241" t="s">
        <v>74</v>
      </c>
      <c r="P241" t="s">
        <v>74</v>
      </c>
      <c r="Q241" t="s">
        <v>74</v>
      </c>
      <c r="R241" t="s">
        <v>74</v>
      </c>
      <c r="S241" t="s">
        <v>74</v>
      </c>
      <c r="T241" t="s">
        <v>4447</v>
      </c>
      <c r="U241" t="s">
        <v>4448</v>
      </c>
      <c r="V241" t="s">
        <v>4449</v>
      </c>
      <c r="W241" t="s">
        <v>4450</v>
      </c>
      <c r="X241" t="s">
        <v>74</v>
      </c>
      <c r="Y241" t="s">
        <v>4451</v>
      </c>
      <c r="Z241" t="s">
        <v>4452</v>
      </c>
      <c r="AA241" t="s">
        <v>74</v>
      </c>
      <c r="AB241" t="s">
        <v>74</v>
      </c>
      <c r="AC241" t="s">
        <v>4453</v>
      </c>
      <c r="AD241" t="s">
        <v>4454</v>
      </c>
      <c r="AE241" t="s">
        <v>4455</v>
      </c>
      <c r="AF241" t="s">
        <v>74</v>
      </c>
      <c r="AG241">
        <v>25</v>
      </c>
      <c r="AH241">
        <v>0</v>
      </c>
      <c r="AI241">
        <v>0</v>
      </c>
      <c r="AJ241">
        <v>1</v>
      </c>
      <c r="AK241">
        <v>1</v>
      </c>
      <c r="AL241" t="s">
        <v>514</v>
      </c>
      <c r="AM241" t="s">
        <v>515</v>
      </c>
      <c r="AN241" t="s">
        <v>516</v>
      </c>
      <c r="AO241" t="s">
        <v>4325</v>
      </c>
      <c r="AP241" t="s">
        <v>4326</v>
      </c>
      <c r="AQ241" t="s">
        <v>74</v>
      </c>
      <c r="AR241" t="s">
        <v>4327</v>
      </c>
      <c r="AS241" t="s">
        <v>4328</v>
      </c>
      <c r="AT241" t="s">
        <v>2579</v>
      </c>
      <c r="AU241">
        <v>2023</v>
      </c>
      <c r="AV241">
        <v>194</v>
      </c>
      <c r="AW241" t="s">
        <v>74</v>
      </c>
      <c r="AX241" t="s">
        <v>74</v>
      </c>
      <c r="AY241" t="s">
        <v>74</v>
      </c>
      <c r="AZ241" t="s">
        <v>74</v>
      </c>
      <c r="BA241" t="s">
        <v>74</v>
      </c>
      <c r="BB241" t="s">
        <v>74</v>
      </c>
      <c r="BC241" t="s">
        <v>74</v>
      </c>
      <c r="BD241">
        <v>108553</v>
      </c>
      <c r="BE241" t="s">
        <v>4456</v>
      </c>
      <c r="BF241" t="str">
        <f>HYPERLINK("http://dx.doi.org/10.1016/j.ijthermalsci.2023.108553","http://dx.doi.org/10.1016/j.ijthermalsci.2023.108553")</f>
        <v>http://dx.doi.org/10.1016/j.ijthermalsci.2023.108553</v>
      </c>
      <c r="BG241" t="s">
        <v>74</v>
      </c>
      <c r="BH241" t="s">
        <v>74</v>
      </c>
      <c r="BI241">
        <v>7</v>
      </c>
      <c r="BJ241" t="s">
        <v>4330</v>
      </c>
      <c r="BK241" t="s">
        <v>100</v>
      </c>
      <c r="BL241" t="s">
        <v>4331</v>
      </c>
      <c r="BM241" t="s">
        <v>4457</v>
      </c>
      <c r="BN241" t="s">
        <v>74</v>
      </c>
      <c r="BO241" t="s">
        <v>74</v>
      </c>
      <c r="BP241" t="s">
        <v>74</v>
      </c>
      <c r="BQ241" t="s">
        <v>74</v>
      </c>
      <c r="BR241" t="s">
        <v>104</v>
      </c>
      <c r="BS241" t="s">
        <v>4458</v>
      </c>
      <c r="BT241" t="str">
        <f>HYPERLINK("https%3A%2F%2Fwww.webofscience.com%2Fwos%2Fwoscc%2Ffull-record%2FWOS:001059977900001","View Full Record in Web of Science")</f>
        <v>View Full Record in Web of Science</v>
      </c>
    </row>
    <row r="242" spans="1:72" x14ac:dyDescent="0.15">
      <c r="A242" t="s">
        <v>72</v>
      </c>
      <c r="B242" t="s">
        <v>4459</v>
      </c>
      <c r="C242" t="s">
        <v>74</v>
      </c>
      <c r="D242" t="s">
        <v>74</v>
      </c>
      <c r="E242" t="s">
        <v>74</v>
      </c>
      <c r="F242" t="s">
        <v>4460</v>
      </c>
      <c r="G242" t="s">
        <v>74</v>
      </c>
      <c r="H242" t="s">
        <v>74</v>
      </c>
      <c r="I242" t="s">
        <v>4461</v>
      </c>
      <c r="J242" t="s">
        <v>3786</v>
      </c>
      <c r="K242" t="s">
        <v>74</v>
      </c>
      <c r="L242" t="s">
        <v>74</v>
      </c>
      <c r="M242" t="s">
        <v>78</v>
      </c>
      <c r="N242" t="s">
        <v>79</v>
      </c>
      <c r="O242" t="s">
        <v>74</v>
      </c>
      <c r="P242" t="s">
        <v>74</v>
      </c>
      <c r="Q242" t="s">
        <v>74</v>
      </c>
      <c r="R242" t="s">
        <v>74</v>
      </c>
      <c r="S242" t="s">
        <v>74</v>
      </c>
      <c r="T242" t="s">
        <v>4462</v>
      </c>
      <c r="U242" t="s">
        <v>4463</v>
      </c>
      <c r="V242" t="s">
        <v>4464</v>
      </c>
      <c r="W242" t="s">
        <v>4465</v>
      </c>
      <c r="X242" t="s">
        <v>4466</v>
      </c>
      <c r="Y242" t="s">
        <v>4467</v>
      </c>
      <c r="Z242" t="s">
        <v>4468</v>
      </c>
      <c r="AA242" t="s">
        <v>74</v>
      </c>
      <c r="AB242" t="s">
        <v>74</v>
      </c>
      <c r="AC242" t="s">
        <v>4469</v>
      </c>
      <c r="AD242" t="s">
        <v>4470</v>
      </c>
      <c r="AE242" t="s">
        <v>4471</v>
      </c>
      <c r="AF242" t="s">
        <v>74</v>
      </c>
      <c r="AG242">
        <v>49</v>
      </c>
      <c r="AH242">
        <v>0</v>
      </c>
      <c r="AI242">
        <v>0</v>
      </c>
      <c r="AJ242">
        <v>8</v>
      </c>
      <c r="AK242">
        <v>8</v>
      </c>
      <c r="AL242" t="s">
        <v>90</v>
      </c>
      <c r="AM242" t="s">
        <v>91</v>
      </c>
      <c r="AN242" t="s">
        <v>92</v>
      </c>
      <c r="AO242" t="s">
        <v>3794</v>
      </c>
      <c r="AP242" t="s">
        <v>3795</v>
      </c>
      <c r="AQ242" t="s">
        <v>74</v>
      </c>
      <c r="AR242" t="s">
        <v>3796</v>
      </c>
      <c r="AS242" t="s">
        <v>3797</v>
      </c>
      <c r="AT242" t="s">
        <v>2840</v>
      </c>
      <c r="AU242">
        <v>2023</v>
      </c>
      <c r="AV242">
        <v>639</v>
      </c>
      <c r="AW242" t="s">
        <v>74</v>
      </c>
      <c r="AX242" t="s">
        <v>74</v>
      </c>
      <c r="AY242" t="s">
        <v>74</v>
      </c>
      <c r="AZ242" t="s">
        <v>74</v>
      </c>
      <c r="BA242" t="s">
        <v>74</v>
      </c>
      <c r="BB242" t="s">
        <v>74</v>
      </c>
      <c r="BC242" t="s">
        <v>74</v>
      </c>
      <c r="BD242">
        <v>158243</v>
      </c>
      <c r="BE242" t="s">
        <v>4472</v>
      </c>
      <c r="BF242" t="str">
        <f>HYPERLINK("http://dx.doi.org/10.1016/j.apsusc.2023.158243","http://dx.doi.org/10.1016/j.apsusc.2023.158243")</f>
        <v>http://dx.doi.org/10.1016/j.apsusc.2023.158243</v>
      </c>
      <c r="BG242" t="s">
        <v>74</v>
      </c>
      <c r="BH242" t="s">
        <v>74</v>
      </c>
      <c r="BI242">
        <v>10</v>
      </c>
      <c r="BJ242" t="s">
        <v>3799</v>
      </c>
      <c r="BK242" t="s">
        <v>100</v>
      </c>
      <c r="BL242" t="s">
        <v>3800</v>
      </c>
      <c r="BM242" t="s">
        <v>4473</v>
      </c>
      <c r="BN242" t="s">
        <v>74</v>
      </c>
      <c r="BO242" t="s">
        <v>74</v>
      </c>
      <c r="BP242" t="s">
        <v>74</v>
      </c>
      <c r="BQ242" t="s">
        <v>74</v>
      </c>
      <c r="BR242" t="s">
        <v>104</v>
      </c>
      <c r="BS242" t="s">
        <v>4474</v>
      </c>
      <c r="BT242" t="str">
        <f>HYPERLINK("https%3A%2F%2Fwww.webofscience.com%2Fwos%2Fwoscc%2Ffull-record%2FWOS:001062093100001","View Full Record in Web of Science")</f>
        <v>View Full Record in Web of Science</v>
      </c>
    </row>
    <row r="243" spans="1:72" x14ac:dyDescent="0.15">
      <c r="A243" t="s">
        <v>72</v>
      </c>
      <c r="B243" t="s">
        <v>4475</v>
      </c>
      <c r="C243" t="s">
        <v>74</v>
      </c>
      <c r="D243" t="s">
        <v>74</v>
      </c>
      <c r="E243" t="s">
        <v>74</v>
      </c>
      <c r="F243" t="s">
        <v>4476</v>
      </c>
      <c r="G243" t="s">
        <v>74</v>
      </c>
      <c r="H243" t="s">
        <v>74</v>
      </c>
      <c r="I243" t="s">
        <v>4477</v>
      </c>
      <c r="J243" t="s">
        <v>1950</v>
      </c>
      <c r="K243" t="s">
        <v>74</v>
      </c>
      <c r="L243" t="s">
        <v>74</v>
      </c>
      <c r="M243" t="s">
        <v>78</v>
      </c>
      <c r="N243" t="s">
        <v>79</v>
      </c>
      <c r="O243" t="s">
        <v>74</v>
      </c>
      <c r="P243" t="s">
        <v>74</v>
      </c>
      <c r="Q243" t="s">
        <v>74</v>
      </c>
      <c r="R243" t="s">
        <v>74</v>
      </c>
      <c r="S243" t="s">
        <v>74</v>
      </c>
      <c r="T243" t="s">
        <v>4478</v>
      </c>
      <c r="U243" t="s">
        <v>4479</v>
      </c>
      <c r="V243" t="s">
        <v>4480</v>
      </c>
      <c r="W243" t="s">
        <v>4481</v>
      </c>
      <c r="X243" t="s">
        <v>4482</v>
      </c>
      <c r="Y243" t="s">
        <v>4483</v>
      </c>
      <c r="Z243" t="s">
        <v>4484</v>
      </c>
      <c r="AA243" t="s">
        <v>4485</v>
      </c>
      <c r="AB243" t="s">
        <v>4486</v>
      </c>
      <c r="AC243" t="s">
        <v>4487</v>
      </c>
      <c r="AD243" t="s">
        <v>4488</v>
      </c>
      <c r="AE243" t="s">
        <v>4489</v>
      </c>
      <c r="AF243" t="s">
        <v>74</v>
      </c>
      <c r="AG243">
        <v>65</v>
      </c>
      <c r="AH243">
        <v>0</v>
      </c>
      <c r="AI243">
        <v>0</v>
      </c>
      <c r="AJ243">
        <v>2</v>
      </c>
      <c r="AK243">
        <v>2</v>
      </c>
      <c r="AL243" t="s">
        <v>173</v>
      </c>
      <c r="AM243" t="s">
        <v>121</v>
      </c>
      <c r="AN243" t="s">
        <v>174</v>
      </c>
      <c r="AO243" t="s">
        <v>1963</v>
      </c>
      <c r="AP243" t="s">
        <v>1964</v>
      </c>
      <c r="AQ243" t="s">
        <v>74</v>
      </c>
      <c r="AR243" t="s">
        <v>1950</v>
      </c>
      <c r="AS243" t="s">
        <v>1965</v>
      </c>
      <c r="AT243" t="s">
        <v>2840</v>
      </c>
      <c r="AU243">
        <v>2023</v>
      </c>
      <c r="AV243">
        <v>284</v>
      </c>
      <c r="AW243" t="s">
        <v>74</v>
      </c>
      <c r="AX243" t="s">
        <v>74</v>
      </c>
      <c r="AY243" t="s">
        <v>74</v>
      </c>
      <c r="AZ243" t="s">
        <v>74</v>
      </c>
      <c r="BA243" t="s">
        <v>74</v>
      </c>
      <c r="BB243" t="s">
        <v>74</v>
      </c>
      <c r="BC243" t="s">
        <v>74</v>
      </c>
      <c r="BD243">
        <v>128608</v>
      </c>
      <c r="BE243" t="s">
        <v>4490</v>
      </c>
      <c r="BF243" t="str">
        <f>HYPERLINK("http://dx.doi.org/10.1016/j.energy.2023.128608","http://dx.doi.org/10.1016/j.energy.2023.128608")</f>
        <v>http://dx.doi.org/10.1016/j.energy.2023.128608</v>
      </c>
      <c r="BG243" t="s">
        <v>74</v>
      </c>
      <c r="BH243" t="s">
        <v>74</v>
      </c>
      <c r="BI243">
        <v>16</v>
      </c>
      <c r="BJ243" t="s">
        <v>1967</v>
      </c>
      <c r="BK243" t="s">
        <v>100</v>
      </c>
      <c r="BL243" t="s">
        <v>1967</v>
      </c>
      <c r="BM243" t="s">
        <v>4491</v>
      </c>
      <c r="BN243" t="s">
        <v>74</v>
      </c>
      <c r="BO243" t="s">
        <v>74</v>
      </c>
      <c r="BP243" t="s">
        <v>74</v>
      </c>
      <c r="BQ243" t="s">
        <v>74</v>
      </c>
      <c r="BR243" t="s">
        <v>104</v>
      </c>
      <c r="BS243" t="s">
        <v>4492</v>
      </c>
      <c r="BT243" t="str">
        <f>HYPERLINK("https%3A%2F%2Fwww.webofscience.com%2Fwos%2Fwoscc%2Ffull-record%2FWOS:001059276800001","View Full Record in Web of Science")</f>
        <v>View Full Record in Web of Science</v>
      </c>
    </row>
    <row r="244" spans="1:72" x14ac:dyDescent="0.15">
      <c r="A244" t="s">
        <v>72</v>
      </c>
      <c r="B244" t="s">
        <v>4493</v>
      </c>
      <c r="C244" t="s">
        <v>74</v>
      </c>
      <c r="D244" t="s">
        <v>74</v>
      </c>
      <c r="E244" t="s">
        <v>74</v>
      </c>
      <c r="F244" t="s">
        <v>4494</v>
      </c>
      <c r="G244" t="s">
        <v>74</v>
      </c>
      <c r="H244" t="s">
        <v>74</v>
      </c>
      <c r="I244" t="s">
        <v>4495</v>
      </c>
      <c r="J244" t="s">
        <v>3100</v>
      </c>
      <c r="K244" t="s">
        <v>74</v>
      </c>
      <c r="L244" t="s">
        <v>74</v>
      </c>
      <c r="M244" t="s">
        <v>78</v>
      </c>
      <c r="N244" t="s">
        <v>79</v>
      </c>
      <c r="O244" t="s">
        <v>74</v>
      </c>
      <c r="P244" t="s">
        <v>74</v>
      </c>
      <c r="Q244" t="s">
        <v>74</v>
      </c>
      <c r="R244" t="s">
        <v>74</v>
      </c>
      <c r="S244" t="s">
        <v>74</v>
      </c>
      <c r="T244" t="s">
        <v>4496</v>
      </c>
      <c r="U244" t="s">
        <v>74</v>
      </c>
      <c r="V244" t="s">
        <v>4497</v>
      </c>
      <c r="W244" t="s">
        <v>4498</v>
      </c>
      <c r="X244" t="s">
        <v>4499</v>
      </c>
      <c r="Y244" t="s">
        <v>4500</v>
      </c>
      <c r="Z244" t="s">
        <v>4501</v>
      </c>
      <c r="AA244" t="s">
        <v>74</v>
      </c>
      <c r="AB244" t="s">
        <v>74</v>
      </c>
      <c r="AC244" t="s">
        <v>4502</v>
      </c>
      <c r="AD244" t="s">
        <v>4503</v>
      </c>
      <c r="AE244" t="s">
        <v>4504</v>
      </c>
      <c r="AF244" t="s">
        <v>74</v>
      </c>
      <c r="AG244">
        <v>46</v>
      </c>
      <c r="AH244">
        <v>0</v>
      </c>
      <c r="AI244">
        <v>0</v>
      </c>
      <c r="AJ244">
        <v>2</v>
      </c>
      <c r="AK244">
        <v>2</v>
      </c>
      <c r="AL244" t="s">
        <v>90</v>
      </c>
      <c r="AM244" t="s">
        <v>91</v>
      </c>
      <c r="AN244" t="s">
        <v>92</v>
      </c>
      <c r="AO244" t="s">
        <v>3109</v>
      </c>
      <c r="AP244" t="s">
        <v>3110</v>
      </c>
      <c r="AQ244" t="s">
        <v>74</v>
      </c>
      <c r="AR244" t="s">
        <v>3111</v>
      </c>
      <c r="AS244" t="s">
        <v>3112</v>
      </c>
      <c r="AT244" t="s">
        <v>2579</v>
      </c>
      <c r="AU244">
        <v>2023</v>
      </c>
      <c r="AV244">
        <v>149</v>
      </c>
      <c r="AW244" t="s">
        <v>74</v>
      </c>
      <c r="AX244" t="s">
        <v>74</v>
      </c>
      <c r="AY244" t="s">
        <v>74</v>
      </c>
      <c r="AZ244" t="s">
        <v>74</v>
      </c>
      <c r="BA244" t="s">
        <v>74</v>
      </c>
      <c r="BB244">
        <v>150</v>
      </c>
      <c r="BC244">
        <v>161</v>
      </c>
      <c r="BD244" t="s">
        <v>74</v>
      </c>
      <c r="BE244" t="s">
        <v>4505</v>
      </c>
      <c r="BF244" t="str">
        <f>HYPERLINK("http://dx.doi.org/10.1016/j.future.2023.06.027","http://dx.doi.org/10.1016/j.future.2023.06.027")</f>
        <v>http://dx.doi.org/10.1016/j.future.2023.06.027</v>
      </c>
      <c r="BG244" t="s">
        <v>74</v>
      </c>
      <c r="BH244" t="s">
        <v>74</v>
      </c>
      <c r="BI244">
        <v>12</v>
      </c>
      <c r="BJ244" t="s">
        <v>2941</v>
      </c>
      <c r="BK244" t="s">
        <v>100</v>
      </c>
      <c r="BL244" t="s">
        <v>563</v>
      </c>
      <c r="BM244" t="s">
        <v>4506</v>
      </c>
      <c r="BN244" t="s">
        <v>74</v>
      </c>
      <c r="BO244" t="s">
        <v>74</v>
      </c>
      <c r="BP244" t="s">
        <v>74</v>
      </c>
      <c r="BQ244" t="s">
        <v>74</v>
      </c>
      <c r="BR244" t="s">
        <v>104</v>
      </c>
      <c r="BS244" t="s">
        <v>4507</v>
      </c>
      <c r="BT244" t="str">
        <f>HYPERLINK("https%3A%2F%2Fwww.webofscience.com%2Fwos%2Fwoscc%2Ffull-record%2FWOS:001056442300001","View Full Record in Web of Science")</f>
        <v>View Full Record in Web of Science</v>
      </c>
    </row>
    <row r="245" spans="1:72" x14ac:dyDescent="0.15">
      <c r="A245" t="s">
        <v>72</v>
      </c>
      <c r="B245" t="s">
        <v>4508</v>
      </c>
      <c r="C245" t="s">
        <v>74</v>
      </c>
      <c r="D245" t="s">
        <v>74</v>
      </c>
      <c r="E245" t="s">
        <v>74</v>
      </c>
      <c r="F245" t="s">
        <v>4509</v>
      </c>
      <c r="G245" t="s">
        <v>74</v>
      </c>
      <c r="H245" t="s">
        <v>74</v>
      </c>
      <c r="I245" t="s">
        <v>4510</v>
      </c>
      <c r="J245" t="s">
        <v>488</v>
      </c>
      <c r="K245" t="s">
        <v>74</v>
      </c>
      <c r="L245" t="s">
        <v>74</v>
      </c>
      <c r="M245" t="s">
        <v>78</v>
      </c>
      <c r="N245" t="s">
        <v>79</v>
      </c>
      <c r="O245" t="s">
        <v>74</v>
      </c>
      <c r="P245" t="s">
        <v>74</v>
      </c>
      <c r="Q245" t="s">
        <v>74</v>
      </c>
      <c r="R245" t="s">
        <v>74</v>
      </c>
      <c r="S245" t="s">
        <v>74</v>
      </c>
      <c r="T245" t="s">
        <v>4511</v>
      </c>
      <c r="U245" t="s">
        <v>4512</v>
      </c>
      <c r="V245" t="s">
        <v>4513</v>
      </c>
      <c r="W245" t="s">
        <v>4514</v>
      </c>
      <c r="X245" t="s">
        <v>4515</v>
      </c>
      <c r="Y245" t="s">
        <v>4516</v>
      </c>
      <c r="Z245" t="s">
        <v>4517</v>
      </c>
      <c r="AA245" t="s">
        <v>74</v>
      </c>
      <c r="AB245" t="s">
        <v>74</v>
      </c>
      <c r="AC245" t="s">
        <v>4518</v>
      </c>
      <c r="AD245" t="s">
        <v>4519</v>
      </c>
      <c r="AE245" t="s">
        <v>4520</v>
      </c>
      <c r="AF245" t="s">
        <v>74</v>
      </c>
      <c r="AG245">
        <v>66</v>
      </c>
      <c r="AH245">
        <v>0</v>
      </c>
      <c r="AI245">
        <v>0</v>
      </c>
      <c r="AJ245">
        <v>6</v>
      </c>
      <c r="AK245">
        <v>6</v>
      </c>
      <c r="AL245" t="s">
        <v>120</v>
      </c>
      <c r="AM245" t="s">
        <v>121</v>
      </c>
      <c r="AN245" t="s">
        <v>122</v>
      </c>
      <c r="AO245" t="s">
        <v>496</v>
      </c>
      <c r="AP245" t="s">
        <v>497</v>
      </c>
      <c r="AQ245" t="s">
        <v>74</v>
      </c>
      <c r="AR245" t="s">
        <v>498</v>
      </c>
      <c r="AS245" t="s">
        <v>499</v>
      </c>
      <c r="AT245" t="s">
        <v>2579</v>
      </c>
      <c r="AU245">
        <v>2023</v>
      </c>
      <c r="AV245">
        <v>167</v>
      </c>
      <c r="AW245" t="s">
        <v>74</v>
      </c>
      <c r="AX245" t="s">
        <v>74</v>
      </c>
      <c r="AY245" t="s">
        <v>74</v>
      </c>
      <c r="AZ245" t="s">
        <v>74</v>
      </c>
      <c r="BA245" t="s">
        <v>74</v>
      </c>
      <c r="BB245" t="s">
        <v>74</v>
      </c>
      <c r="BC245" t="s">
        <v>74</v>
      </c>
      <c r="BD245">
        <v>109820</v>
      </c>
      <c r="BE245" t="s">
        <v>4521</v>
      </c>
      <c r="BF245" t="str">
        <f>HYPERLINK("http://dx.doi.org/10.1016/j.optlastec.2023.109820","http://dx.doi.org/10.1016/j.optlastec.2023.109820")</f>
        <v>http://dx.doi.org/10.1016/j.optlastec.2023.109820</v>
      </c>
      <c r="BG245" t="s">
        <v>74</v>
      </c>
      <c r="BH245" t="s">
        <v>74</v>
      </c>
      <c r="BI245">
        <v>13</v>
      </c>
      <c r="BJ245" t="s">
        <v>501</v>
      </c>
      <c r="BK245" t="s">
        <v>100</v>
      </c>
      <c r="BL245" t="s">
        <v>502</v>
      </c>
      <c r="BM245" t="s">
        <v>4522</v>
      </c>
      <c r="BN245" t="s">
        <v>74</v>
      </c>
      <c r="BO245" t="s">
        <v>74</v>
      </c>
      <c r="BP245" t="s">
        <v>74</v>
      </c>
      <c r="BQ245" t="s">
        <v>74</v>
      </c>
      <c r="BR245" t="s">
        <v>104</v>
      </c>
      <c r="BS245" t="s">
        <v>4523</v>
      </c>
      <c r="BT245" t="str">
        <f>HYPERLINK("https%3A%2F%2Fwww.webofscience.com%2Fwos%2Fwoscc%2Ffull-record%2FWOS:001042965200001","View Full Record in Web of Science")</f>
        <v>View Full Record in Web of Science</v>
      </c>
    </row>
    <row r="246" spans="1:72" x14ac:dyDescent="0.15">
      <c r="A246" t="s">
        <v>72</v>
      </c>
      <c r="B246" t="s">
        <v>4524</v>
      </c>
      <c r="C246" t="s">
        <v>74</v>
      </c>
      <c r="D246" t="s">
        <v>74</v>
      </c>
      <c r="E246" t="s">
        <v>74</v>
      </c>
      <c r="F246" t="s">
        <v>4525</v>
      </c>
      <c r="G246" t="s">
        <v>74</v>
      </c>
      <c r="H246" t="s">
        <v>74</v>
      </c>
      <c r="I246" t="s">
        <v>4526</v>
      </c>
      <c r="J246" t="s">
        <v>4527</v>
      </c>
      <c r="K246" t="s">
        <v>74</v>
      </c>
      <c r="L246" t="s">
        <v>74</v>
      </c>
      <c r="M246" t="s">
        <v>78</v>
      </c>
      <c r="N246" t="s">
        <v>79</v>
      </c>
      <c r="O246" t="s">
        <v>74</v>
      </c>
      <c r="P246" t="s">
        <v>74</v>
      </c>
      <c r="Q246" t="s">
        <v>74</v>
      </c>
      <c r="R246" t="s">
        <v>74</v>
      </c>
      <c r="S246" t="s">
        <v>74</v>
      </c>
      <c r="T246" t="s">
        <v>4528</v>
      </c>
      <c r="U246" t="s">
        <v>4529</v>
      </c>
      <c r="V246" t="s">
        <v>4530</v>
      </c>
      <c r="W246" t="s">
        <v>4531</v>
      </c>
      <c r="X246" t="s">
        <v>4532</v>
      </c>
      <c r="Y246" t="s">
        <v>4533</v>
      </c>
      <c r="Z246" t="s">
        <v>4534</v>
      </c>
      <c r="AA246" t="s">
        <v>74</v>
      </c>
      <c r="AB246" t="s">
        <v>74</v>
      </c>
      <c r="AC246" t="s">
        <v>4535</v>
      </c>
      <c r="AD246" t="s">
        <v>4536</v>
      </c>
      <c r="AE246" t="s">
        <v>4537</v>
      </c>
      <c r="AF246" t="s">
        <v>74</v>
      </c>
      <c r="AG246">
        <v>34</v>
      </c>
      <c r="AH246">
        <v>0</v>
      </c>
      <c r="AI246">
        <v>0</v>
      </c>
      <c r="AJ246">
        <v>0</v>
      </c>
      <c r="AK246">
        <v>0</v>
      </c>
      <c r="AL246" t="s">
        <v>120</v>
      </c>
      <c r="AM246" t="s">
        <v>121</v>
      </c>
      <c r="AN246" t="s">
        <v>122</v>
      </c>
      <c r="AO246" t="s">
        <v>4538</v>
      </c>
      <c r="AP246" t="s">
        <v>4539</v>
      </c>
      <c r="AQ246" t="s">
        <v>74</v>
      </c>
      <c r="AR246" t="s">
        <v>4540</v>
      </c>
      <c r="AS246" t="s">
        <v>4541</v>
      </c>
      <c r="AT246" t="s">
        <v>2579</v>
      </c>
      <c r="AU246">
        <v>2023</v>
      </c>
      <c r="AV246">
        <v>174</v>
      </c>
      <c r="AW246" t="s">
        <v>74</v>
      </c>
      <c r="AX246" t="s">
        <v>74</v>
      </c>
      <c r="AY246" t="s">
        <v>74</v>
      </c>
      <c r="AZ246" t="s">
        <v>74</v>
      </c>
      <c r="BA246" t="s">
        <v>74</v>
      </c>
      <c r="BB246" t="s">
        <v>74</v>
      </c>
      <c r="BC246" t="s">
        <v>74</v>
      </c>
      <c r="BD246">
        <v>106397</v>
      </c>
      <c r="BE246" t="s">
        <v>4542</v>
      </c>
      <c r="BF246" t="str">
        <f>HYPERLINK("http://dx.doi.org/10.1016/j.cropro.2023.106397","http://dx.doi.org/10.1016/j.cropro.2023.106397")</f>
        <v>http://dx.doi.org/10.1016/j.cropro.2023.106397</v>
      </c>
      <c r="BG246" t="s">
        <v>74</v>
      </c>
      <c r="BH246" t="s">
        <v>74</v>
      </c>
      <c r="BI246">
        <v>9</v>
      </c>
      <c r="BJ246" t="s">
        <v>4543</v>
      </c>
      <c r="BK246" t="s">
        <v>100</v>
      </c>
      <c r="BL246" t="s">
        <v>3447</v>
      </c>
      <c r="BM246" t="s">
        <v>4544</v>
      </c>
      <c r="BN246" t="s">
        <v>74</v>
      </c>
      <c r="BO246" t="s">
        <v>74</v>
      </c>
      <c r="BP246" t="s">
        <v>74</v>
      </c>
      <c r="BQ246" t="s">
        <v>74</v>
      </c>
      <c r="BR246" t="s">
        <v>104</v>
      </c>
      <c r="BS246" t="s">
        <v>4545</v>
      </c>
      <c r="BT246" t="str">
        <f>HYPERLINK("https%3A%2F%2Fwww.webofscience.com%2Fwos%2Fwoscc%2Ffull-record%2FWOS:001065835000001","View Full Record in Web of Science")</f>
        <v>View Full Record in Web of Science</v>
      </c>
    </row>
    <row r="247" spans="1:72" x14ac:dyDescent="0.15">
      <c r="A247" t="s">
        <v>72</v>
      </c>
      <c r="B247" t="s">
        <v>4546</v>
      </c>
      <c r="C247" t="s">
        <v>74</v>
      </c>
      <c r="D247" t="s">
        <v>74</v>
      </c>
      <c r="E247" t="s">
        <v>74</v>
      </c>
      <c r="F247" t="s">
        <v>4547</v>
      </c>
      <c r="G247" t="s">
        <v>74</v>
      </c>
      <c r="H247" t="s">
        <v>74</v>
      </c>
      <c r="I247" t="s">
        <v>4548</v>
      </c>
      <c r="J247" t="s">
        <v>464</v>
      </c>
      <c r="K247" t="s">
        <v>74</v>
      </c>
      <c r="L247" t="s">
        <v>74</v>
      </c>
      <c r="M247" t="s">
        <v>78</v>
      </c>
      <c r="N247" t="s">
        <v>79</v>
      </c>
      <c r="O247" t="s">
        <v>74</v>
      </c>
      <c r="P247" t="s">
        <v>74</v>
      </c>
      <c r="Q247" t="s">
        <v>74</v>
      </c>
      <c r="R247" t="s">
        <v>74</v>
      </c>
      <c r="S247" t="s">
        <v>74</v>
      </c>
      <c r="T247" t="s">
        <v>4549</v>
      </c>
      <c r="U247" t="s">
        <v>74</v>
      </c>
      <c r="V247" t="s">
        <v>4550</v>
      </c>
      <c r="W247" t="s">
        <v>4551</v>
      </c>
      <c r="X247" t="s">
        <v>4552</v>
      </c>
      <c r="Y247" t="s">
        <v>4553</v>
      </c>
      <c r="Z247" t="s">
        <v>4554</v>
      </c>
      <c r="AA247" t="s">
        <v>74</v>
      </c>
      <c r="AB247" t="s">
        <v>74</v>
      </c>
      <c r="AC247" t="s">
        <v>74</v>
      </c>
      <c r="AD247" t="s">
        <v>74</v>
      </c>
      <c r="AE247" t="s">
        <v>74</v>
      </c>
      <c r="AF247" t="s">
        <v>74</v>
      </c>
      <c r="AG247">
        <v>8</v>
      </c>
      <c r="AH247">
        <v>0</v>
      </c>
      <c r="AI247">
        <v>0</v>
      </c>
      <c r="AJ247">
        <v>0</v>
      </c>
      <c r="AK247">
        <v>0</v>
      </c>
      <c r="AL247" t="s">
        <v>475</v>
      </c>
      <c r="AM247" t="s">
        <v>476</v>
      </c>
      <c r="AN247" t="s">
        <v>477</v>
      </c>
      <c r="AO247" t="s">
        <v>478</v>
      </c>
      <c r="AP247" t="s">
        <v>479</v>
      </c>
      <c r="AQ247" t="s">
        <v>74</v>
      </c>
      <c r="AR247" t="s">
        <v>480</v>
      </c>
      <c r="AS247" t="s">
        <v>481</v>
      </c>
      <c r="AT247" t="s">
        <v>2840</v>
      </c>
      <c r="AU247">
        <v>2023</v>
      </c>
      <c r="AV247">
        <v>528</v>
      </c>
      <c r="AW247">
        <v>1</v>
      </c>
      <c r="AX247" t="s">
        <v>74</v>
      </c>
      <c r="AY247" t="s">
        <v>74</v>
      </c>
      <c r="AZ247" t="s">
        <v>74</v>
      </c>
      <c r="BA247" t="s">
        <v>74</v>
      </c>
      <c r="BB247" t="s">
        <v>74</v>
      </c>
      <c r="BC247" t="s">
        <v>74</v>
      </c>
      <c r="BD247">
        <v>127598</v>
      </c>
      <c r="BE247" t="s">
        <v>4555</v>
      </c>
      <c r="BF247" t="str">
        <f>HYPERLINK("http://dx.doi.org/10.1016/j.jmaa.2023.127598","http://dx.doi.org/10.1016/j.jmaa.2023.127598")</f>
        <v>http://dx.doi.org/10.1016/j.jmaa.2023.127598</v>
      </c>
      <c r="BG247" t="s">
        <v>74</v>
      </c>
      <c r="BH247" t="s">
        <v>74</v>
      </c>
      <c r="BI247">
        <v>18</v>
      </c>
      <c r="BJ247" t="s">
        <v>99</v>
      </c>
      <c r="BK247" t="s">
        <v>100</v>
      </c>
      <c r="BL247" t="s">
        <v>101</v>
      </c>
      <c r="BM247" t="s">
        <v>4556</v>
      </c>
      <c r="BN247" t="s">
        <v>74</v>
      </c>
      <c r="BO247" t="s">
        <v>74</v>
      </c>
      <c r="BP247" t="s">
        <v>74</v>
      </c>
      <c r="BQ247" t="s">
        <v>74</v>
      </c>
      <c r="BR247" t="s">
        <v>104</v>
      </c>
      <c r="BS247" t="s">
        <v>4557</v>
      </c>
      <c r="BT247" t="str">
        <f>HYPERLINK("https%3A%2F%2Fwww.webofscience.com%2Fwos%2Fwoscc%2Ffull-record%2FWOS:001047067700001","View Full Record in Web of Science")</f>
        <v>View Full Record in Web of Science</v>
      </c>
    </row>
    <row r="248" spans="1:72" x14ac:dyDescent="0.15">
      <c r="A248" t="s">
        <v>72</v>
      </c>
      <c r="B248" t="s">
        <v>4558</v>
      </c>
      <c r="C248" t="s">
        <v>74</v>
      </c>
      <c r="D248" t="s">
        <v>74</v>
      </c>
      <c r="E248" t="s">
        <v>74</v>
      </c>
      <c r="F248" t="s">
        <v>4559</v>
      </c>
      <c r="G248" t="s">
        <v>74</v>
      </c>
      <c r="H248" t="s">
        <v>74</v>
      </c>
      <c r="I248" t="s">
        <v>4560</v>
      </c>
      <c r="J248" t="s">
        <v>1950</v>
      </c>
      <c r="K248" t="s">
        <v>74</v>
      </c>
      <c r="L248" t="s">
        <v>74</v>
      </c>
      <c r="M248" t="s">
        <v>78</v>
      </c>
      <c r="N248" t="s">
        <v>79</v>
      </c>
      <c r="O248" t="s">
        <v>74</v>
      </c>
      <c r="P248" t="s">
        <v>74</v>
      </c>
      <c r="Q248" t="s">
        <v>74</v>
      </c>
      <c r="R248" t="s">
        <v>74</v>
      </c>
      <c r="S248" t="s">
        <v>74</v>
      </c>
      <c r="T248" t="s">
        <v>4561</v>
      </c>
      <c r="U248" t="s">
        <v>4562</v>
      </c>
      <c r="V248" t="s">
        <v>4563</v>
      </c>
      <c r="W248" t="s">
        <v>4564</v>
      </c>
      <c r="X248" t="s">
        <v>4565</v>
      </c>
      <c r="Y248" t="s">
        <v>4566</v>
      </c>
      <c r="Z248" t="s">
        <v>4567</v>
      </c>
      <c r="AA248" t="s">
        <v>74</v>
      </c>
      <c r="AB248" t="s">
        <v>4568</v>
      </c>
      <c r="AC248" t="s">
        <v>4569</v>
      </c>
      <c r="AD248" t="s">
        <v>4570</v>
      </c>
      <c r="AE248" t="s">
        <v>4571</v>
      </c>
      <c r="AF248" t="s">
        <v>74</v>
      </c>
      <c r="AG248">
        <v>40</v>
      </c>
      <c r="AH248">
        <v>0</v>
      </c>
      <c r="AI248">
        <v>0</v>
      </c>
      <c r="AJ248">
        <v>8</v>
      </c>
      <c r="AK248">
        <v>8</v>
      </c>
      <c r="AL248" t="s">
        <v>173</v>
      </c>
      <c r="AM248" t="s">
        <v>121</v>
      </c>
      <c r="AN248" t="s">
        <v>174</v>
      </c>
      <c r="AO248" t="s">
        <v>1963</v>
      </c>
      <c r="AP248" t="s">
        <v>1964</v>
      </c>
      <c r="AQ248" t="s">
        <v>74</v>
      </c>
      <c r="AR248" t="s">
        <v>1950</v>
      </c>
      <c r="AS248" t="s">
        <v>1965</v>
      </c>
      <c r="AT248" t="s">
        <v>2840</v>
      </c>
      <c r="AU248">
        <v>2023</v>
      </c>
      <c r="AV248">
        <v>284</v>
      </c>
      <c r="AW248" t="s">
        <v>74</v>
      </c>
      <c r="AX248" t="s">
        <v>74</v>
      </c>
      <c r="AY248" t="s">
        <v>74</v>
      </c>
      <c r="AZ248" t="s">
        <v>74</v>
      </c>
      <c r="BA248" t="s">
        <v>74</v>
      </c>
      <c r="BB248" t="s">
        <v>74</v>
      </c>
      <c r="BC248" t="s">
        <v>74</v>
      </c>
      <c r="BD248">
        <v>128418</v>
      </c>
      <c r="BE248" t="s">
        <v>4572</v>
      </c>
      <c r="BF248" t="str">
        <f>HYPERLINK("http://dx.doi.org/10.1016/j.energy.2023.128418","http://dx.doi.org/10.1016/j.energy.2023.128418")</f>
        <v>http://dx.doi.org/10.1016/j.energy.2023.128418</v>
      </c>
      <c r="BG248" t="s">
        <v>74</v>
      </c>
      <c r="BH248" t="s">
        <v>74</v>
      </c>
      <c r="BI248">
        <v>15</v>
      </c>
      <c r="BJ248" t="s">
        <v>1967</v>
      </c>
      <c r="BK248" t="s">
        <v>100</v>
      </c>
      <c r="BL248" t="s">
        <v>1967</v>
      </c>
      <c r="BM248" t="s">
        <v>4573</v>
      </c>
      <c r="BN248" t="s">
        <v>74</v>
      </c>
      <c r="BO248" t="s">
        <v>74</v>
      </c>
      <c r="BP248" t="s">
        <v>74</v>
      </c>
      <c r="BQ248" t="s">
        <v>74</v>
      </c>
      <c r="BR248" t="s">
        <v>104</v>
      </c>
      <c r="BS248" t="s">
        <v>4574</v>
      </c>
      <c r="BT248" t="str">
        <f>HYPERLINK("https%3A%2F%2Fwww.webofscience.com%2Fwos%2Fwoscc%2Ffull-record%2FWOS:001052376000001","View Full Record in Web of Science")</f>
        <v>View Full Record in Web of Science</v>
      </c>
    </row>
    <row r="249" spans="1:72" x14ac:dyDescent="0.15">
      <c r="A249" t="s">
        <v>72</v>
      </c>
      <c r="B249" t="s">
        <v>4575</v>
      </c>
      <c r="C249" t="s">
        <v>74</v>
      </c>
      <c r="D249" t="s">
        <v>74</v>
      </c>
      <c r="E249" t="s">
        <v>74</v>
      </c>
      <c r="F249" t="s">
        <v>4576</v>
      </c>
      <c r="G249" t="s">
        <v>74</v>
      </c>
      <c r="H249" t="s">
        <v>74</v>
      </c>
      <c r="I249" t="s">
        <v>4577</v>
      </c>
      <c r="J249" t="s">
        <v>4578</v>
      </c>
      <c r="K249" t="s">
        <v>74</v>
      </c>
      <c r="L249" t="s">
        <v>74</v>
      </c>
      <c r="M249" t="s">
        <v>78</v>
      </c>
      <c r="N249" t="s">
        <v>79</v>
      </c>
      <c r="O249" t="s">
        <v>74</v>
      </c>
      <c r="P249" t="s">
        <v>74</v>
      </c>
      <c r="Q249" t="s">
        <v>74</v>
      </c>
      <c r="R249" t="s">
        <v>74</v>
      </c>
      <c r="S249" t="s">
        <v>74</v>
      </c>
      <c r="T249" t="s">
        <v>4579</v>
      </c>
      <c r="U249" t="s">
        <v>4580</v>
      </c>
      <c r="V249" t="s">
        <v>4581</v>
      </c>
      <c r="W249" t="s">
        <v>4582</v>
      </c>
      <c r="X249" t="s">
        <v>4583</v>
      </c>
      <c r="Y249" t="s">
        <v>4584</v>
      </c>
      <c r="Z249" t="s">
        <v>4585</v>
      </c>
      <c r="AA249" t="s">
        <v>74</v>
      </c>
      <c r="AB249" t="s">
        <v>74</v>
      </c>
      <c r="AC249" t="s">
        <v>4586</v>
      </c>
      <c r="AD249" t="s">
        <v>4587</v>
      </c>
      <c r="AE249" t="s">
        <v>4588</v>
      </c>
      <c r="AF249" t="s">
        <v>74</v>
      </c>
      <c r="AG249">
        <v>37</v>
      </c>
      <c r="AH249">
        <v>0</v>
      </c>
      <c r="AI249">
        <v>0</v>
      </c>
      <c r="AJ249">
        <v>7</v>
      </c>
      <c r="AK249">
        <v>7</v>
      </c>
      <c r="AL249" t="s">
        <v>90</v>
      </c>
      <c r="AM249" t="s">
        <v>91</v>
      </c>
      <c r="AN249" t="s">
        <v>92</v>
      </c>
      <c r="AO249" t="s">
        <v>4589</v>
      </c>
      <c r="AP249" t="s">
        <v>4590</v>
      </c>
      <c r="AQ249" t="s">
        <v>74</v>
      </c>
      <c r="AR249" t="s">
        <v>4591</v>
      </c>
      <c r="AS249" t="s">
        <v>4592</v>
      </c>
      <c r="AT249" t="s">
        <v>2579</v>
      </c>
      <c r="AU249">
        <v>2023</v>
      </c>
      <c r="AV249">
        <v>213</v>
      </c>
      <c r="AW249" t="s">
        <v>74</v>
      </c>
      <c r="AX249" t="s">
        <v>74</v>
      </c>
      <c r="AY249" t="s">
        <v>74</v>
      </c>
      <c r="AZ249" t="s">
        <v>74</v>
      </c>
      <c r="BA249" t="s">
        <v>74</v>
      </c>
      <c r="BB249" t="s">
        <v>74</v>
      </c>
      <c r="BC249" t="s">
        <v>74</v>
      </c>
      <c r="BD249">
        <v>109200</v>
      </c>
      <c r="BE249" t="s">
        <v>4593</v>
      </c>
      <c r="BF249" t="str">
        <f>HYPERLINK("http://dx.doi.org/10.1016/j.sigpro.2023.109200","http://dx.doi.org/10.1016/j.sigpro.2023.109200")</f>
        <v>http://dx.doi.org/10.1016/j.sigpro.2023.109200</v>
      </c>
      <c r="BG249" t="s">
        <v>74</v>
      </c>
      <c r="BH249" t="s">
        <v>74</v>
      </c>
      <c r="BI249">
        <v>10</v>
      </c>
      <c r="BJ249" t="s">
        <v>4594</v>
      </c>
      <c r="BK249" t="s">
        <v>100</v>
      </c>
      <c r="BL249" t="s">
        <v>873</v>
      </c>
      <c r="BM249" t="s">
        <v>4595</v>
      </c>
      <c r="BN249" t="s">
        <v>74</v>
      </c>
      <c r="BO249" t="s">
        <v>74</v>
      </c>
      <c r="BP249" t="s">
        <v>74</v>
      </c>
      <c r="BQ249" t="s">
        <v>74</v>
      </c>
      <c r="BR249" t="s">
        <v>104</v>
      </c>
      <c r="BS249" t="s">
        <v>4596</v>
      </c>
      <c r="BT249" t="str">
        <f>HYPERLINK("https%3A%2F%2Fwww.webofscience.com%2Fwos%2Fwoscc%2Ffull-record%2FWOS:001053481700001","View Full Record in Web of Science")</f>
        <v>View Full Record in Web of Science</v>
      </c>
    </row>
    <row r="250" spans="1:72" x14ac:dyDescent="0.15">
      <c r="A250" t="s">
        <v>72</v>
      </c>
      <c r="B250" t="s">
        <v>4597</v>
      </c>
      <c r="C250" t="s">
        <v>74</v>
      </c>
      <c r="D250" t="s">
        <v>74</v>
      </c>
      <c r="E250" t="s">
        <v>74</v>
      </c>
      <c r="F250" t="s">
        <v>4598</v>
      </c>
      <c r="G250" t="s">
        <v>74</v>
      </c>
      <c r="H250" t="s">
        <v>74</v>
      </c>
      <c r="I250" t="s">
        <v>4599</v>
      </c>
      <c r="J250" t="s">
        <v>3740</v>
      </c>
      <c r="K250" t="s">
        <v>74</v>
      </c>
      <c r="L250" t="s">
        <v>74</v>
      </c>
      <c r="M250" t="s">
        <v>78</v>
      </c>
      <c r="N250" t="s">
        <v>79</v>
      </c>
      <c r="O250" t="s">
        <v>74</v>
      </c>
      <c r="P250" t="s">
        <v>74</v>
      </c>
      <c r="Q250" t="s">
        <v>74</v>
      </c>
      <c r="R250" t="s">
        <v>74</v>
      </c>
      <c r="S250" t="s">
        <v>74</v>
      </c>
      <c r="T250" t="s">
        <v>4600</v>
      </c>
      <c r="U250" t="s">
        <v>4601</v>
      </c>
      <c r="V250" t="s">
        <v>4602</v>
      </c>
      <c r="W250" t="s">
        <v>4603</v>
      </c>
      <c r="X250" t="s">
        <v>4604</v>
      </c>
      <c r="Y250" t="s">
        <v>4605</v>
      </c>
      <c r="Z250" t="s">
        <v>4606</v>
      </c>
      <c r="AA250" t="s">
        <v>74</v>
      </c>
      <c r="AB250" t="s">
        <v>4607</v>
      </c>
      <c r="AC250" t="s">
        <v>4608</v>
      </c>
      <c r="AD250" t="s">
        <v>4609</v>
      </c>
      <c r="AE250" t="s">
        <v>4610</v>
      </c>
      <c r="AF250" t="s">
        <v>74</v>
      </c>
      <c r="AG250">
        <v>69</v>
      </c>
      <c r="AH250">
        <v>0</v>
      </c>
      <c r="AI250">
        <v>0</v>
      </c>
      <c r="AJ250">
        <v>2</v>
      </c>
      <c r="AK250">
        <v>2</v>
      </c>
      <c r="AL250" t="s">
        <v>90</v>
      </c>
      <c r="AM250" t="s">
        <v>91</v>
      </c>
      <c r="AN250" t="s">
        <v>92</v>
      </c>
      <c r="AO250" t="s">
        <v>3751</v>
      </c>
      <c r="AP250" t="s">
        <v>3752</v>
      </c>
      <c r="AQ250" t="s">
        <v>74</v>
      </c>
      <c r="AR250" t="s">
        <v>3753</v>
      </c>
      <c r="AS250" t="s">
        <v>3754</v>
      </c>
      <c r="AT250" t="s">
        <v>2840</v>
      </c>
      <c r="AU250">
        <v>2023</v>
      </c>
      <c r="AV250">
        <v>252</v>
      </c>
      <c r="AW250" t="s">
        <v>74</v>
      </c>
      <c r="AX250" t="s">
        <v>74</v>
      </c>
      <c r="AY250" t="s">
        <v>74</v>
      </c>
      <c r="AZ250" t="s">
        <v>74</v>
      </c>
      <c r="BA250" t="s">
        <v>74</v>
      </c>
      <c r="BB250" t="s">
        <v>74</v>
      </c>
      <c r="BC250" t="s">
        <v>74</v>
      </c>
      <c r="BD250">
        <v>126359</v>
      </c>
      <c r="BE250" t="s">
        <v>4611</v>
      </c>
      <c r="BF250" t="str">
        <f>HYPERLINK("http://dx.doi.org/10.1016/j.ijbiomac.2023.126359","http://dx.doi.org/10.1016/j.ijbiomac.2023.126359")</f>
        <v>http://dx.doi.org/10.1016/j.ijbiomac.2023.126359</v>
      </c>
      <c r="BG250" t="s">
        <v>74</v>
      </c>
      <c r="BH250" t="s">
        <v>74</v>
      </c>
      <c r="BI250">
        <v>13</v>
      </c>
      <c r="BJ250" t="s">
        <v>3756</v>
      </c>
      <c r="BK250" t="s">
        <v>100</v>
      </c>
      <c r="BL250" t="s">
        <v>3757</v>
      </c>
      <c r="BM250" t="s">
        <v>4612</v>
      </c>
      <c r="BN250">
        <v>37619687</v>
      </c>
      <c r="BO250" t="s">
        <v>74</v>
      </c>
      <c r="BP250" t="s">
        <v>74</v>
      </c>
      <c r="BQ250" t="s">
        <v>74</v>
      </c>
      <c r="BR250" t="s">
        <v>104</v>
      </c>
      <c r="BS250" t="s">
        <v>4613</v>
      </c>
      <c r="BT250" t="str">
        <f>HYPERLINK("https%3A%2F%2Fwww.webofscience.com%2Fwos%2Fwoscc%2Ffull-record%2FWOS:001071384800001","View Full Record in Web of Science")</f>
        <v>View Full Record in Web of Science</v>
      </c>
    </row>
    <row r="251" spans="1:72" x14ac:dyDescent="0.15">
      <c r="A251" t="s">
        <v>72</v>
      </c>
      <c r="B251" t="s">
        <v>4614</v>
      </c>
      <c r="C251" t="s">
        <v>74</v>
      </c>
      <c r="D251" t="s">
        <v>74</v>
      </c>
      <c r="E251" t="s">
        <v>74</v>
      </c>
      <c r="F251" t="s">
        <v>4615</v>
      </c>
      <c r="G251" t="s">
        <v>74</v>
      </c>
      <c r="H251" t="s">
        <v>74</v>
      </c>
      <c r="I251" t="s">
        <v>4616</v>
      </c>
      <c r="J251" t="s">
        <v>3882</v>
      </c>
      <c r="K251" t="s">
        <v>74</v>
      </c>
      <c r="L251" t="s">
        <v>74</v>
      </c>
      <c r="M251" t="s">
        <v>78</v>
      </c>
      <c r="N251" t="s">
        <v>79</v>
      </c>
      <c r="O251" t="s">
        <v>74</v>
      </c>
      <c r="P251" t="s">
        <v>74</v>
      </c>
      <c r="Q251" t="s">
        <v>74</v>
      </c>
      <c r="R251" t="s">
        <v>74</v>
      </c>
      <c r="S251" t="s">
        <v>74</v>
      </c>
      <c r="T251" t="s">
        <v>4617</v>
      </c>
      <c r="U251" t="s">
        <v>74</v>
      </c>
      <c r="V251" t="s">
        <v>4618</v>
      </c>
      <c r="W251" t="s">
        <v>4619</v>
      </c>
      <c r="X251" t="s">
        <v>3308</v>
      </c>
      <c r="Y251" t="s">
        <v>4620</v>
      </c>
      <c r="Z251" t="s">
        <v>4621</v>
      </c>
      <c r="AA251" t="s">
        <v>74</v>
      </c>
      <c r="AB251" t="s">
        <v>74</v>
      </c>
      <c r="AC251" t="s">
        <v>4622</v>
      </c>
      <c r="AD251" t="s">
        <v>4623</v>
      </c>
      <c r="AE251" t="s">
        <v>4624</v>
      </c>
      <c r="AF251" t="s">
        <v>74</v>
      </c>
      <c r="AG251">
        <v>12</v>
      </c>
      <c r="AH251">
        <v>0</v>
      </c>
      <c r="AI251">
        <v>0</v>
      </c>
      <c r="AJ251">
        <v>8</v>
      </c>
      <c r="AK251">
        <v>8</v>
      </c>
      <c r="AL251" t="s">
        <v>120</v>
      </c>
      <c r="AM251" t="s">
        <v>121</v>
      </c>
      <c r="AN251" t="s">
        <v>122</v>
      </c>
      <c r="AO251" t="s">
        <v>3893</v>
      </c>
      <c r="AP251" t="s">
        <v>3894</v>
      </c>
      <c r="AQ251" t="s">
        <v>74</v>
      </c>
      <c r="AR251" t="s">
        <v>3895</v>
      </c>
      <c r="AS251" t="s">
        <v>3896</v>
      </c>
      <c r="AT251" t="s">
        <v>2579</v>
      </c>
      <c r="AU251">
        <v>2023</v>
      </c>
      <c r="AV251">
        <v>211</v>
      </c>
      <c r="AW251" t="s">
        <v>74</v>
      </c>
      <c r="AX251" t="s">
        <v>74</v>
      </c>
      <c r="AY251" t="s">
        <v>74</v>
      </c>
      <c r="AZ251" t="s">
        <v>74</v>
      </c>
      <c r="BA251" t="s">
        <v>74</v>
      </c>
      <c r="BB251" t="s">
        <v>74</v>
      </c>
      <c r="BC251" t="s">
        <v>74</v>
      </c>
      <c r="BD251">
        <v>108133</v>
      </c>
      <c r="BE251" t="s">
        <v>4625</v>
      </c>
      <c r="BF251" t="str">
        <f>HYPERLINK("http://dx.doi.org/10.1016/j.jcsr.2023.108133","http://dx.doi.org/10.1016/j.jcsr.2023.108133")</f>
        <v>http://dx.doi.org/10.1016/j.jcsr.2023.108133</v>
      </c>
      <c r="BG251" t="s">
        <v>74</v>
      </c>
      <c r="BH251" t="s">
        <v>74</v>
      </c>
      <c r="BI251">
        <v>18</v>
      </c>
      <c r="BJ251" t="s">
        <v>3898</v>
      </c>
      <c r="BK251" t="s">
        <v>100</v>
      </c>
      <c r="BL251" t="s">
        <v>3899</v>
      </c>
      <c r="BM251" t="s">
        <v>4626</v>
      </c>
      <c r="BN251" t="s">
        <v>74</v>
      </c>
      <c r="BO251" t="s">
        <v>74</v>
      </c>
      <c r="BP251" t="s">
        <v>74</v>
      </c>
      <c r="BQ251" t="s">
        <v>74</v>
      </c>
      <c r="BR251" t="s">
        <v>104</v>
      </c>
      <c r="BS251" t="s">
        <v>4627</v>
      </c>
      <c r="BT251" t="str">
        <f>HYPERLINK("https%3A%2F%2Fwww.webofscience.com%2Fwos%2Fwoscc%2Ffull-record%2FWOS:001049567600001","View Full Record in Web of Science")</f>
        <v>View Full Record in Web of Science</v>
      </c>
    </row>
    <row r="252" spans="1:72" x14ac:dyDescent="0.15">
      <c r="A252" t="s">
        <v>72</v>
      </c>
      <c r="B252" t="s">
        <v>4628</v>
      </c>
      <c r="C252" t="s">
        <v>74</v>
      </c>
      <c r="D252" t="s">
        <v>74</v>
      </c>
      <c r="E252" t="s">
        <v>74</v>
      </c>
      <c r="F252" t="s">
        <v>4629</v>
      </c>
      <c r="G252" t="s">
        <v>74</v>
      </c>
      <c r="H252" t="s">
        <v>74</v>
      </c>
      <c r="I252" t="s">
        <v>4630</v>
      </c>
      <c r="J252" t="s">
        <v>1609</v>
      </c>
      <c r="K252" t="s">
        <v>74</v>
      </c>
      <c r="L252" t="s">
        <v>74</v>
      </c>
      <c r="M252" t="s">
        <v>78</v>
      </c>
      <c r="N252" t="s">
        <v>79</v>
      </c>
      <c r="O252" t="s">
        <v>74</v>
      </c>
      <c r="P252" t="s">
        <v>74</v>
      </c>
      <c r="Q252" t="s">
        <v>74</v>
      </c>
      <c r="R252" t="s">
        <v>74</v>
      </c>
      <c r="S252" t="s">
        <v>74</v>
      </c>
      <c r="T252" t="s">
        <v>4631</v>
      </c>
      <c r="U252" t="s">
        <v>4632</v>
      </c>
      <c r="V252" t="s">
        <v>4633</v>
      </c>
      <c r="W252" t="s">
        <v>4634</v>
      </c>
      <c r="X252" t="s">
        <v>4635</v>
      </c>
      <c r="Y252" t="s">
        <v>4636</v>
      </c>
      <c r="Z252" t="s">
        <v>4637</v>
      </c>
      <c r="AA252" t="s">
        <v>4638</v>
      </c>
      <c r="AB252" t="s">
        <v>4639</v>
      </c>
      <c r="AC252" t="s">
        <v>74</v>
      </c>
      <c r="AD252" t="s">
        <v>74</v>
      </c>
      <c r="AE252" t="s">
        <v>74</v>
      </c>
      <c r="AF252" t="s">
        <v>74</v>
      </c>
      <c r="AG252">
        <v>38</v>
      </c>
      <c r="AH252">
        <v>0</v>
      </c>
      <c r="AI252">
        <v>0</v>
      </c>
      <c r="AJ252">
        <v>1</v>
      </c>
      <c r="AK252">
        <v>1</v>
      </c>
      <c r="AL252" t="s">
        <v>173</v>
      </c>
      <c r="AM252" t="s">
        <v>121</v>
      </c>
      <c r="AN252" t="s">
        <v>174</v>
      </c>
      <c r="AO252" t="s">
        <v>1618</v>
      </c>
      <c r="AP252" t="s">
        <v>1619</v>
      </c>
      <c r="AQ252" t="s">
        <v>74</v>
      </c>
      <c r="AR252" t="s">
        <v>1620</v>
      </c>
      <c r="AS252" t="s">
        <v>1621</v>
      </c>
      <c r="AT252" t="s">
        <v>2840</v>
      </c>
      <c r="AU252">
        <v>2023</v>
      </c>
      <c r="AV252">
        <v>193</v>
      </c>
      <c r="AW252" t="s">
        <v>74</v>
      </c>
      <c r="AX252" t="s">
        <v>74</v>
      </c>
      <c r="AY252" t="s">
        <v>74</v>
      </c>
      <c r="AZ252" t="s">
        <v>74</v>
      </c>
      <c r="BA252" t="s">
        <v>74</v>
      </c>
      <c r="BB252" t="s">
        <v>74</v>
      </c>
      <c r="BC252" t="s">
        <v>74</v>
      </c>
      <c r="BD252">
        <v>110058</v>
      </c>
      <c r="BE252" t="s">
        <v>4640</v>
      </c>
      <c r="BF252" t="str">
        <f>HYPERLINK("http://dx.doi.org/10.1016/j.anucene.2023.110058","http://dx.doi.org/10.1016/j.anucene.2023.110058")</f>
        <v>http://dx.doi.org/10.1016/j.anucene.2023.110058</v>
      </c>
      <c r="BG252" t="s">
        <v>74</v>
      </c>
      <c r="BH252" t="s">
        <v>74</v>
      </c>
      <c r="BI252">
        <v>9</v>
      </c>
      <c r="BJ252" t="s">
        <v>1623</v>
      </c>
      <c r="BK252" t="s">
        <v>100</v>
      </c>
      <c r="BL252" t="s">
        <v>1623</v>
      </c>
      <c r="BM252" t="s">
        <v>4641</v>
      </c>
      <c r="BN252" t="s">
        <v>74</v>
      </c>
      <c r="BO252" t="s">
        <v>74</v>
      </c>
      <c r="BP252" t="s">
        <v>74</v>
      </c>
      <c r="BQ252" t="s">
        <v>74</v>
      </c>
      <c r="BR252" t="s">
        <v>104</v>
      </c>
      <c r="BS252" t="s">
        <v>4642</v>
      </c>
      <c r="BT252" t="str">
        <f>HYPERLINK("https%3A%2F%2Fwww.webofscience.com%2Fwos%2Fwoscc%2Ffull-record%2FWOS:001051337100001","View Full Record in Web of Science")</f>
        <v>View Full Record in Web of Science</v>
      </c>
    </row>
    <row r="253" spans="1:72" x14ac:dyDescent="0.15">
      <c r="A253" t="s">
        <v>72</v>
      </c>
      <c r="B253" t="s">
        <v>4643</v>
      </c>
      <c r="C253" t="s">
        <v>74</v>
      </c>
      <c r="D253" t="s">
        <v>74</v>
      </c>
      <c r="E253" t="s">
        <v>74</v>
      </c>
      <c r="F253" t="s">
        <v>4644</v>
      </c>
      <c r="G253" t="s">
        <v>74</v>
      </c>
      <c r="H253" t="s">
        <v>74</v>
      </c>
      <c r="I253" t="s">
        <v>4645</v>
      </c>
      <c r="J253" t="s">
        <v>3382</v>
      </c>
      <c r="K253" t="s">
        <v>74</v>
      </c>
      <c r="L253" t="s">
        <v>74</v>
      </c>
      <c r="M253" t="s">
        <v>78</v>
      </c>
      <c r="N253" t="s">
        <v>79</v>
      </c>
      <c r="O253" t="s">
        <v>74</v>
      </c>
      <c r="P253" t="s">
        <v>74</v>
      </c>
      <c r="Q253" t="s">
        <v>74</v>
      </c>
      <c r="R253" t="s">
        <v>74</v>
      </c>
      <c r="S253" t="s">
        <v>74</v>
      </c>
      <c r="T253" t="s">
        <v>4646</v>
      </c>
      <c r="U253" t="s">
        <v>4647</v>
      </c>
      <c r="V253" t="s">
        <v>4648</v>
      </c>
      <c r="W253" t="s">
        <v>4649</v>
      </c>
      <c r="X253" t="s">
        <v>4650</v>
      </c>
      <c r="Y253" t="s">
        <v>4651</v>
      </c>
      <c r="Z253" t="s">
        <v>4652</v>
      </c>
      <c r="AA253" t="s">
        <v>74</v>
      </c>
      <c r="AB253" t="s">
        <v>74</v>
      </c>
      <c r="AC253" t="s">
        <v>4653</v>
      </c>
      <c r="AD253" t="s">
        <v>4654</v>
      </c>
      <c r="AE253" t="s">
        <v>4655</v>
      </c>
      <c r="AF253" t="s">
        <v>74</v>
      </c>
      <c r="AG253">
        <v>57</v>
      </c>
      <c r="AH253">
        <v>0</v>
      </c>
      <c r="AI253">
        <v>0</v>
      </c>
      <c r="AJ253">
        <v>10</v>
      </c>
      <c r="AK253">
        <v>10</v>
      </c>
      <c r="AL253" t="s">
        <v>120</v>
      </c>
      <c r="AM253" t="s">
        <v>121</v>
      </c>
      <c r="AN253" t="s">
        <v>122</v>
      </c>
      <c r="AO253" t="s">
        <v>3390</v>
      </c>
      <c r="AP253" t="s">
        <v>3391</v>
      </c>
      <c r="AQ253" t="s">
        <v>74</v>
      </c>
      <c r="AR253" t="s">
        <v>3392</v>
      </c>
      <c r="AS253" t="s">
        <v>3393</v>
      </c>
      <c r="AT253" t="s">
        <v>2579</v>
      </c>
      <c r="AU253">
        <v>2023</v>
      </c>
      <c r="AV253">
        <v>145</v>
      </c>
      <c r="AW253" t="s">
        <v>74</v>
      </c>
      <c r="AX253" t="s">
        <v>74</v>
      </c>
      <c r="AY253" t="s">
        <v>74</v>
      </c>
      <c r="AZ253" t="s">
        <v>74</v>
      </c>
      <c r="BA253" t="s">
        <v>74</v>
      </c>
      <c r="BB253" t="s">
        <v>74</v>
      </c>
      <c r="BC253" t="s">
        <v>74</v>
      </c>
      <c r="BD253">
        <v>109086</v>
      </c>
      <c r="BE253" t="s">
        <v>4656</v>
      </c>
      <c r="BF253" t="str">
        <f>HYPERLINK("http://dx.doi.org/10.1016/j.foodhyd.2023.109086","http://dx.doi.org/10.1016/j.foodhyd.2023.109086")</f>
        <v>http://dx.doi.org/10.1016/j.foodhyd.2023.109086</v>
      </c>
      <c r="BG253" t="s">
        <v>74</v>
      </c>
      <c r="BH253" t="s">
        <v>74</v>
      </c>
      <c r="BI253">
        <v>11</v>
      </c>
      <c r="BJ253" t="s">
        <v>1849</v>
      </c>
      <c r="BK253" t="s">
        <v>100</v>
      </c>
      <c r="BL253" t="s">
        <v>1851</v>
      </c>
      <c r="BM253" t="s">
        <v>4657</v>
      </c>
      <c r="BN253" t="s">
        <v>74</v>
      </c>
      <c r="BO253" t="s">
        <v>74</v>
      </c>
      <c r="BP253" t="s">
        <v>74</v>
      </c>
      <c r="BQ253" t="s">
        <v>74</v>
      </c>
      <c r="BR253" t="s">
        <v>104</v>
      </c>
      <c r="BS253" t="s">
        <v>4658</v>
      </c>
      <c r="BT253" t="str">
        <f>HYPERLINK("https%3A%2F%2Fwww.webofscience.com%2Fwos%2Fwoscc%2Ffull-record%2FWOS:001046123600001","View Full Record in Web of Science")</f>
        <v>View Full Record in Web of Science</v>
      </c>
    </row>
    <row r="254" spans="1:72" x14ac:dyDescent="0.15">
      <c r="A254" t="s">
        <v>72</v>
      </c>
      <c r="B254" t="s">
        <v>4659</v>
      </c>
      <c r="C254" t="s">
        <v>74</v>
      </c>
      <c r="D254" t="s">
        <v>74</v>
      </c>
      <c r="E254" t="s">
        <v>74</v>
      </c>
      <c r="F254" t="s">
        <v>4660</v>
      </c>
      <c r="G254" t="s">
        <v>74</v>
      </c>
      <c r="H254" t="s">
        <v>74</v>
      </c>
      <c r="I254" t="s">
        <v>4661</v>
      </c>
      <c r="J254" t="s">
        <v>1524</v>
      </c>
      <c r="K254" t="s">
        <v>74</v>
      </c>
      <c r="L254" t="s">
        <v>74</v>
      </c>
      <c r="M254" t="s">
        <v>78</v>
      </c>
      <c r="N254" t="s">
        <v>79</v>
      </c>
      <c r="O254" t="s">
        <v>74</v>
      </c>
      <c r="P254" t="s">
        <v>74</v>
      </c>
      <c r="Q254" t="s">
        <v>74</v>
      </c>
      <c r="R254" t="s">
        <v>74</v>
      </c>
      <c r="S254" t="s">
        <v>74</v>
      </c>
      <c r="T254" t="s">
        <v>4662</v>
      </c>
      <c r="U254" t="s">
        <v>4663</v>
      </c>
      <c r="V254" t="s">
        <v>4664</v>
      </c>
      <c r="W254" t="s">
        <v>4665</v>
      </c>
      <c r="X254" t="s">
        <v>4666</v>
      </c>
      <c r="Y254" t="s">
        <v>4667</v>
      </c>
      <c r="Z254" t="s">
        <v>4668</v>
      </c>
      <c r="AA254" t="s">
        <v>74</v>
      </c>
      <c r="AB254" t="s">
        <v>74</v>
      </c>
      <c r="AC254" t="s">
        <v>4669</v>
      </c>
      <c r="AD254" t="s">
        <v>4670</v>
      </c>
      <c r="AE254" t="s">
        <v>4671</v>
      </c>
      <c r="AF254" t="s">
        <v>74</v>
      </c>
      <c r="AG254">
        <v>88</v>
      </c>
      <c r="AH254">
        <v>0</v>
      </c>
      <c r="AI254">
        <v>0</v>
      </c>
      <c r="AJ254">
        <v>9</v>
      </c>
      <c r="AK254">
        <v>9</v>
      </c>
      <c r="AL254" t="s">
        <v>90</v>
      </c>
      <c r="AM254" t="s">
        <v>91</v>
      </c>
      <c r="AN254" t="s">
        <v>92</v>
      </c>
      <c r="AO254" t="s">
        <v>1534</v>
      </c>
      <c r="AP254" t="s">
        <v>1535</v>
      </c>
      <c r="AQ254" t="s">
        <v>74</v>
      </c>
      <c r="AR254" t="s">
        <v>1536</v>
      </c>
      <c r="AS254" t="s">
        <v>1537</v>
      </c>
      <c r="AT254" t="s">
        <v>2840</v>
      </c>
      <c r="AU254">
        <v>2023</v>
      </c>
      <c r="AV254">
        <v>902</v>
      </c>
      <c r="AW254" t="s">
        <v>74</v>
      </c>
      <c r="AX254" t="s">
        <v>74</v>
      </c>
      <c r="AY254" t="s">
        <v>74</v>
      </c>
      <c r="AZ254" t="s">
        <v>74</v>
      </c>
      <c r="BA254" t="s">
        <v>74</v>
      </c>
      <c r="BB254" t="s">
        <v>74</v>
      </c>
      <c r="BC254" t="s">
        <v>74</v>
      </c>
      <c r="BD254">
        <v>166059</v>
      </c>
      <c r="BE254" t="s">
        <v>4672</v>
      </c>
      <c r="BF254" t="str">
        <f>HYPERLINK("http://dx.doi.org/10.1016/j.scitotenv.2023.166059","http://dx.doi.org/10.1016/j.scitotenv.2023.166059")</f>
        <v>http://dx.doi.org/10.1016/j.scitotenv.2023.166059</v>
      </c>
      <c r="BG254" t="s">
        <v>74</v>
      </c>
      <c r="BH254" t="s">
        <v>74</v>
      </c>
      <c r="BI254">
        <v>10</v>
      </c>
      <c r="BJ254" t="s">
        <v>1539</v>
      </c>
      <c r="BK254" t="s">
        <v>100</v>
      </c>
      <c r="BL254" t="s">
        <v>1540</v>
      </c>
      <c r="BM254" t="s">
        <v>4673</v>
      </c>
      <c r="BN254">
        <v>37543343</v>
      </c>
      <c r="BO254" t="s">
        <v>74</v>
      </c>
      <c r="BP254" t="s">
        <v>74</v>
      </c>
      <c r="BQ254" t="s">
        <v>74</v>
      </c>
      <c r="BR254" t="s">
        <v>104</v>
      </c>
      <c r="BS254" t="s">
        <v>4674</v>
      </c>
      <c r="BT254" t="str">
        <f>HYPERLINK("https%3A%2F%2Fwww.webofscience.com%2Fwos%2Fwoscc%2Ffull-record%2FWOS:001063301000001","View Full Record in Web of Science")</f>
        <v>View Full Record in Web of Science</v>
      </c>
    </row>
    <row r="255" spans="1:72" x14ac:dyDescent="0.15">
      <c r="A255" t="s">
        <v>72</v>
      </c>
      <c r="B255" t="s">
        <v>4675</v>
      </c>
      <c r="C255" t="s">
        <v>74</v>
      </c>
      <c r="D255" t="s">
        <v>74</v>
      </c>
      <c r="E255" t="s">
        <v>74</v>
      </c>
      <c r="F255" t="s">
        <v>4676</v>
      </c>
      <c r="G255" t="s">
        <v>74</v>
      </c>
      <c r="H255" t="s">
        <v>74</v>
      </c>
      <c r="I255" t="s">
        <v>4677</v>
      </c>
      <c r="J255" t="s">
        <v>2631</v>
      </c>
      <c r="K255" t="s">
        <v>74</v>
      </c>
      <c r="L255" t="s">
        <v>74</v>
      </c>
      <c r="M255" t="s">
        <v>78</v>
      </c>
      <c r="N255" t="s">
        <v>79</v>
      </c>
      <c r="O255" t="s">
        <v>74</v>
      </c>
      <c r="P255" t="s">
        <v>74</v>
      </c>
      <c r="Q255" t="s">
        <v>74</v>
      </c>
      <c r="R255" t="s">
        <v>74</v>
      </c>
      <c r="S255" t="s">
        <v>74</v>
      </c>
      <c r="T255" t="s">
        <v>4678</v>
      </c>
      <c r="U255" t="s">
        <v>4679</v>
      </c>
      <c r="V255" t="s">
        <v>4680</v>
      </c>
      <c r="W255" t="s">
        <v>4681</v>
      </c>
      <c r="X255" t="s">
        <v>4682</v>
      </c>
      <c r="Y255" t="s">
        <v>4683</v>
      </c>
      <c r="Z255" t="s">
        <v>4684</v>
      </c>
      <c r="AA255" t="s">
        <v>74</v>
      </c>
      <c r="AB255" t="s">
        <v>4685</v>
      </c>
      <c r="AC255" t="s">
        <v>4686</v>
      </c>
      <c r="AD255" t="s">
        <v>4687</v>
      </c>
      <c r="AE255" t="s">
        <v>4688</v>
      </c>
      <c r="AF255" t="s">
        <v>74</v>
      </c>
      <c r="AG255">
        <v>34</v>
      </c>
      <c r="AH255">
        <v>0</v>
      </c>
      <c r="AI255">
        <v>0</v>
      </c>
      <c r="AJ255">
        <v>6</v>
      </c>
      <c r="AK255">
        <v>6</v>
      </c>
      <c r="AL255" t="s">
        <v>90</v>
      </c>
      <c r="AM255" t="s">
        <v>91</v>
      </c>
      <c r="AN255" t="s">
        <v>92</v>
      </c>
      <c r="AO255" t="s">
        <v>2643</v>
      </c>
      <c r="AP255" t="s">
        <v>74</v>
      </c>
      <c r="AQ255" t="s">
        <v>74</v>
      </c>
      <c r="AR255" t="s">
        <v>2644</v>
      </c>
      <c r="AS255" t="s">
        <v>2645</v>
      </c>
      <c r="AT255" t="s">
        <v>2579</v>
      </c>
      <c r="AU255">
        <v>2023</v>
      </c>
      <c r="AV255">
        <v>19</v>
      </c>
      <c r="AW255" t="s">
        <v>74</v>
      </c>
      <c r="AX255" t="s">
        <v>74</v>
      </c>
      <c r="AY255" t="s">
        <v>74</v>
      </c>
      <c r="AZ255" t="s">
        <v>74</v>
      </c>
      <c r="BA255" t="s">
        <v>74</v>
      </c>
      <c r="BB255" t="s">
        <v>74</v>
      </c>
      <c r="BC255" t="s">
        <v>74</v>
      </c>
      <c r="BD255" t="s">
        <v>4689</v>
      </c>
      <c r="BE255" t="s">
        <v>4690</v>
      </c>
      <c r="BF255" t="str">
        <f>HYPERLINK("http://dx.doi.org/10.1016/j.cscm.2023.e02341","http://dx.doi.org/10.1016/j.cscm.2023.e02341")</f>
        <v>http://dx.doi.org/10.1016/j.cscm.2023.e02341</v>
      </c>
      <c r="BG255" t="s">
        <v>74</v>
      </c>
      <c r="BH255" t="s">
        <v>74</v>
      </c>
      <c r="BI255">
        <v>21</v>
      </c>
      <c r="BJ255" t="s">
        <v>2648</v>
      </c>
      <c r="BK255" t="s">
        <v>100</v>
      </c>
      <c r="BL255" t="s">
        <v>2649</v>
      </c>
      <c r="BM255" t="s">
        <v>4691</v>
      </c>
      <c r="BN255" t="s">
        <v>74</v>
      </c>
      <c r="BO255" t="s">
        <v>3613</v>
      </c>
      <c r="BP255" t="s">
        <v>74</v>
      </c>
      <c r="BQ255" t="s">
        <v>74</v>
      </c>
      <c r="BR255" t="s">
        <v>104</v>
      </c>
      <c r="BS255" t="s">
        <v>4692</v>
      </c>
      <c r="BT255" t="str">
        <f>HYPERLINK("https%3A%2F%2Fwww.webofscience.com%2Fwos%2Fwoscc%2Ffull-record%2FWOS:001051695900001","View Full Record in Web of Science")</f>
        <v>View Full Record in Web of Science</v>
      </c>
    </row>
    <row r="256" spans="1:72" x14ac:dyDescent="0.15">
      <c r="A256" t="s">
        <v>72</v>
      </c>
      <c r="B256" t="s">
        <v>4693</v>
      </c>
      <c r="C256" t="s">
        <v>74</v>
      </c>
      <c r="D256" t="s">
        <v>74</v>
      </c>
      <c r="E256" t="s">
        <v>74</v>
      </c>
      <c r="F256" t="s">
        <v>4694</v>
      </c>
      <c r="G256" t="s">
        <v>74</v>
      </c>
      <c r="H256" t="s">
        <v>74</v>
      </c>
      <c r="I256" t="s">
        <v>4695</v>
      </c>
      <c r="J256" t="s">
        <v>2655</v>
      </c>
      <c r="K256" t="s">
        <v>74</v>
      </c>
      <c r="L256" t="s">
        <v>74</v>
      </c>
      <c r="M256" t="s">
        <v>78</v>
      </c>
      <c r="N256" t="s">
        <v>79</v>
      </c>
      <c r="O256" t="s">
        <v>74</v>
      </c>
      <c r="P256" t="s">
        <v>74</v>
      </c>
      <c r="Q256" t="s">
        <v>74</v>
      </c>
      <c r="R256" t="s">
        <v>74</v>
      </c>
      <c r="S256" t="s">
        <v>74</v>
      </c>
      <c r="T256" t="s">
        <v>4696</v>
      </c>
      <c r="U256" t="s">
        <v>4697</v>
      </c>
      <c r="V256" t="s">
        <v>4698</v>
      </c>
      <c r="W256" t="s">
        <v>4699</v>
      </c>
      <c r="X256" t="s">
        <v>4700</v>
      </c>
      <c r="Y256" t="s">
        <v>4701</v>
      </c>
      <c r="Z256" t="s">
        <v>4702</v>
      </c>
      <c r="AA256" t="s">
        <v>4703</v>
      </c>
      <c r="AB256" t="s">
        <v>4704</v>
      </c>
      <c r="AC256" t="s">
        <v>4705</v>
      </c>
      <c r="AD256" t="s">
        <v>4706</v>
      </c>
      <c r="AE256" t="s">
        <v>4707</v>
      </c>
      <c r="AF256" t="s">
        <v>74</v>
      </c>
      <c r="AG256">
        <v>95</v>
      </c>
      <c r="AH256">
        <v>0</v>
      </c>
      <c r="AI256">
        <v>0</v>
      </c>
      <c r="AJ256">
        <v>1</v>
      </c>
      <c r="AK256">
        <v>1</v>
      </c>
      <c r="AL256" t="s">
        <v>90</v>
      </c>
      <c r="AM256" t="s">
        <v>91</v>
      </c>
      <c r="AN256" t="s">
        <v>92</v>
      </c>
      <c r="AO256" t="s">
        <v>2664</v>
      </c>
      <c r="AP256" t="s">
        <v>74</v>
      </c>
      <c r="AQ256" t="s">
        <v>74</v>
      </c>
      <c r="AR256" t="s">
        <v>2665</v>
      </c>
      <c r="AS256" t="s">
        <v>2666</v>
      </c>
      <c r="AT256" t="s">
        <v>2579</v>
      </c>
      <c r="AU256">
        <v>2023</v>
      </c>
      <c r="AV256">
        <v>14</v>
      </c>
      <c r="AW256" t="s">
        <v>74</v>
      </c>
      <c r="AX256" t="s">
        <v>74</v>
      </c>
      <c r="AY256" t="s">
        <v>74</v>
      </c>
      <c r="AZ256" t="s">
        <v>74</v>
      </c>
      <c r="BA256" t="s">
        <v>74</v>
      </c>
      <c r="BB256" t="s">
        <v>74</v>
      </c>
      <c r="BC256" t="s">
        <v>74</v>
      </c>
      <c r="BD256">
        <v>100724</v>
      </c>
      <c r="BE256" t="s">
        <v>4708</v>
      </c>
      <c r="BF256" t="str">
        <f>HYPERLINK("http://dx.doi.org/10.1016/j.jafr.2023.100724","http://dx.doi.org/10.1016/j.jafr.2023.100724")</f>
        <v>http://dx.doi.org/10.1016/j.jafr.2023.100724</v>
      </c>
      <c r="BG256" t="s">
        <v>74</v>
      </c>
      <c r="BH256" t="s">
        <v>74</v>
      </c>
      <c r="BI256">
        <v>10</v>
      </c>
      <c r="BJ256" t="s">
        <v>2668</v>
      </c>
      <c r="BK256" t="s">
        <v>1850</v>
      </c>
      <c r="BL256" t="s">
        <v>2669</v>
      </c>
      <c r="BM256" t="s">
        <v>4709</v>
      </c>
      <c r="BN256" t="s">
        <v>74</v>
      </c>
      <c r="BO256" t="s">
        <v>295</v>
      </c>
      <c r="BP256" t="s">
        <v>74</v>
      </c>
      <c r="BQ256" t="s">
        <v>74</v>
      </c>
      <c r="BR256" t="s">
        <v>104</v>
      </c>
      <c r="BS256" t="s">
        <v>4710</v>
      </c>
      <c r="BT256" t="str">
        <f>HYPERLINK("https%3A%2F%2Fwww.webofscience.com%2Fwos%2Fwoscc%2Ffull-record%2FWOS:001056548300001","View Full Record in Web of Science")</f>
        <v>View Full Record in Web of Science</v>
      </c>
    </row>
    <row r="257" spans="1:72" x14ac:dyDescent="0.15">
      <c r="A257" t="s">
        <v>72</v>
      </c>
      <c r="B257" t="s">
        <v>4711</v>
      </c>
      <c r="C257" t="s">
        <v>74</v>
      </c>
      <c r="D257" t="s">
        <v>74</v>
      </c>
      <c r="E257" t="s">
        <v>74</v>
      </c>
      <c r="F257" t="s">
        <v>4712</v>
      </c>
      <c r="G257" t="s">
        <v>74</v>
      </c>
      <c r="H257" t="s">
        <v>74</v>
      </c>
      <c r="I257" t="s">
        <v>4713</v>
      </c>
      <c r="J257" t="s">
        <v>3382</v>
      </c>
      <c r="K257" t="s">
        <v>74</v>
      </c>
      <c r="L257" t="s">
        <v>74</v>
      </c>
      <c r="M257" t="s">
        <v>78</v>
      </c>
      <c r="N257" t="s">
        <v>79</v>
      </c>
      <c r="O257" t="s">
        <v>74</v>
      </c>
      <c r="P257" t="s">
        <v>74</v>
      </c>
      <c r="Q257" t="s">
        <v>74</v>
      </c>
      <c r="R257" t="s">
        <v>74</v>
      </c>
      <c r="S257" t="s">
        <v>74</v>
      </c>
      <c r="T257" t="s">
        <v>4714</v>
      </c>
      <c r="U257" t="s">
        <v>4715</v>
      </c>
      <c r="V257" t="s">
        <v>4716</v>
      </c>
      <c r="W257" t="s">
        <v>4717</v>
      </c>
      <c r="X257" t="s">
        <v>4718</v>
      </c>
      <c r="Y257" t="s">
        <v>4719</v>
      </c>
      <c r="Z257" t="s">
        <v>4720</v>
      </c>
      <c r="AA257" t="s">
        <v>74</v>
      </c>
      <c r="AB257" t="s">
        <v>4721</v>
      </c>
      <c r="AC257" t="s">
        <v>4722</v>
      </c>
      <c r="AD257" t="s">
        <v>2166</v>
      </c>
      <c r="AE257" t="s">
        <v>4723</v>
      </c>
      <c r="AF257" t="s">
        <v>74</v>
      </c>
      <c r="AG257">
        <v>56</v>
      </c>
      <c r="AH257">
        <v>0</v>
      </c>
      <c r="AI257">
        <v>0</v>
      </c>
      <c r="AJ257">
        <v>4</v>
      </c>
      <c r="AK257">
        <v>4</v>
      </c>
      <c r="AL257" t="s">
        <v>120</v>
      </c>
      <c r="AM257" t="s">
        <v>121</v>
      </c>
      <c r="AN257" t="s">
        <v>122</v>
      </c>
      <c r="AO257" t="s">
        <v>3390</v>
      </c>
      <c r="AP257" t="s">
        <v>3391</v>
      </c>
      <c r="AQ257" t="s">
        <v>74</v>
      </c>
      <c r="AR257" t="s">
        <v>3392</v>
      </c>
      <c r="AS257" t="s">
        <v>3393</v>
      </c>
      <c r="AT257" t="s">
        <v>2579</v>
      </c>
      <c r="AU257">
        <v>2023</v>
      </c>
      <c r="AV257">
        <v>145</v>
      </c>
      <c r="AW257" t="s">
        <v>74</v>
      </c>
      <c r="AX257" t="s">
        <v>74</v>
      </c>
      <c r="AY257" t="s">
        <v>74</v>
      </c>
      <c r="AZ257" t="s">
        <v>74</v>
      </c>
      <c r="BA257" t="s">
        <v>74</v>
      </c>
      <c r="BB257" t="s">
        <v>74</v>
      </c>
      <c r="BC257" t="s">
        <v>74</v>
      </c>
      <c r="BD257">
        <v>109115</v>
      </c>
      <c r="BE257" t="s">
        <v>4724</v>
      </c>
      <c r="BF257" t="str">
        <f>HYPERLINK("http://dx.doi.org/10.1016/j.foodhyd.2023.109115","http://dx.doi.org/10.1016/j.foodhyd.2023.109115")</f>
        <v>http://dx.doi.org/10.1016/j.foodhyd.2023.109115</v>
      </c>
      <c r="BG257" t="s">
        <v>74</v>
      </c>
      <c r="BH257" t="s">
        <v>74</v>
      </c>
      <c r="BI257">
        <v>12</v>
      </c>
      <c r="BJ257" t="s">
        <v>1849</v>
      </c>
      <c r="BK257" t="s">
        <v>100</v>
      </c>
      <c r="BL257" t="s">
        <v>1851</v>
      </c>
      <c r="BM257" t="s">
        <v>4725</v>
      </c>
      <c r="BN257" t="s">
        <v>74</v>
      </c>
      <c r="BO257" t="s">
        <v>74</v>
      </c>
      <c r="BP257" t="s">
        <v>74</v>
      </c>
      <c r="BQ257" t="s">
        <v>74</v>
      </c>
      <c r="BR257" t="s">
        <v>104</v>
      </c>
      <c r="BS257" t="s">
        <v>4726</v>
      </c>
      <c r="BT257" t="str">
        <f>HYPERLINK("https%3A%2F%2Fwww.webofscience.com%2Fwos%2Fwoscc%2Ffull-record%2FWOS:001064417600001","View Full Record in Web of Science")</f>
        <v>View Full Record in Web of Science</v>
      </c>
    </row>
    <row r="258" spans="1:72" x14ac:dyDescent="0.15">
      <c r="A258" t="s">
        <v>72</v>
      </c>
      <c r="B258" t="s">
        <v>4727</v>
      </c>
      <c r="C258" t="s">
        <v>74</v>
      </c>
      <c r="D258" t="s">
        <v>74</v>
      </c>
      <c r="E258" t="s">
        <v>74</v>
      </c>
      <c r="F258" t="s">
        <v>4728</v>
      </c>
      <c r="G258" t="s">
        <v>74</v>
      </c>
      <c r="H258" t="s">
        <v>74</v>
      </c>
      <c r="I258" t="s">
        <v>4729</v>
      </c>
      <c r="J258" t="s">
        <v>3224</v>
      </c>
      <c r="K258" t="s">
        <v>74</v>
      </c>
      <c r="L258" t="s">
        <v>74</v>
      </c>
      <c r="M258" t="s">
        <v>78</v>
      </c>
      <c r="N258" t="s">
        <v>79</v>
      </c>
      <c r="O258" t="s">
        <v>74</v>
      </c>
      <c r="P258" t="s">
        <v>74</v>
      </c>
      <c r="Q258" t="s">
        <v>74</v>
      </c>
      <c r="R258" t="s">
        <v>74</v>
      </c>
      <c r="S258" t="s">
        <v>74</v>
      </c>
      <c r="T258" t="s">
        <v>4730</v>
      </c>
      <c r="U258" t="s">
        <v>4731</v>
      </c>
      <c r="V258" t="s">
        <v>4732</v>
      </c>
      <c r="W258" t="s">
        <v>4733</v>
      </c>
      <c r="X258" t="s">
        <v>4734</v>
      </c>
      <c r="Y258" t="s">
        <v>4735</v>
      </c>
      <c r="Z258" t="s">
        <v>4736</v>
      </c>
      <c r="AA258" t="s">
        <v>74</v>
      </c>
      <c r="AB258" t="s">
        <v>74</v>
      </c>
      <c r="AC258" t="s">
        <v>4737</v>
      </c>
      <c r="AD258" t="s">
        <v>252</v>
      </c>
      <c r="AE258" t="s">
        <v>4738</v>
      </c>
      <c r="AF258" t="s">
        <v>74</v>
      </c>
      <c r="AG258">
        <v>25</v>
      </c>
      <c r="AH258">
        <v>0</v>
      </c>
      <c r="AI258">
        <v>0</v>
      </c>
      <c r="AJ258">
        <v>0</v>
      </c>
      <c r="AK258">
        <v>0</v>
      </c>
      <c r="AL258" t="s">
        <v>90</v>
      </c>
      <c r="AM258" t="s">
        <v>91</v>
      </c>
      <c r="AN258" t="s">
        <v>92</v>
      </c>
      <c r="AO258" t="s">
        <v>74</v>
      </c>
      <c r="AP258" t="s">
        <v>3235</v>
      </c>
      <c r="AQ258" t="s">
        <v>74</v>
      </c>
      <c r="AR258" t="s">
        <v>3236</v>
      </c>
      <c r="AS258" t="s">
        <v>3237</v>
      </c>
      <c r="AT258" t="s">
        <v>2579</v>
      </c>
      <c r="AU258">
        <v>2023</v>
      </c>
      <c r="AV258">
        <v>37</v>
      </c>
      <c r="AW258" t="s">
        <v>74</v>
      </c>
      <c r="AX258" t="s">
        <v>74</v>
      </c>
      <c r="AY258" t="s">
        <v>74</v>
      </c>
      <c r="AZ258" t="s">
        <v>74</v>
      </c>
      <c r="BA258" t="s">
        <v>74</v>
      </c>
      <c r="BB258" t="s">
        <v>74</v>
      </c>
      <c r="BC258" t="s">
        <v>74</v>
      </c>
      <c r="BD258">
        <v>106941</v>
      </c>
      <c r="BE258" t="s">
        <v>4739</v>
      </c>
      <c r="BF258" t="str">
        <f>HYPERLINK("http://dx.doi.org/10.1016/j.mtcomm.2023.106941","http://dx.doi.org/10.1016/j.mtcomm.2023.106941")</f>
        <v>http://dx.doi.org/10.1016/j.mtcomm.2023.106941</v>
      </c>
      <c r="BG258" t="s">
        <v>74</v>
      </c>
      <c r="BH258" t="s">
        <v>74</v>
      </c>
      <c r="BI258">
        <v>11</v>
      </c>
      <c r="BJ258" t="s">
        <v>1111</v>
      </c>
      <c r="BK258" t="s">
        <v>100</v>
      </c>
      <c r="BL258" t="s">
        <v>1112</v>
      </c>
      <c r="BM258" t="s">
        <v>4740</v>
      </c>
      <c r="BN258" t="s">
        <v>74</v>
      </c>
      <c r="BO258" t="s">
        <v>74</v>
      </c>
      <c r="BP258" t="s">
        <v>74</v>
      </c>
      <c r="BQ258" t="s">
        <v>74</v>
      </c>
      <c r="BR258" t="s">
        <v>104</v>
      </c>
      <c r="BS258" t="s">
        <v>4741</v>
      </c>
      <c r="BT258" t="str">
        <f>HYPERLINK("https%3A%2F%2Fwww.webofscience.com%2Fwos%2Fwoscc%2Ffull-record%2FWOS:001068956100001","View Full Record in Web of Science")</f>
        <v>View Full Record in Web of Science</v>
      </c>
    </row>
    <row r="259" spans="1:72" x14ac:dyDescent="0.15">
      <c r="A259" t="s">
        <v>72</v>
      </c>
      <c r="B259" t="s">
        <v>4742</v>
      </c>
      <c r="C259" t="s">
        <v>74</v>
      </c>
      <c r="D259" t="s">
        <v>74</v>
      </c>
      <c r="E259" t="s">
        <v>74</v>
      </c>
      <c r="F259" t="s">
        <v>4743</v>
      </c>
      <c r="G259" t="s">
        <v>74</v>
      </c>
      <c r="H259" t="s">
        <v>74</v>
      </c>
      <c r="I259" t="s">
        <v>4744</v>
      </c>
      <c r="J259" t="s">
        <v>3882</v>
      </c>
      <c r="K259" t="s">
        <v>74</v>
      </c>
      <c r="L259" t="s">
        <v>74</v>
      </c>
      <c r="M259" t="s">
        <v>78</v>
      </c>
      <c r="N259" t="s">
        <v>79</v>
      </c>
      <c r="O259" t="s">
        <v>74</v>
      </c>
      <c r="P259" t="s">
        <v>74</v>
      </c>
      <c r="Q259" t="s">
        <v>74</v>
      </c>
      <c r="R259" t="s">
        <v>74</v>
      </c>
      <c r="S259" t="s">
        <v>74</v>
      </c>
      <c r="T259" t="s">
        <v>4745</v>
      </c>
      <c r="U259" t="s">
        <v>4746</v>
      </c>
      <c r="V259" t="s">
        <v>4747</v>
      </c>
      <c r="W259" t="s">
        <v>4748</v>
      </c>
      <c r="X259" t="s">
        <v>4749</v>
      </c>
      <c r="Y259" t="s">
        <v>4750</v>
      </c>
      <c r="Z259" t="s">
        <v>4751</v>
      </c>
      <c r="AA259" t="s">
        <v>74</v>
      </c>
      <c r="AB259" t="s">
        <v>74</v>
      </c>
      <c r="AC259" t="s">
        <v>4752</v>
      </c>
      <c r="AD259" t="s">
        <v>4753</v>
      </c>
      <c r="AE259" t="s">
        <v>4754</v>
      </c>
      <c r="AF259" t="s">
        <v>74</v>
      </c>
      <c r="AG259">
        <v>47</v>
      </c>
      <c r="AH259">
        <v>0</v>
      </c>
      <c r="AI259">
        <v>0</v>
      </c>
      <c r="AJ259">
        <v>4</v>
      </c>
      <c r="AK259">
        <v>4</v>
      </c>
      <c r="AL259" t="s">
        <v>120</v>
      </c>
      <c r="AM259" t="s">
        <v>121</v>
      </c>
      <c r="AN259" t="s">
        <v>122</v>
      </c>
      <c r="AO259" t="s">
        <v>3893</v>
      </c>
      <c r="AP259" t="s">
        <v>3894</v>
      </c>
      <c r="AQ259" t="s">
        <v>74</v>
      </c>
      <c r="AR259" t="s">
        <v>3895</v>
      </c>
      <c r="AS259" t="s">
        <v>3896</v>
      </c>
      <c r="AT259" t="s">
        <v>2579</v>
      </c>
      <c r="AU259">
        <v>2023</v>
      </c>
      <c r="AV259">
        <v>211</v>
      </c>
      <c r="AW259" t="s">
        <v>74</v>
      </c>
      <c r="AX259" t="s">
        <v>74</v>
      </c>
      <c r="AY259" t="s">
        <v>74</v>
      </c>
      <c r="AZ259" t="s">
        <v>74</v>
      </c>
      <c r="BA259" t="s">
        <v>74</v>
      </c>
      <c r="BB259" t="s">
        <v>74</v>
      </c>
      <c r="BC259" t="s">
        <v>74</v>
      </c>
      <c r="BD259">
        <v>108164</v>
      </c>
      <c r="BE259" t="s">
        <v>4755</v>
      </c>
      <c r="BF259" t="str">
        <f>HYPERLINK("http://dx.doi.org/10.1016/j.jcsr.2023.108164","http://dx.doi.org/10.1016/j.jcsr.2023.108164")</f>
        <v>http://dx.doi.org/10.1016/j.jcsr.2023.108164</v>
      </c>
      <c r="BG259" t="s">
        <v>74</v>
      </c>
      <c r="BH259" t="s">
        <v>74</v>
      </c>
      <c r="BI259">
        <v>12</v>
      </c>
      <c r="BJ259" t="s">
        <v>3898</v>
      </c>
      <c r="BK259" t="s">
        <v>100</v>
      </c>
      <c r="BL259" t="s">
        <v>3899</v>
      </c>
      <c r="BM259" t="s">
        <v>4756</v>
      </c>
      <c r="BN259" t="s">
        <v>74</v>
      </c>
      <c r="BO259" t="s">
        <v>74</v>
      </c>
      <c r="BP259" t="s">
        <v>74</v>
      </c>
      <c r="BQ259" t="s">
        <v>74</v>
      </c>
      <c r="BR259" t="s">
        <v>104</v>
      </c>
      <c r="BS259" t="s">
        <v>4757</v>
      </c>
      <c r="BT259" t="str">
        <f>HYPERLINK("https%3A%2F%2Fwww.webofscience.com%2Fwos%2Fwoscc%2Ffull-record%2FWOS:001057602000001","View Full Record in Web of Science")</f>
        <v>View Full Record in Web of Science</v>
      </c>
    </row>
    <row r="260" spans="1:72" x14ac:dyDescent="0.15">
      <c r="A260" t="s">
        <v>72</v>
      </c>
      <c r="B260" t="s">
        <v>4758</v>
      </c>
      <c r="C260" t="s">
        <v>74</v>
      </c>
      <c r="D260" t="s">
        <v>74</v>
      </c>
      <c r="E260" t="s">
        <v>74</v>
      </c>
      <c r="F260" t="s">
        <v>4759</v>
      </c>
      <c r="G260" t="s">
        <v>74</v>
      </c>
      <c r="H260" t="s">
        <v>74</v>
      </c>
      <c r="I260" t="s">
        <v>4760</v>
      </c>
      <c r="J260" t="s">
        <v>261</v>
      </c>
      <c r="K260" t="s">
        <v>74</v>
      </c>
      <c r="L260" t="s">
        <v>74</v>
      </c>
      <c r="M260" t="s">
        <v>78</v>
      </c>
      <c r="N260" t="s">
        <v>79</v>
      </c>
      <c r="O260" t="s">
        <v>74</v>
      </c>
      <c r="P260" t="s">
        <v>74</v>
      </c>
      <c r="Q260" t="s">
        <v>74</v>
      </c>
      <c r="R260" t="s">
        <v>74</v>
      </c>
      <c r="S260" t="s">
        <v>74</v>
      </c>
      <c r="T260" t="s">
        <v>4761</v>
      </c>
      <c r="U260" t="s">
        <v>4762</v>
      </c>
      <c r="V260" t="s">
        <v>4763</v>
      </c>
      <c r="W260" t="s">
        <v>4764</v>
      </c>
      <c r="X260" t="s">
        <v>4765</v>
      </c>
      <c r="Y260" t="s">
        <v>4766</v>
      </c>
      <c r="Z260" t="s">
        <v>4767</v>
      </c>
      <c r="AA260" t="s">
        <v>74</v>
      </c>
      <c r="AB260" t="s">
        <v>4768</v>
      </c>
      <c r="AC260" t="s">
        <v>4769</v>
      </c>
      <c r="AD260" t="s">
        <v>4770</v>
      </c>
      <c r="AE260" t="s">
        <v>4771</v>
      </c>
      <c r="AF260" t="s">
        <v>74</v>
      </c>
      <c r="AG260">
        <v>33</v>
      </c>
      <c r="AH260">
        <v>0</v>
      </c>
      <c r="AI260">
        <v>0</v>
      </c>
      <c r="AJ260">
        <v>12</v>
      </c>
      <c r="AK260">
        <v>12</v>
      </c>
      <c r="AL260" t="s">
        <v>120</v>
      </c>
      <c r="AM260" t="s">
        <v>121</v>
      </c>
      <c r="AN260" t="s">
        <v>122</v>
      </c>
      <c r="AO260" t="s">
        <v>272</v>
      </c>
      <c r="AP260" t="s">
        <v>273</v>
      </c>
      <c r="AQ260" t="s">
        <v>74</v>
      </c>
      <c r="AR260" t="s">
        <v>261</v>
      </c>
      <c r="AS260" t="s">
        <v>274</v>
      </c>
      <c r="AT260" t="s">
        <v>2840</v>
      </c>
      <c r="AU260">
        <v>2023</v>
      </c>
      <c r="AV260">
        <v>353</v>
      </c>
      <c r="AW260" t="s">
        <v>74</v>
      </c>
      <c r="AX260" t="s">
        <v>74</v>
      </c>
      <c r="AY260" t="s">
        <v>74</v>
      </c>
      <c r="AZ260" t="s">
        <v>74</v>
      </c>
      <c r="BA260" t="s">
        <v>74</v>
      </c>
      <c r="BB260" t="s">
        <v>74</v>
      </c>
      <c r="BC260" t="s">
        <v>74</v>
      </c>
      <c r="BD260">
        <v>129215</v>
      </c>
      <c r="BE260" t="s">
        <v>4772</v>
      </c>
      <c r="BF260" t="str">
        <f>HYPERLINK("http://dx.doi.org/10.1016/j.fuel.2023.129215","http://dx.doi.org/10.1016/j.fuel.2023.129215")</f>
        <v>http://dx.doi.org/10.1016/j.fuel.2023.129215</v>
      </c>
      <c r="BG260" t="s">
        <v>74</v>
      </c>
      <c r="BH260" t="s">
        <v>74</v>
      </c>
      <c r="BI260">
        <v>13</v>
      </c>
      <c r="BJ260" t="s">
        <v>276</v>
      </c>
      <c r="BK260" t="s">
        <v>100</v>
      </c>
      <c r="BL260" t="s">
        <v>277</v>
      </c>
      <c r="BM260" t="s">
        <v>4773</v>
      </c>
      <c r="BN260" t="s">
        <v>74</v>
      </c>
      <c r="BO260" t="s">
        <v>74</v>
      </c>
      <c r="BP260" t="s">
        <v>74</v>
      </c>
      <c r="BQ260" t="s">
        <v>74</v>
      </c>
      <c r="BR260" t="s">
        <v>104</v>
      </c>
      <c r="BS260" t="s">
        <v>4774</v>
      </c>
      <c r="BT260" t="str">
        <f>HYPERLINK("https%3A%2F%2Fwww.webofscience.com%2Fwos%2Fwoscc%2Ffull-record%2FWOS:001044076400001","View Full Record in Web of Science")</f>
        <v>View Full Record in Web of Science</v>
      </c>
    </row>
    <row r="261" spans="1:72" x14ac:dyDescent="0.15">
      <c r="A261" t="s">
        <v>72</v>
      </c>
      <c r="B261" t="s">
        <v>4775</v>
      </c>
      <c r="C261" t="s">
        <v>74</v>
      </c>
      <c r="D261" t="s">
        <v>74</v>
      </c>
      <c r="E261" t="s">
        <v>74</v>
      </c>
      <c r="F261" t="s">
        <v>4776</v>
      </c>
      <c r="G261" t="s">
        <v>74</v>
      </c>
      <c r="H261" t="s">
        <v>74</v>
      </c>
      <c r="I261" t="s">
        <v>4777</v>
      </c>
      <c r="J261" t="s">
        <v>3786</v>
      </c>
      <c r="K261" t="s">
        <v>74</v>
      </c>
      <c r="L261" t="s">
        <v>74</v>
      </c>
      <c r="M261" t="s">
        <v>78</v>
      </c>
      <c r="N261" t="s">
        <v>79</v>
      </c>
      <c r="O261" t="s">
        <v>74</v>
      </c>
      <c r="P261" t="s">
        <v>74</v>
      </c>
      <c r="Q261" t="s">
        <v>74</v>
      </c>
      <c r="R261" t="s">
        <v>74</v>
      </c>
      <c r="S261" t="s">
        <v>74</v>
      </c>
      <c r="T261" t="s">
        <v>4778</v>
      </c>
      <c r="U261" t="s">
        <v>4779</v>
      </c>
      <c r="V261" t="s">
        <v>4780</v>
      </c>
      <c r="W261" t="s">
        <v>4781</v>
      </c>
      <c r="X261" t="s">
        <v>4782</v>
      </c>
      <c r="Y261" t="s">
        <v>4783</v>
      </c>
      <c r="Z261" t="s">
        <v>4784</v>
      </c>
      <c r="AA261" t="s">
        <v>74</v>
      </c>
      <c r="AB261" t="s">
        <v>4785</v>
      </c>
      <c r="AC261" t="s">
        <v>4786</v>
      </c>
      <c r="AD261" t="s">
        <v>4787</v>
      </c>
      <c r="AE261" t="s">
        <v>4788</v>
      </c>
      <c r="AF261" t="s">
        <v>74</v>
      </c>
      <c r="AG261">
        <v>43</v>
      </c>
      <c r="AH261">
        <v>0</v>
      </c>
      <c r="AI261">
        <v>0</v>
      </c>
      <c r="AJ261">
        <v>13</v>
      </c>
      <c r="AK261">
        <v>13</v>
      </c>
      <c r="AL261" t="s">
        <v>90</v>
      </c>
      <c r="AM261" t="s">
        <v>91</v>
      </c>
      <c r="AN261" t="s">
        <v>92</v>
      </c>
      <c r="AO261" t="s">
        <v>3794</v>
      </c>
      <c r="AP261" t="s">
        <v>3795</v>
      </c>
      <c r="AQ261" t="s">
        <v>74</v>
      </c>
      <c r="AR261" t="s">
        <v>3796</v>
      </c>
      <c r="AS261" t="s">
        <v>3797</v>
      </c>
      <c r="AT261" t="s">
        <v>4789</v>
      </c>
      <c r="AU261">
        <v>2023</v>
      </c>
      <c r="AV261">
        <v>638</v>
      </c>
      <c r="AW261" t="s">
        <v>74</v>
      </c>
      <c r="AX261" t="s">
        <v>74</v>
      </c>
      <c r="AY261" t="s">
        <v>74</v>
      </c>
      <c r="AZ261" t="s">
        <v>74</v>
      </c>
      <c r="BA261" t="s">
        <v>74</v>
      </c>
      <c r="BB261" t="s">
        <v>74</v>
      </c>
      <c r="BC261" t="s">
        <v>74</v>
      </c>
      <c r="BD261">
        <v>158000</v>
      </c>
      <c r="BE261" t="s">
        <v>4790</v>
      </c>
      <c r="BF261" t="str">
        <f>HYPERLINK("http://dx.doi.org/10.1016/j.apsusc.2023.158000","http://dx.doi.org/10.1016/j.apsusc.2023.158000")</f>
        <v>http://dx.doi.org/10.1016/j.apsusc.2023.158000</v>
      </c>
      <c r="BG261" t="s">
        <v>74</v>
      </c>
      <c r="BH261" t="s">
        <v>74</v>
      </c>
      <c r="BI261">
        <v>6</v>
      </c>
      <c r="BJ261" t="s">
        <v>3799</v>
      </c>
      <c r="BK261" t="s">
        <v>100</v>
      </c>
      <c r="BL261" t="s">
        <v>3800</v>
      </c>
      <c r="BM261" t="s">
        <v>4791</v>
      </c>
      <c r="BN261" t="s">
        <v>74</v>
      </c>
      <c r="BO261" t="s">
        <v>74</v>
      </c>
      <c r="BP261" t="s">
        <v>74</v>
      </c>
      <c r="BQ261" t="s">
        <v>74</v>
      </c>
      <c r="BR261" t="s">
        <v>104</v>
      </c>
      <c r="BS261" t="s">
        <v>4792</v>
      </c>
      <c r="BT261" t="str">
        <f>HYPERLINK("https%3A%2F%2Fwww.webofscience.com%2Fwos%2Fwoscc%2Ffull-record%2FWOS:001048309700001","View Full Record in Web of Science")</f>
        <v>View Full Record in Web of Science</v>
      </c>
    </row>
    <row r="262" spans="1:72" x14ac:dyDescent="0.15">
      <c r="A262" t="s">
        <v>72</v>
      </c>
      <c r="B262" t="s">
        <v>4793</v>
      </c>
      <c r="C262" t="s">
        <v>74</v>
      </c>
      <c r="D262" t="s">
        <v>74</v>
      </c>
      <c r="E262" t="s">
        <v>74</v>
      </c>
      <c r="F262" t="s">
        <v>4794</v>
      </c>
      <c r="G262" t="s">
        <v>74</v>
      </c>
      <c r="H262" t="s">
        <v>74</v>
      </c>
      <c r="I262" t="s">
        <v>4795</v>
      </c>
      <c r="J262" t="s">
        <v>4796</v>
      </c>
      <c r="K262" t="s">
        <v>74</v>
      </c>
      <c r="L262" t="s">
        <v>74</v>
      </c>
      <c r="M262" t="s">
        <v>78</v>
      </c>
      <c r="N262" t="s">
        <v>79</v>
      </c>
      <c r="O262" t="s">
        <v>74</v>
      </c>
      <c r="P262" t="s">
        <v>74</v>
      </c>
      <c r="Q262" t="s">
        <v>74</v>
      </c>
      <c r="R262" t="s">
        <v>74</v>
      </c>
      <c r="S262" t="s">
        <v>74</v>
      </c>
      <c r="T262" t="s">
        <v>4797</v>
      </c>
      <c r="U262" t="s">
        <v>4798</v>
      </c>
      <c r="V262" t="s">
        <v>4799</v>
      </c>
      <c r="W262" t="s">
        <v>4800</v>
      </c>
      <c r="X262" t="s">
        <v>4801</v>
      </c>
      <c r="Y262" t="s">
        <v>4802</v>
      </c>
      <c r="Z262" t="s">
        <v>4803</v>
      </c>
      <c r="AA262" t="s">
        <v>4804</v>
      </c>
      <c r="AB262" t="s">
        <v>4805</v>
      </c>
      <c r="AC262" t="s">
        <v>74</v>
      </c>
      <c r="AD262" t="s">
        <v>74</v>
      </c>
      <c r="AE262" t="s">
        <v>74</v>
      </c>
      <c r="AF262" t="s">
        <v>74</v>
      </c>
      <c r="AG262">
        <v>57</v>
      </c>
      <c r="AH262">
        <v>0</v>
      </c>
      <c r="AI262">
        <v>0</v>
      </c>
      <c r="AJ262">
        <v>0</v>
      </c>
      <c r="AK262">
        <v>0</v>
      </c>
      <c r="AL262" t="s">
        <v>90</v>
      </c>
      <c r="AM262" t="s">
        <v>91</v>
      </c>
      <c r="AN262" t="s">
        <v>92</v>
      </c>
      <c r="AO262" t="s">
        <v>4806</v>
      </c>
      <c r="AP262" t="s">
        <v>4807</v>
      </c>
      <c r="AQ262" t="s">
        <v>74</v>
      </c>
      <c r="AR262" t="s">
        <v>4808</v>
      </c>
      <c r="AS262" t="s">
        <v>4809</v>
      </c>
      <c r="AT262" t="s">
        <v>4789</v>
      </c>
      <c r="AU262">
        <v>2023</v>
      </c>
      <c r="AV262">
        <v>72</v>
      </c>
      <c r="AW262" t="s">
        <v>74</v>
      </c>
      <c r="AX262" t="s">
        <v>4810</v>
      </c>
      <c r="AY262" t="s">
        <v>74</v>
      </c>
      <c r="AZ262" t="s">
        <v>74</v>
      </c>
      <c r="BA262" t="s">
        <v>74</v>
      </c>
      <c r="BB262" t="s">
        <v>74</v>
      </c>
      <c r="BC262" t="s">
        <v>74</v>
      </c>
      <c r="BD262">
        <v>108747</v>
      </c>
      <c r="BE262" t="s">
        <v>4811</v>
      </c>
      <c r="BF262" t="str">
        <f>HYPERLINK("http://dx.doi.org/10.1016/j.est.2023.108747","http://dx.doi.org/10.1016/j.est.2023.108747")</f>
        <v>http://dx.doi.org/10.1016/j.est.2023.108747</v>
      </c>
      <c r="BG262" t="s">
        <v>74</v>
      </c>
      <c r="BH262" t="s">
        <v>74</v>
      </c>
      <c r="BI262">
        <v>22</v>
      </c>
      <c r="BJ262" t="s">
        <v>2999</v>
      </c>
      <c r="BK262" t="s">
        <v>100</v>
      </c>
      <c r="BL262" t="s">
        <v>2999</v>
      </c>
      <c r="BM262" t="s">
        <v>4812</v>
      </c>
      <c r="BN262" t="s">
        <v>74</v>
      </c>
      <c r="BO262" t="s">
        <v>74</v>
      </c>
      <c r="BP262" t="s">
        <v>74</v>
      </c>
      <c r="BQ262" t="s">
        <v>74</v>
      </c>
      <c r="BR262" t="s">
        <v>104</v>
      </c>
      <c r="BS262" t="s">
        <v>4813</v>
      </c>
      <c r="BT262" t="str">
        <f>HYPERLINK("https%3A%2F%2Fwww.webofscience.com%2Fwos%2Fwoscc%2Ffull-record%2FWOS:001070885100001","View Full Record in Web of Science")</f>
        <v>View Full Record in Web of Science</v>
      </c>
    </row>
    <row r="263" spans="1:72" x14ac:dyDescent="0.15">
      <c r="A263" t="s">
        <v>72</v>
      </c>
      <c r="B263" t="s">
        <v>4814</v>
      </c>
      <c r="C263" t="s">
        <v>74</v>
      </c>
      <c r="D263" t="s">
        <v>74</v>
      </c>
      <c r="E263" t="s">
        <v>74</v>
      </c>
      <c r="F263" t="s">
        <v>4815</v>
      </c>
      <c r="G263" t="s">
        <v>74</v>
      </c>
      <c r="H263" t="s">
        <v>74</v>
      </c>
      <c r="I263" t="s">
        <v>4816</v>
      </c>
      <c r="J263" t="s">
        <v>4796</v>
      </c>
      <c r="K263" t="s">
        <v>74</v>
      </c>
      <c r="L263" t="s">
        <v>74</v>
      </c>
      <c r="M263" t="s">
        <v>78</v>
      </c>
      <c r="N263" t="s">
        <v>79</v>
      </c>
      <c r="O263" t="s">
        <v>74</v>
      </c>
      <c r="P263" t="s">
        <v>74</v>
      </c>
      <c r="Q263" t="s">
        <v>74</v>
      </c>
      <c r="R263" t="s">
        <v>74</v>
      </c>
      <c r="S263" t="s">
        <v>74</v>
      </c>
      <c r="T263" t="s">
        <v>4817</v>
      </c>
      <c r="U263" t="s">
        <v>4818</v>
      </c>
      <c r="V263" t="s">
        <v>4819</v>
      </c>
      <c r="W263" t="s">
        <v>4820</v>
      </c>
      <c r="X263" t="s">
        <v>4821</v>
      </c>
      <c r="Y263" t="s">
        <v>4822</v>
      </c>
      <c r="Z263" t="s">
        <v>4823</v>
      </c>
      <c r="AA263" t="s">
        <v>74</v>
      </c>
      <c r="AB263" t="s">
        <v>74</v>
      </c>
      <c r="AC263" t="s">
        <v>74</v>
      </c>
      <c r="AD263" t="s">
        <v>74</v>
      </c>
      <c r="AE263" t="s">
        <v>74</v>
      </c>
      <c r="AF263" t="s">
        <v>74</v>
      </c>
      <c r="AG263">
        <v>53</v>
      </c>
      <c r="AH263">
        <v>0</v>
      </c>
      <c r="AI263">
        <v>0</v>
      </c>
      <c r="AJ263">
        <v>7</v>
      </c>
      <c r="AK263">
        <v>7</v>
      </c>
      <c r="AL263" t="s">
        <v>90</v>
      </c>
      <c r="AM263" t="s">
        <v>91</v>
      </c>
      <c r="AN263" t="s">
        <v>92</v>
      </c>
      <c r="AO263" t="s">
        <v>4806</v>
      </c>
      <c r="AP263" t="s">
        <v>4807</v>
      </c>
      <c r="AQ263" t="s">
        <v>74</v>
      </c>
      <c r="AR263" t="s">
        <v>4808</v>
      </c>
      <c r="AS263" t="s">
        <v>4809</v>
      </c>
      <c r="AT263" t="s">
        <v>4789</v>
      </c>
      <c r="AU263">
        <v>2023</v>
      </c>
      <c r="AV263">
        <v>72</v>
      </c>
      <c r="AW263" t="s">
        <v>74</v>
      </c>
      <c r="AX263" t="s">
        <v>4824</v>
      </c>
      <c r="AY263" t="s">
        <v>74</v>
      </c>
      <c r="AZ263" t="s">
        <v>74</v>
      </c>
      <c r="BA263" t="s">
        <v>74</v>
      </c>
      <c r="BB263" t="s">
        <v>74</v>
      </c>
      <c r="BC263" t="s">
        <v>74</v>
      </c>
      <c r="BD263">
        <v>108607</v>
      </c>
      <c r="BE263" t="s">
        <v>4825</v>
      </c>
      <c r="BF263" t="str">
        <f>HYPERLINK("http://dx.doi.org/10.1016/j.est.2023.108607","http://dx.doi.org/10.1016/j.est.2023.108607")</f>
        <v>http://dx.doi.org/10.1016/j.est.2023.108607</v>
      </c>
      <c r="BG263" t="s">
        <v>74</v>
      </c>
      <c r="BH263" t="s">
        <v>74</v>
      </c>
      <c r="BI263">
        <v>10</v>
      </c>
      <c r="BJ263" t="s">
        <v>2999</v>
      </c>
      <c r="BK263" t="s">
        <v>100</v>
      </c>
      <c r="BL263" t="s">
        <v>2999</v>
      </c>
      <c r="BM263" t="s">
        <v>4826</v>
      </c>
      <c r="BN263" t="s">
        <v>74</v>
      </c>
      <c r="BO263" t="s">
        <v>74</v>
      </c>
      <c r="BP263" t="s">
        <v>74</v>
      </c>
      <c r="BQ263" t="s">
        <v>74</v>
      </c>
      <c r="BR263" t="s">
        <v>104</v>
      </c>
      <c r="BS263" t="s">
        <v>4827</v>
      </c>
      <c r="BT263" t="str">
        <f>HYPERLINK("https%3A%2F%2Fwww.webofscience.com%2Fwos%2Fwoscc%2Ffull-record%2FWOS:001059420900001","View Full Record in Web of Science")</f>
        <v>View Full Record in Web of Science</v>
      </c>
    </row>
    <row r="264" spans="1:72" x14ac:dyDescent="0.15">
      <c r="A264" t="s">
        <v>72</v>
      </c>
      <c r="B264" t="s">
        <v>4828</v>
      </c>
      <c r="C264" t="s">
        <v>74</v>
      </c>
      <c r="D264" t="s">
        <v>74</v>
      </c>
      <c r="E264" t="s">
        <v>74</v>
      </c>
      <c r="F264" t="s">
        <v>4829</v>
      </c>
      <c r="G264" t="s">
        <v>74</v>
      </c>
      <c r="H264" t="s">
        <v>74</v>
      </c>
      <c r="I264" t="s">
        <v>4830</v>
      </c>
      <c r="J264" t="s">
        <v>109</v>
      </c>
      <c r="K264" t="s">
        <v>74</v>
      </c>
      <c r="L264" t="s">
        <v>74</v>
      </c>
      <c r="M264" t="s">
        <v>78</v>
      </c>
      <c r="N264" t="s">
        <v>79</v>
      </c>
      <c r="O264" t="s">
        <v>74</v>
      </c>
      <c r="P264" t="s">
        <v>74</v>
      </c>
      <c r="Q264" t="s">
        <v>74</v>
      </c>
      <c r="R264" t="s">
        <v>74</v>
      </c>
      <c r="S264" t="s">
        <v>74</v>
      </c>
      <c r="T264" t="s">
        <v>4831</v>
      </c>
      <c r="U264" t="s">
        <v>4832</v>
      </c>
      <c r="V264" t="s">
        <v>4833</v>
      </c>
      <c r="W264" t="s">
        <v>4834</v>
      </c>
      <c r="X264" t="s">
        <v>4835</v>
      </c>
      <c r="Y264" t="s">
        <v>4836</v>
      </c>
      <c r="Z264" t="s">
        <v>4837</v>
      </c>
      <c r="AA264" t="s">
        <v>74</v>
      </c>
      <c r="AB264" t="s">
        <v>74</v>
      </c>
      <c r="AC264" t="s">
        <v>4838</v>
      </c>
      <c r="AD264" t="s">
        <v>4839</v>
      </c>
      <c r="AE264" t="s">
        <v>4840</v>
      </c>
      <c r="AF264" t="s">
        <v>74</v>
      </c>
      <c r="AG264">
        <v>35</v>
      </c>
      <c r="AH264">
        <v>0</v>
      </c>
      <c r="AI264">
        <v>0</v>
      </c>
      <c r="AJ264">
        <v>20</v>
      </c>
      <c r="AK264">
        <v>20</v>
      </c>
      <c r="AL264" t="s">
        <v>120</v>
      </c>
      <c r="AM264" t="s">
        <v>121</v>
      </c>
      <c r="AN264" t="s">
        <v>122</v>
      </c>
      <c r="AO264" t="s">
        <v>123</v>
      </c>
      <c r="AP264" t="s">
        <v>124</v>
      </c>
      <c r="AQ264" t="s">
        <v>74</v>
      </c>
      <c r="AR264" t="s">
        <v>125</v>
      </c>
      <c r="AS264" t="s">
        <v>126</v>
      </c>
      <c r="AT264" t="s">
        <v>4789</v>
      </c>
      <c r="AU264">
        <v>2023</v>
      </c>
      <c r="AV264">
        <v>427</v>
      </c>
      <c r="AW264" t="s">
        <v>74</v>
      </c>
      <c r="AX264" t="s">
        <v>74</v>
      </c>
      <c r="AY264" t="s">
        <v>74</v>
      </c>
      <c r="AZ264" t="s">
        <v>74</v>
      </c>
      <c r="BA264" t="s">
        <v>74</v>
      </c>
      <c r="BB264" t="s">
        <v>74</v>
      </c>
      <c r="BC264" t="s">
        <v>74</v>
      </c>
      <c r="BD264">
        <v>136697</v>
      </c>
      <c r="BE264" t="s">
        <v>4841</v>
      </c>
      <c r="BF264" t="str">
        <f>HYPERLINK("http://dx.doi.org/10.1016/j.foodchem.2023.136697","http://dx.doi.org/10.1016/j.foodchem.2023.136697")</f>
        <v>http://dx.doi.org/10.1016/j.foodchem.2023.136697</v>
      </c>
      <c r="BG264" t="s">
        <v>74</v>
      </c>
      <c r="BH264" t="s">
        <v>74</v>
      </c>
      <c r="BI264">
        <v>10</v>
      </c>
      <c r="BJ264" t="s">
        <v>129</v>
      </c>
      <c r="BK264" t="s">
        <v>100</v>
      </c>
      <c r="BL264" t="s">
        <v>130</v>
      </c>
      <c r="BM264" t="s">
        <v>4842</v>
      </c>
      <c r="BN264">
        <v>37379746</v>
      </c>
      <c r="BO264" t="s">
        <v>504</v>
      </c>
      <c r="BP264" t="s">
        <v>74</v>
      </c>
      <c r="BQ264" t="s">
        <v>74</v>
      </c>
      <c r="BR264" t="s">
        <v>104</v>
      </c>
      <c r="BS264" t="s">
        <v>4843</v>
      </c>
      <c r="BT264" t="str">
        <f>HYPERLINK("https%3A%2F%2Fwww.webofscience.com%2Fwos%2Fwoscc%2Ffull-record%2FWOS:001056123600001","View Full Record in Web of Science")</f>
        <v>View Full Record in Web of Science</v>
      </c>
    </row>
    <row r="265" spans="1:72" x14ac:dyDescent="0.15">
      <c r="A265" t="s">
        <v>72</v>
      </c>
      <c r="B265" t="s">
        <v>4844</v>
      </c>
      <c r="C265" t="s">
        <v>74</v>
      </c>
      <c r="D265" t="s">
        <v>74</v>
      </c>
      <c r="E265" t="s">
        <v>74</v>
      </c>
      <c r="F265" t="s">
        <v>4845</v>
      </c>
      <c r="G265" t="s">
        <v>74</v>
      </c>
      <c r="H265" t="s">
        <v>74</v>
      </c>
      <c r="I265" t="s">
        <v>4846</v>
      </c>
      <c r="J265" t="s">
        <v>3786</v>
      </c>
      <c r="K265" t="s">
        <v>74</v>
      </c>
      <c r="L265" t="s">
        <v>74</v>
      </c>
      <c r="M265" t="s">
        <v>78</v>
      </c>
      <c r="N265" t="s">
        <v>79</v>
      </c>
      <c r="O265" t="s">
        <v>74</v>
      </c>
      <c r="P265" t="s">
        <v>74</v>
      </c>
      <c r="Q265" t="s">
        <v>74</v>
      </c>
      <c r="R265" t="s">
        <v>74</v>
      </c>
      <c r="S265" t="s">
        <v>74</v>
      </c>
      <c r="T265" t="s">
        <v>4847</v>
      </c>
      <c r="U265" t="s">
        <v>4848</v>
      </c>
      <c r="V265" t="s">
        <v>4849</v>
      </c>
      <c r="W265" t="s">
        <v>4850</v>
      </c>
      <c r="X265" t="s">
        <v>4851</v>
      </c>
      <c r="Y265" t="s">
        <v>4852</v>
      </c>
      <c r="Z265" t="s">
        <v>4853</v>
      </c>
      <c r="AA265" t="s">
        <v>74</v>
      </c>
      <c r="AB265" t="s">
        <v>74</v>
      </c>
      <c r="AC265" t="s">
        <v>4854</v>
      </c>
      <c r="AD265" t="s">
        <v>4855</v>
      </c>
      <c r="AE265" t="s">
        <v>4856</v>
      </c>
      <c r="AF265" t="s">
        <v>74</v>
      </c>
      <c r="AG265">
        <v>51</v>
      </c>
      <c r="AH265">
        <v>0</v>
      </c>
      <c r="AI265">
        <v>0</v>
      </c>
      <c r="AJ265">
        <v>2</v>
      </c>
      <c r="AK265">
        <v>2</v>
      </c>
      <c r="AL265" t="s">
        <v>90</v>
      </c>
      <c r="AM265" t="s">
        <v>91</v>
      </c>
      <c r="AN265" t="s">
        <v>92</v>
      </c>
      <c r="AO265" t="s">
        <v>3794</v>
      </c>
      <c r="AP265" t="s">
        <v>3795</v>
      </c>
      <c r="AQ265" t="s">
        <v>74</v>
      </c>
      <c r="AR265" t="s">
        <v>3796</v>
      </c>
      <c r="AS265" t="s">
        <v>3797</v>
      </c>
      <c r="AT265" t="s">
        <v>4789</v>
      </c>
      <c r="AU265">
        <v>2023</v>
      </c>
      <c r="AV265">
        <v>638</v>
      </c>
      <c r="AW265" t="s">
        <v>74</v>
      </c>
      <c r="AX265" t="s">
        <v>74</v>
      </c>
      <c r="AY265" t="s">
        <v>74</v>
      </c>
      <c r="AZ265" t="s">
        <v>74</v>
      </c>
      <c r="BA265" t="s">
        <v>74</v>
      </c>
      <c r="BB265" t="s">
        <v>74</v>
      </c>
      <c r="BC265" t="s">
        <v>74</v>
      </c>
      <c r="BD265">
        <v>158085</v>
      </c>
      <c r="BE265" t="s">
        <v>4857</v>
      </c>
      <c r="BF265" t="str">
        <f>HYPERLINK("http://dx.doi.org/10.1016/j.apsusc.2023.158085","http://dx.doi.org/10.1016/j.apsusc.2023.158085")</f>
        <v>http://dx.doi.org/10.1016/j.apsusc.2023.158085</v>
      </c>
      <c r="BG265" t="s">
        <v>74</v>
      </c>
      <c r="BH265" t="s">
        <v>74</v>
      </c>
      <c r="BI265">
        <v>14</v>
      </c>
      <c r="BJ265" t="s">
        <v>3799</v>
      </c>
      <c r="BK265" t="s">
        <v>100</v>
      </c>
      <c r="BL265" t="s">
        <v>3800</v>
      </c>
      <c r="BM265" t="s">
        <v>4858</v>
      </c>
      <c r="BN265" t="s">
        <v>74</v>
      </c>
      <c r="BO265" t="s">
        <v>74</v>
      </c>
      <c r="BP265" t="s">
        <v>74</v>
      </c>
      <c r="BQ265" t="s">
        <v>74</v>
      </c>
      <c r="BR265" t="s">
        <v>104</v>
      </c>
      <c r="BS265" t="s">
        <v>4859</v>
      </c>
      <c r="BT265" t="str">
        <f>HYPERLINK("https%3A%2F%2Fwww.webofscience.com%2Fwos%2Fwoscc%2Ffull-record%2FWOS:001052117700001","View Full Record in Web of Science")</f>
        <v>View Full Record in Web of Science</v>
      </c>
    </row>
    <row r="266" spans="1:72" x14ac:dyDescent="0.15">
      <c r="A266" t="s">
        <v>72</v>
      </c>
      <c r="B266" t="s">
        <v>4860</v>
      </c>
      <c r="C266" t="s">
        <v>74</v>
      </c>
      <c r="D266" t="s">
        <v>74</v>
      </c>
      <c r="E266" t="s">
        <v>74</v>
      </c>
      <c r="F266" t="s">
        <v>4861</v>
      </c>
      <c r="G266" t="s">
        <v>74</v>
      </c>
      <c r="H266" t="s">
        <v>74</v>
      </c>
      <c r="I266" t="s">
        <v>4862</v>
      </c>
      <c r="J266" t="s">
        <v>4796</v>
      </c>
      <c r="K266" t="s">
        <v>74</v>
      </c>
      <c r="L266" t="s">
        <v>74</v>
      </c>
      <c r="M266" t="s">
        <v>78</v>
      </c>
      <c r="N266" t="s">
        <v>79</v>
      </c>
      <c r="O266" t="s">
        <v>74</v>
      </c>
      <c r="P266" t="s">
        <v>74</v>
      </c>
      <c r="Q266" t="s">
        <v>74</v>
      </c>
      <c r="R266" t="s">
        <v>74</v>
      </c>
      <c r="S266" t="s">
        <v>74</v>
      </c>
      <c r="T266" t="s">
        <v>4863</v>
      </c>
      <c r="U266" t="s">
        <v>4864</v>
      </c>
      <c r="V266" t="s">
        <v>4865</v>
      </c>
      <c r="W266" t="s">
        <v>4866</v>
      </c>
      <c r="X266" t="s">
        <v>4867</v>
      </c>
      <c r="Y266" t="s">
        <v>4868</v>
      </c>
      <c r="Z266" t="s">
        <v>4869</v>
      </c>
      <c r="AA266" t="s">
        <v>74</v>
      </c>
      <c r="AB266" t="s">
        <v>74</v>
      </c>
      <c r="AC266" t="s">
        <v>4870</v>
      </c>
      <c r="AD266" t="s">
        <v>4871</v>
      </c>
      <c r="AE266" t="s">
        <v>4872</v>
      </c>
      <c r="AF266" t="s">
        <v>74</v>
      </c>
      <c r="AG266">
        <v>47</v>
      </c>
      <c r="AH266">
        <v>0</v>
      </c>
      <c r="AI266">
        <v>0</v>
      </c>
      <c r="AJ266">
        <v>4</v>
      </c>
      <c r="AK266">
        <v>4</v>
      </c>
      <c r="AL266" t="s">
        <v>90</v>
      </c>
      <c r="AM266" t="s">
        <v>91</v>
      </c>
      <c r="AN266" t="s">
        <v>92</v>
      </c>
      <c r="AO266" t="s">
        <v>4806</v>
      </c>
      <c r="AP266" t="s">
        <v>4807</v>
      </c>
      <c r="AQ266" t="s">
        <v>74</v>
      </c>
      <c r="AR266" t="s">
        <v>4808</v>
      </c>
      <c r="AS266" t="s">
        <v>4809</v>
      </c>
      <c r="AT266" t="s">
        <v>4789</v>
      </c>
      <c r="AU266">
        <v>2023</v>
      </c>
      <c r="AV266">
        <v>72</v>
      </c>
      <c r="AW266" t="s">
        <v>74</v>
      </c>
      <c r="AX266" t="s">
        <v>4824</v>
      </c>
      <c r="AY266" t="s">
        <v>74</v>
      </c>
      <c r="AZ266" t="s">
        <v>74</v>
      </c>
      <c r="BA266" t="s">
        <v>74</v>
      </c>
      <c r="BB266" t="s">
        <v>74</v>
      </c>
      <c r="BC266" t="s">
        <v>74</v>
      </c>
      <c r="BD266">
        <v>108711</v>
      </c>
      <c r="BE266" t="s">
        <v>4873</v>
      </c>
      <c r="BF266" t="str">
        <f>HYPERLINK("http://dx.doi.org/10.1016/j.est.2023.108711","http://dx.doi.org/10.1016/j.est.2023.108711")</f>
        <v>http://dx.doi.org/10.1016/j.est.2023.108711</v>
      </c>
      <c r="BG266" t="s">
        <v>74</v>
      </c>
      <c r="BH266" t="s">
        <v>74</v>
      </c>
      <c r="BI266">
        <v>11</v>
      </c>
      <c r="BJ266" t="s">
        <v>2999</v>
      </c>
      <c r="BK266" t="s">
        <v>100</v>
      </c>
      <c r="BL266" t="s">
        <v>2999</v>
      </c>
      <c r="BM266" t="s">
        <v>4874</v>
      </c>
      <c r="BN266" t="s">
        <v>74</v>
      </c>
      <c r="BO266" t="s">
        <v>74</v>
      </c>
      <c r="BP266" t="s">
        <v>74</v>
      </c>
      <c r="BQ266" t="s">
        <v>74</v>
      </c>
      <c r="BR266" t="s">
        <v>104</v>
      </c>
      <c r="BS266" t="s">
        <v>4875</v>
      </c>
      <c r="BT266" t="str">
        <f>HYPERLINK("https%3A%2F%2Fwww.webofscience.com%2Fwos%2Fwoscc%2Ffull-record%2FWOS:001059427300001","View Full Record in Web of Science")</f>
        <v>View Full Record in Web of Science</v>
      </c>
    </row>
    <row r="267" spans="1:72" x14ac:dyDescent="0.15">
      <c r="A267" t="s">
        <v>72</v>
      </c>
      <c r="B267" t="s">
        <v>4876</v>
      </c>
      <c r="C267" t="s">
        <v>74</v>
      </c>
      <c r="D267" t="s">
        <v>74</v>
      </c>
      <c r="E267" t="s">
        <v>74</v>
      </c>
      <c r="F267" t="s">
        <v>4877</v>
      </c>
      <c r="G267" t="s">
        <v>74</v>
      </c>
      <c r="H267" t="s">
        <v>74</v>
      </c>
      <c r="I267" t="s">
        <v>4878</v>
      </c>
      <c r="J267" t="s">
        <v>4796</v>
      </c>
      <c r="K267" t="s">
        <v>74</v>
      </c>
      <c r="L267" t="s">
        <v>74</v>
      </c>
      <c r="M267" t="s">
        <v>78</v>
      </c>
      <c r="N267" t="s">
        <v>79</v>
      </c>
      <c r="O267" t="s">
        <v>74</v>
      </c>
      <c r="P267" t="s">
        <v>74</v>
      </c>
      <c r="Q267" t="s">
        <v>74</v>
      </c>
      <c r="R267" t="s">
        <v>74</v>
      </c>
      <c r="S267" t="s">
        <v>74</v>
      </c>
      <c r="T267" t="s">
        <v>4879</v>
      </c>
      <c r="U267" t="s">
        <v>4880</v>
      </c>
      <c r="V267" t="s">
        <v>4881</v>
      </c>
      <c r="W267" t="s">
        <v>4882</v>
      </c>
      <c r="X267" t="s">
        <v>4883</v>
      </c>
      <c r="Y267" t="s">
        <v>4884</v>
      </c>
      <c r="Z267" t="s">
        <v>4885</v>
      </c>
      <c r="AA267" t="s">
        <v>74</v>
      </c>
      <c r="AB267" t="s">
        <v>74</v>
      </c>
      <c r="AC267" t="s">
        <v>4886</v>
      </c>
      <c r="AD267" t="s">
        <v>4887</v>
      </c>
      <c r="AE267" t="s">
        <v>4888</v>
      </c>
      <c r="AF267" t="s">
        <v>74</v>
      </c>
      <c r="AG267">
        <v>97</v>
      </c>
      <c r="AH267">
        <v>0</v>
      </c>
      <c r="AI267">
        <v>0</v>
      </c>
      <c r="AJ267">
        <v>0</v>
      </c>
      <c r="AK267">
        <v>0</v>
      </c>
      <c r="AL267" t="s">
        <v>90</v>
      </c>
      <c r="AM267" t="s">
        <v>91</v>
      </c>
      <c r="AN267" t="s">
        <v>92</v>
      </c>
      <c r="AO267" t="s">
        <v>4806</v>
      </c>
      <c r="AP267" t="s">
        <v>4807</v>
      </c>
      <c r="AQ267" t="s">
        <v>74</v>
      </c>
      <c r="AR267" t="s">
        <v>4808</v>
      </c>
      <c r="AS267" t="s">
        <v>4809</v>
      </c>
      <c r="AT267" t="s">
        <v>4789</v>
      </c>
      <c r="AU267">
        <v>2023</v>
      </c>
      <c r="AV267">
        <v>72</v>
      </c>
      <c r="AW267" t="s">
        <v>74</v>
      </c>
      <c r="AX267" t="s">
        <v>4824</v>
      </c>
      <c r="AY267" t="s">
        <v>74</v>
      </c>
      <c r="AZ267" t="s">
        <v>74</v>
      </c>
      <c r="BA267" t="s">
        <v>74</v>
      </c>
      <c r="BB267" t="s">
        <v>74</v>
      </c>
      <c r="BC267" t="s">
        <v>74</v>
      </c>
      <c r="BD267">
        <v>108600</v>
      </c>
      <c r="BE267" t="s">
        <v>4889</v>
      </c>
      <c r="BF267" t="str">
        <f>HYPERLINK("http://dx.doi.org/10.1016/j.est.2023.108600","http://dx.doi.org/10.1016/j.est.2023.108600")</f>
        <v>http://dx.doi.org/10.1016/j.est.2023.108600</v>
      </c>
      <c r="BG267" t="s">
        <v>74</v>
      </c>
      <c r="BH267" t="s">
        <v>74</v>
      </c>
      <c r="BI267">
        <v>16</v>
      </c>
      <c r="BJ267" t="s">
        <v>2999</v>
      </c>
      <c r="BK267" t="s">
        <v>100</v>
      </c>
      <c r="BL267" t="s">
        <v>2999</v>
      </c>
      <c r="BM267" t="s">
        <v>4890</v>
      </c>
      <c r="BN267" t="s">
        <v>74</v>
      </c>
      <c r="BO267" t="s">
        <v>74</v>
      </c>
      <c r="BP267" t="s">
        <v>74</v>
      </c>
      <c r="BQ267" t="s">
        <v>74</v>
      </c>
      <c r="BR267" t="s">
        <v>104</v>
      </c>
      <c r="BS267" t="s">
        <v>4891</v>
      </c>
      <c r="BT267" t="str">
        <f>HYPERLINK("https%3A%2F%2Fwww.webofscience.com%2Fwos%2Fwoscc%2Ffull-record%2FWOS:001061683600001","View Full Record in Web of Science")</f>
        <v>View Full Record in Web of Science</v>
      </c>
    </row>
    <row r="268" spans="1:72" x14ac:dyDescent="0.15">
      <c r="A268" t="s">
        <v>72</v>
      </c>
      <c r="B268" t="s">
        <v>4892</v>
      </c>
      <c r="C268" t="s">
        <v>74</v>
      </c>
      <c r="D268" t="s">
        <v>74</v>
      </c>
      <c r="E268" t="s">
        <v>74</v>
      </c>
      <c r="F268" t="s">
        <v>4893</v>
      </c>
      <c r="G268" t="s">
        <v>74</v>
      </c>
      <c r="H268" t="s">
        <v>74</v>
      </c>
      <c r="I268" t="s">
        <v>4894</v>
      </c>
      <c r="J268" t="s">
        <v>3786</v>
      </c>
      <c r="K268" t="s">
        <v>74</v>
      </c>
      <c r="L268" t="s">
        <v>74</v>
      </c>
      <c r="M268" t="s">
        <v>78</v>
      </c>
      <c r="N268" t="s">
        <v>79</v>
      </c>
      <c r="O268" t="s">
        <v>74</v>
      </c>
      <c r="P268" t="s">
        <v>74</v>
      </c>
      <c r="Q268" t="s">
        <v>74</v>
      </c>
      <c r="R268" t="s">
        <v>74</v>
      </c>
      <c r="S268" t="s">
        <v>74</v>
      </c>
      <c r="T268" t="s">
        <v>4895</v>
      </c>
      <c r="U268" t="s">
        <v>4896</v>
      </c>
      <c r="V268" t="s">
        <v>4897</v>
      </c>
      <c r="W268" t="s">
        <v>4898</v>
      </c>
      <c r="X268" t="s">
        <v>4899</v>
      </c>
      <c r="Y268" t="s">
        <v>4900</v>
      </c>
      <c r="Z268" t="s">
        <v>4901</v>
      </c>
      <c r="AA268" t="s">
        <v>74</v>
      </c>
      <c r="AB268" t="s">
        <v>74</v>
      </c>
      <c r="AC268" t="s">
        <v>4902</v>
      </c>
      <c r="AD268" t="s">
        <v>4903</v>
      </c>
      <c r="AE268" t="s">
        <v>4904</v>
      </c>
      <c r="AF268" t="s">
        <v>74</v>
      </c>
      <c r="AG268">
        <v>66</v>
      </c>
      <c r="AH268">
        <v>0</v>
      </c>
      <c r="AI268">
        <v>0</v>
      </c>
      <c r="AJ268">
        <v>11</v>
      </c>
      <c r="AK268">
        <v>11</v>
      </c>
      <c r="AL268" t="s">
        <v>90</v>
      </c>
      <c r="AM268" t="s">
        <v>91</v>
      </c>
      <c r="AN268" t="s">
        <v>92</v>
      </c>
      <c r="AO268" t="s">
        <v>3794</v>
      </c>
      <c r="AP268" t="s">
        <v>3795</v>
      </c>
      <c r="AQ268" t="s">
        <v>74</v>
      </c>
      <c r="AR268" t="s">
        <v>3796</v>
      </c>
      <c r="AS268" t="s">
        <v>3797</v>
      </c>
      <c r="AT268" t="s">
        <v>4789</v>
      </c>
      <c r="AU268">
        <v>2023</v>
      </c>
      <c r="AV268">
        <v>638</v>
      </c>
      <c r="AW268" t="s">
        <v>74</v>
      </c>
      <c r="AX268" t="s">
        <v>74</v>
      </c>
      <c r="AY268" t="s">
        <v>74</v>
      </c>
      <c r="AZ268" t="s">
        <v>74</v>
      </c>
      <c r="BA268" t="s">
        <v>74</v>
      </c>
      <c r="BB268" t="s">
        <v>74</v>
      </c>
      <c r="BC268" t="s">
        <v>74</v>
      </c>
      <c r="BD268">
        <v>158090</v>
      </c>
      <c r="BE268" t="s">
        <v>4905</v>
      </c>
      <c r="BF268" t="str">
        <f>HYPERLINK("http://dx.doi.org/10.1016/j.apsusc.2023.158090","http://dx.doi.org/10.1016/j.apsusc.2023.158090")</f>
        <v>http://dx.doi.org/10.1016/j.apsusc.2023.158090</v>
      </c>
      <c r="BG268" t="s">
        <v>74</v>
      </c>
      <c r="BH268" t="s">
        <v>74</v>
      </c>
      <c r="BI268">
        <v>8</v>
      </c>
      <c r="BJ268" t="s">
        <v>3799</v>
      </c>
      <c r="BK268" t="s">
        <v>100</v>
      </c>
      <c r="BL268" t="s">
        <v>3800</v>
      </c>
      <c r="BM268" t="s">
        <v>4906</v>
      </c>
      <c r="BN268" t="s">
        <v>74</v>
      </c>
      <c r="BO268" t="s">
        <v>74</v>
      </c>
      <c r="BP268" t="s">
        <v>74</v>
      </c>
      <c r="BQ268" t="s">
        <v>74</v>
      </c>
      <c r="BR268" t="s">
        <v>104</v>
      </c>
      <c r="BS268" t="s">
        <v>4907</v>
      </c>
      <c r="BT268" t="str">
        <f>HYPERLINK("https%3A%2F%2Fwww.webofscience.com%2Fwos%2Fwoscc%2Ffull-record%2FWOS:001050801100001","View Full Record in Web of Science")</f>
        <v>View Full Record in Web of Science</v>
      </c>
    </row>
    <row r="269" spans="1:72" x14ac:dyDescent="0.15">
      <c r="A269" t="s">
        <v>72</v>
      </c>
      <c r="B269" t="s">
        <v>4908</v>
      </c>
      <c r="C269" t="s">
        <v>74</v>
      </c>
      <c r="D269" t="s">
        <v>74</v>
      </c>
      <c r="E269" t="s">
        <v>74</v>
      </c>
      <c r="F269" t="s">
        <v>4909</v>
      </c>
      <c r="G269" t="s">
        <v>74</v>
      </c>
      <c r="H269" t="s">
        <v>74</v>
      </c>
      <c r="I269" t="s">
        <v>4910</v>
      </c>
      <c r="J269" t="s">
        <v>4796</v>
      </c>
      <c r="K269" t="s">
        <v>74</v>
      </c>
      <c r="L269" t="s">
        <v>74</v>
      </c>
      <c r="M269" t="s">
        <v>78</v>
      </c>
      <c r="N269" t="s">
        <v>79</v>
      </c>
      <c r="O269" t="s">
        <v>74</v>
      </c>
      <c r="P269" t="s">
        <v>74</v>
      </c>
      <c r="Q269" t="s">
        <v>74</v>
      </c>
      <c r="R269" t="s">
        <v>74</v>
      </c>
      <c r="S269" t="s">
        <v>74</v>
      </c>
      <c r="T269" t="s">
        <v>4911</v>
      </c>
      <c r="U269" t="s">
        <v>4912</v>
      </c>
      <c r="V269" t="s">
        <v>4913</v>
      </c>
      <c r="W269" t="s">
        <v>4914</v>
      </c>
      <c r="X269" t="s">
        <v>4915</v>
      </c>
      <c r="Y269" t="s">
        <v>4916</v>
      </c>
      <c r="Z269" t="s">
        <v>4917</v>
      </c>
      <c r="AA269" t="s">
        <v>74</v>
      </c>
      <c r="AB269" t="s">
        <v>74</v>
      </c>
      <c r="AC269" t="s">
        <v>4918</v>
      </c>
      <c r="AD269" t="s">
        <v>4919</v>
      </c>
      <c r="AE269" t="s">
        <v>4920</v>
      </c>
      <c r="AF269" t="s">
        <v>74</v>
      </c>
      <c r="AG269">
        <v>42</v>
      </c>
      <c r="AH269">
        <v>0</v>
      </c>
      <c r="AI269">
        <v>0</v>
      </c>
      <c r="AJ269">
        <v>0</v>
      </c>
      <c r="AK269">
        <v>0</v>
      </c>
      <c r="AL269" t="s">
        <v>90</v>
      </c>
      <c r="AM269" t="s">
        <v>91</v>
      </c>
      <c r="AN269" t="s">
        <v>92</v>
      </c>
      <c r="AO269" t="s">
        <v>4806</v>
      </c>
      <c r="AP269" t="s">
        <v>4807</v>
      </c>
      <c r="AQ269" t="s">
        <v>74</v>
      </c>
      <c r="AR269" t="s">
        <v>4808</v>
      </c>
      <c r="AS269" t="s">
        <v>4809</v>
      </c>
      <c r="AT269" t="s">
        <v>4789</v>
      </c>
      <c r="AU269">
        <v>2023</v>
      </c>
      <c r="AV269">
        <v>72</v>
      </c>
      <c r="AW269" t="s">
        <v>74</v>
      </c>
      <c r="AX269" t="s">
        <v>4824</v>
      </c>
      <c r="AY269" t="s">
        <v>74</v>
      </c>
      <c r="AZ269" t="s">
        <v>74</v>
      </c>
      <c r="BA269" t="s">
        <v>74</v>
      </c>
      <c r="BB269" t="s">
        <v>74</v>
      </c>
      <c r="BC269" t="s">
        <v>74</v>
      </c>
      <c r="BD269">
        <v>108565</v>
      </c>
      <c r="BE269" t="s">
        <v>4921</v>
      </c>
      <c r="BF269" t="str">
        <f>HYPERLINK("http://dx.doi.org/10.1016/j.est.2023.108565","http://dx.doi.org/10.1016/j.est.2023.108565")</f>
        <v>http://dx.doi.org/10.1016/j.est.2023.108565</v>
      </c>
      <c r="BG269" t="s">
        <v>74</v>
      </c>
      <c r="BH269" t="s">
        <v>74</v>
      </c>
      <c r="BI269">
        <v>14</v>
      </c>
      <c r="BJ269" t="s">
        <v>2999</v>
      </c>
      <c r="BK269" t="s">
        <v>100</v>
      </c>
      <c r="BL269" t="s">
        <v>2999</v>
      </c>
      <c r="BM269" t="s">
        <v>4922</v>
      </c>
      <c r="BN269" t="s">
        <v>74</v>
      </c>
      <c r="BO269" t="s">
        <v>74</v>
      </c>
      <c r="BP269" t="s">
        <v>74</v>
      </c>
      <c r="BQ269" t="s">
        <v>74</v>
      </c>
      <c r="BR269" t="s">
        <v>104</v>
      </c>
      <c r="BS269" t="s">
        <v>4923</v>
      </c>
      <c r="BT269" t="str">
        <f>HYPERLINK("https%3A%2F%2Fwww.webofscience.com%2Fwos%2Fwoscc%2Ffull-record%2FWOS:001066118100001","View Full Record in Web of Science")</f>
        <v>View Full Record in Web of Science</v>
      </c>
    </row>
    <row r="270" spans="1:72" x14ac:dyDescent="0.15">
      <c r="A270" t="s">
        <v>72</v>
      </c>
      <c r="B270" t="s">
        <v>4924</v>
      </c>
      <c r="C270" t="s">
        <v>74</v>
      </c>
      <c r="D270" t="s">
        <v>74</v>
      </c>
      <c r="E270" t="s">
        <v>74</v>
      </c>
      <c r="F270" t="s">
        <v>4925</v>
      </c>
      <c r="G270" t="s">
        <v>74</v>
      </c>
      <c r="H270" t="s">
        <v>74</v>
      </c>
      <c r="I270" t="s">
        <v>4926</v>
      </c>
      <c r="J270" t="s">
        <v>4796</v>
      </c>
      <c r="K270" t="s">
        <v>74</v>
      </c>
      <c r="L270" t="s">
        <v>74</v>
      </c>
      <c r="M270" t="s">
        <v>78</v>
      </c>
      <c r="N270" t="s">
        <v>241</v>
      </c>
      <c r="O270" t="s">
        <v>74</v>
      </c>
      <c r="P270" t="s">
        <v>74</v>
      </c>
      <c r="Q270" t="s">
        <v>74</v>
      </c>
      <c r="R270" t="s">
        <v>74</v>
      </c>
      <c r="S270" t="s">
        <v>74</v>
      </c>
      <c r="T270" t="s">
        <v>4927</v>
      </c>
      <c r="U270" t="s">
        <v>4928</v>
      </c>
      <c r="V270" t="s">
        <v>4929</v>
      </c>
      <c r="W270" t="s">
        <v>4930</v>
      </c>
      <c r="X270" t="s">
        <v>4931</v>
      </c>
      <c r="Y270" t="s">
        <v>4932</v>
      </c>
      <c r="Z270" t="s">
        <v>4933</v>
      </c>
      <c r="AA270" t="s">
        <v>74</v>
      </c>
      <c r="AB270" t="s">
        <v>74</v>
      </c>
      <c r="AC270" t="s">
        <v>4934</v>
      </c>
      <c r="AD270" t="s">
        <v>4935</v>
      </c>
      <c r="AE270" t="s">
        <v>4936</v>
      </c>
      <c r="AF270" t="s">
        <v>74</v>
      </c>
      <c r="AG270">
        <v>75</v>
      </c>
      <c r="AH270">
        <v>0</v>
      </c>
      <c r="AI270">
        <v>0</v>
      </c>
      <c r="AJ270">
        <v>15</v>
      </c>
      <c r="AK270">
        <v>15</v>
      </c>
      <c r="AL270" t="s">
        <v>90</v>
      </c>
      <c r="AM270" t="s">
        <v>91</v>
      </c>
      <c r="AN270" t="s">
        <v>92</v>
      </c>
      <c r="AO270" t="s">
        <v>4806</v>
      </c>
      <c r="AP270" t="s">
        <v>4807</v>
      </c>
      <c r="AQ270" t="s">
        <v>74</v>
      </c>
      <c r="AR270" t="s">
        <v>4808</v>
      </c>
      <c r="AS270" t="s">
        <v>4809</v>
      </c>
      <c r="AT270" t="s">
        <v>4789</v>
      </c>
      <c r="AU270">
        <v>2023</v>
      </c>
      <c r="AV270">
        <v>72</v>
      </c>
      <c r="AW270" t="s">
        <v>74</v>
      </c>
      <c r="AX270" t="s">
        <v>4824</v>
      </c>
      <c r="AY270" t="s">
        <v>74</v>
      </c>
      <c r="AZ270" t="s">
        <v>74</v>
      </c>
      <c r="BA270" t="s">
        <v>74</v>
      </c>
      <c r="BB270" t="s">
        <v>74</v>
      </c>
      <c r="BC270" t="s">
        <v>74</v>
      </c>
      <c r="BD270">
        <v>108691</v>
      </c>
      <c r="BE270" t="s">
        <v>4937</v>
      </c>
      <c r="BF270" t="str">
        <f>HYPERLINK("http://dx.doi.org/10.1016/j.est.2023.108691","http://dx.doi.org/10.1016/j.est.2023.108691")</f>
        <v>http://dx.doi.org/10.1016/j.est.2023.108691</v>
      </c>
      <c r="BG270" t="s">
        <v>74</v>
      </c>
      <c r="BH270" t="s">
        <v>74</v>
      </c>
      <c r="BI270">
        <v>12</v>
      </c>
      <c r="BJ270" t="s">
        <v>2999</v>
      </c>
      <c r="BK270" t="s">
        <v>100</v>
      </c>
      <c r="BL270" t="s">
        <v>2999</v>
      </c>
      <c r="BM270" t="s">
        <v>4938</v>
      </c>
      <c r="BN270" t="s">
        <v>74</v>
      </c>
      <c r="BO270" t="s">
        <v>74</v>
      </c>
      <c r="BP270" t="s">
        <v>74</v>
      </c>
      <c r="BQ270" t="s">
        <v>74</v>
      </c>
      <c r="BR270" t="s">
        <v>104</v>
      </c>
      <c r="BS270" t="s">
        <v>4939</v>
      </c>
      <c r="BT270" t="str">
        <f>HYPERLINK("https%3A%2F%2Fwww.webofscience.com%2Fwos%2Fwoscc%2Ffull-record%2FWOS:001059352400001","View Full Record in Web of Science")</f>
        <v>View Full Record in Web of Science</v>
      </c>
    </row>
    <row r="271" spans="1:72" x14ac:dyDescent="0.15">
      <c r="A271" t="s">
        <v>72</v>
      </c>
      <c r="B271" t="s">
        <v>4940</v>
      </c>
      <c r="C271" t="s">
        <v>74</v>
      </c>
      <c r="D271" t="s">
        <v>74</v>
      </c>
      <c r="E271" t="s">
        <v>74</v>
      </c>
      <c r="F271" t="s">
        <v>4941</v>
      </c>
      <c r="G271" t="s">
        <v>74</v>
      </c>
      <c r="H271" t="s">
        <v>74</v>
      </c>
      <c r="I271" t="s">
        <v>4942</v>
      </c>
      <c r="J271" t="s">
        <v>3786</v>
      </c>
      <c r="K271" t="s">
        <v>74</v>
      </c>
      <c r="L271" t="s">
        <v>74</v>
      </c>
      <c r="M271" t="s">
        <v>78</v>
      </c>
      <c r="N271" t="s">
        <v>79</v>
      </c>
      <c r="O271" t="s">
        <v>74</v>
      </c>
      <c r="P271" t="s">
        <v>74</v>
      </c>
      <c r="Q271" t="s">
        <v>74</v>
      </c>
      <c r="R271" t="s">
        <v>74</v>
      </c>
      <c r="S271" t="s">
        <v>74</v>
      </c>
      <c r="T271" t="s">
        <v>4943</v>
      </c>
      <c r="U271" t="s">
        <v>4944</v>
      </c>
      <c r="V271" t="s">
        <v>4945</v>
      </c>
      <c r="W271" t="s">
        <v>4946</v>
      </c>
      <c r="X271" t="s">
        <v>4947</v>
      </c>
      <c r="Y271" t="s">
        <v>4948</v>
      </c>
      <c r="Z271" t="s">
        <v>4949</v>
      </c>
      <c r="AA271" t="s">
        <v>74</v>
      </c>
      <c r="AB271" t="s">
        <v>4950</v>
      </c>
      <c r="AC271" t="s">
        <v>4951</v>
      </c>
      <c r="AD271" t="s">
        <v>4952</v>
      </c>
      <c r="AE271" t="s">
        <v>4953</v>
      </c>
      <c r="AF271" t="s">
        <v>74</v>
      </c>
      <c r="AG271">
        <v>58</v>
      </c>
      <c r="AH271">
        <v>0</v>
      </c>
      <c r="AI271">
        <v>0</v>
      </c>
      <c r="AJ271">
        <v>12</v>
      </c>
      <c r="AK271">
        <v>12</v>
      </c>
      <c r="AL271" t="s">
        <v>90</v>
      </c>
      <c r="AM271" t="s">
        <v>91</v>
      </c>
      <c r="AN271" t="s">
        <v>92</v>
      </c>
      <c r="AO271" t="s">
        <v>3794</v>
      </c>
      <c r="AP271" t="s">
        <v>3795</v>
      </c>
      <c r="AQ271" t="s">
        <v>74</v>
      </c>
      <c r="AR271" t="s">
        <v>3796</v>
      </c>
      <c r="AS271" t="s">
        <v>3797</v>
      </c>
      <c r="AT271" t="s">
        <v>4789</v>
      </c>
      <c r="AU271">
        <v>2023</v>
      </c>
      <c r="AV271">
        <v>638</v>
      </c>
      <c r="AW271" t="s">
        <v>74</v>
      </c>
      <c r="AX271" t="s">
        <v>74</v>
      </c>
      <c r="AY271" t="s">
        <v>74</v>
      </c>
      <c r="AZ271" t="s">
        <v>74</v>
      </c>
      <c r="BA271" t="s">
        <v>74</v>
      </c>
      <c r="BB271" t="s">
        <v>74</v>
      </c>
      <c r="BC271" t="s">
        <v>74</v>
      </c>
      <c r="BD271">
        <v>158087</v>
      </c>
      <c r="BE271" t="s">
        <v>4954</v>
      </c>
      <c r="BF271" t="str">
        <f>HYPERLINK("http://dx.doi.org/10.1016/j.apsusc.2023.158087","http://dx.doi.org/10.1016/j.apsusc.2023.158087")</f>
        <v>http://dx.doi.org/10.1016/j.apsusc.2023.158087</v>
      </c>
      <c r="BG271" t="s">
        <v>74</v>
      </c>
      <c r="BH271" t="s">
        <v>74</v>
      </c>
      <c r="BI271">
        <v>11</v>
      </c>
      <c r="BJ271" t="s">
        <v>3799</v>
      </c>
      <c r="BK271" t="s">
        <v>100</v>
      </c>
      <c r="BL271" t="s">
        <v>3800</v>
      </c>
      <c r="BM271" t="s">
        <v>4955</v>
      </c>
      <c r="BN271" t="s">
        <v>74</v>
      </c>
      <c r="BO271" t="s">
        <v>74</v>
      </c>
      <c r="BP271" t="s">
        <v>74</v>
      </c>
      <c r="BQ271" t="s">
        <v>74</v>
      </c>
      <c r="BR271" t="s">
        <v>104</v>
      </c>
      <c r="BS271" t="s">
        <v>4956</v>
      </c>
      <c r="BT271" t="str">
        <f>HYPERLINK("https%3A%2F%2Fwww.webofscience.com%2Fwos%2Fwoscc%2Ffull-record%2FWOS:001047026900001","View Full Record in Web of Science")</f>
        <v>View Full Record in Web of Science</v>
      </c>
    </row>
    <row r="272" spans="1:72" x14ac:dyDescent="0.15">
      <c r="A272" t="s">
        <v>72</v>
      </c>
      <c r="B272" t="s">
        <v>4957</v>
      </c>
      <c r="C272" t="s">
        <v>74</v>
      </c>
      <c r="D272" t="s">
        <v>74</v>
      </c>
      <c r="E272" t="s">
        <v>74</v>
      </c>
      <c r="F272" t="s">
        <v>4958</v>
      </c>
      <c r="G272" t="s">
        <v>74</v>
      </c>
      <c r="H272" t="s">
        <v>74</v>
      </c>
      <c r="I272" t="s">
        <v>4959</v>
      </c>
      <c r="J272" t="s">
        <v>2101</v>
      </c>
      <c r="K272" t="s">
        <v>74</v>
      </c>
      <c r="L272" t="s">
        <v>74</v>
      </c>
      <c r="M272" t="s">
        <v>78</v>
      </c>
      <c r="N272" t="s">
        <v>79</v>
      </c>
      <c r="O272" t="s">
        <v>74</v>
      </c>
      <c r="P272" t="s">
        <v>74</v>
      </c>
      <c r="Q272" t="s">
        <v>74</v>
      </c>
      <c r="R272" t="s">
        <v>74</v>
      </c>
      <c r="S272" t="s">
        <v>74</v>
      </c>
      <c r="T272" t="s">
        <v>4960</v>
      </c>
      <c r="U272" t="s">
        <v>4961</v>
      </c>
      <c r="V272" t="s">
        <v>4962</v>
      </c>
      <c r="W272" t="s">
        <v>4963</v>
      </c>
      <c r="X272" t="s">
        <v>4964</v>
      </c>
      <c r="Y272" t="s">
        <v>4965</v>
      </c>
      <c r="Z272" t="s">
        <v>4966</v>
      </c>
      <c r="AA272" t="s">
        <v>74</v>
      </c>
      <c r="AB272" t="s">
        <v>4967</v>
      </c>
      <c r="AC272" t="s">
        <v>4968</v>
      </c>
      <c r="AD272" t="s">
        <v>4969</v>
      </c>
      <c r="AE272" t="s">
        <v>4970</v>
      </c>
      <c r="AF272" t="s">
        <v>74</v>
      </c>
      <c r="AG272">
        <v>60</v>
      </c>
      <c r="AH272">
        <v>0</v>
      </c>
      <c r="AI272">
        <v>0</v>
      </c>
      <c r="AJ272">
        <v>3</v>
      </c>
      <c r="AK272">
        <v>3</v>
      </c>
      <c r="AL272" t="s">
        <v>955</v>
      </c>
      <c r="AM272" t="s">
        <v>956</v>
      </c>
      <c r="AN272" t="s">
        <v>957</v>
      </c>
      <c r="AO272" t="s">
        <v>2112</v>
      </c>
      <c r="AP272" t="s">
        <v>2113</v>
      </c>
      <c r="AQ272" t="s">
        <v>74</v>
      </c>
      <c r="AR272" t="s">
        <v>2114</v>
      </c>
      <c r="AS272" t="s">
        <v>2115</v>
      </c>
      <c r="AT272" t="s">
        <v>4971</v>
      </c>
      <c r="AU272">
        <v>2023</v>
      </c>
      <c r="AV272">
        <v>965</v>
      </c>
      <c r="AW272" t="s">
        <v>74</v>
      </c>
      <c r="AX272" t="s">
        <v>74</v>
      </c>
      <c r="AY272" t="s">
        <v>74</v>
      </c>
      <c r="AZ272" t="s">
        <v>74</v>
      </c>
      <c r="BA272" t="s">
        <v>74</v>
      </c>
      <c r="BB272" t="s">
        <v>74</v>
      </c>
      <c r="BC272" t="s">
        <v>74</v>
      </c>
      <c r="BD272">
        <v>171360</v>
      </c>
      <c r="BE272" t="s">
        <v>4972</v>
      </c>
      <c r="BF272" t="str">
        <f>HYPERLINK("http://dx.doi.org/10.1016/j.jallcom.2023.171360","http://dx.doi.org/10.1016/j.jallcom.2023.171360")</f>
        <v>http://dx.doi.org/10.1016/j.jallcom.2023.171360</v>
      </c>
      <c r="BG272" t="s">
        <v>74</v>
      </c>
      <c r="BH272" t="s">
        <v>74</v>
      </c>
      <c r="BI272">
        <v>8</v>
      </c>
      <c r="BJ272" t="s">
        <v>2118</v>
      </c>
      <c r="BK272" t="s">
        <v>100</v>
      </c>
      <c r="BL272" t="s">
        <v>2119</v>
      </c>
      <c r="BM272" t="s">
        <v>4973</v>
      </c>
      <c r="BN272" t="s">
        <v>74</v>
      </c>
      <c r="BO272" t="s">
        <v>74</v>
      </c>
      <c r="BP272" t="s">
        <v>74</v>
      </c>
      <c r="BQ272" t="s">
        <v>74</v>
      </c>
      <c r="BR272" t="s">
        <v>104</v>
      </c>
      <c r="BS272" t="s">
        <v>4974</v>
      </c>
      <c r="BT272" t="str">
        <f>HYPERLINK("https%3A%2F%2Fwww.webofscience.com%2Fwos%2Fwoscc%2Ffull-record%2FWOS:001051401800001","View Full Record in Web of Science")</f>
        <v>View Full Record in Web of Science</v>
      </c>
    </row>
    <row r="273" spans="1:72" x14ac:dyDescent="0.15">
      <c r="A273" t="s">
        <v>72</v>
      </c>
      <c r="B273" t="s">
        <v>4975</v>
      </c>
      <c r="C273" t="s">
        <v>74</v>
      </c>
      <c r="D273" t="s">
        <v>74</v>
      </c>
      <c r="E273" t="s">
        <v>74</v>
      </c>
      <c r="F273" t="s">
        <v>4976</v>
      </c>
      <c r="G273" t="s">
        <v>74</v>
      </c>
      <c r="H273" t="s">
        <v>74</v>
      </c>
      <c r="I273" t="s">
        <v>4977</v>
      </c>
      <c r="J273" t="s">
        <v>2101</v>
      </c>
      <c r="K273" t="s">
        <v>74</v>
      </c>
      <c r="L273" t="s">
        <v>74</v>
      </c>
      <c r="M273" t="s">
        <v>78</v>
      </c>
      <c r="N273" t="s">
        <v>79</v>
      </c>
      <c r="O273" t="s">
        <v>74</v>
      </c>
      <c r="P273" t="s">
        <v>74</v>
      </c>
      <c r="Q273" t="s">
        <v>74</v>
      </c>
      <c r="R273" t="s">
        <v>74</v>
      </c>
      <c r="S273" t="s">
        <v>74</v>
      </c>
      <c r="T273" t="s">
        <v>4978</v>
      </c>
      <c r="U273" t="s">
        <v>4979</v>
      </c>
      <c r="V273" t="s">
        <v>4980</v>
      </c>
      <c r="W273" t="s">
        <v>4981</v>
      </c>
      <c r="X273" t="s">
        <v>2398</v>
      </c>
      <c r="Y273" t="s">
        <v>4982</v>
      </c>
      <c r="Z273" t="s">
        <v>74</v>
      </c>
      <c r="AA273" t="s">
        <v>74</v>
      </c>
      <c r="AB273" t="s">
        <v>74</v>
      </c>
      <c r="AC273" t="s">
        <v>4983</v>
      </c>
      <c r="AD273" t="s">
        <v>4984</v>
      </c>
      <c r="AE273" t="s">
        <v>4985</v>
      </c>
      <c r="AF273" t="s">
        <v>74</v>
      </c>
      <c r="AG273">
        <v>41</v>
      </c>
      <c r="AH273">
        <v>0</v>
      </c>
      <c r="AI273">
        <v>0</v>
      </c>
      <c r="AJ273">
        <v>11</v>
      </c>
      <c r="AK273">
        <v>11</v>
      </c>
      <c r="AL273" t="s">
        <v>955</v>
      </c>
      <c r="AM273" t="s">
        <v>956</v>
      </c>
      <c r="AN273" t="s">
        <v>957</v>
      </c>
      <c r="AO273" t="s">
        <v>2112</v>
      </c>
      <c r="AP273" t="s">
        <v>2113</v>
      </c>
      <c r="AQ273" t="s">
        <v>74</v>
      </c>
      <c r="AR273" t="s">
        <v>2114</v>
      </c>
      <c r="AS273" t="s">
        <v>2115</v>
      </c>
      <c r="AT273" t="s">
        <v>4971</v>
      </c>
      <c r="AU273">
        <v>2023</v>
      </c>
      <c r="AV273">
        <v>965</v>
      </c>
      <c r="AW273" t="s">
        <v>74</v>
      </c>
      <c r="AX273" t="s">
        <v>74</v>
      </c>
      <c r="AY273" t="s">
        <v>74</v>
      </c>
      <c r="AZ273" t="s">
        <v>74</v>
      </c>
      <c r="BA273" t="s">
        <v>74</v>
      </c>
      <c r="BB273" t="s">
        <v>74</v>
      </c>
      <c r="BC273" t="s">
        <v>74</v>
      </c>
      <c r="BD273">
        <v>171424</v>
      </c>
      <c r="BE273" t="s">
        <v>4986</v>
      </c>
      <c r="BF273" t="str">
        <f>HYPERLINK("http://dx.doi.org/10.1016/j.jallcom.2023.171424","http://dx.doi.org/10.1016/j.jallcom.2023.171424")</f>
        <v>http://dx.doi.org/10.1016/j.jallcom.2023.171424</v>
      </c>
      <c r="BG273" t="s">
        <v>74</v>
      </c>
      <c r="BH273" t="s">
        <v>74</v>
      </c>
      <c r="BI273">
        <v>11</v>
      </c>
      <c r="BJ273" t="s">
        <v>2118</v>
      </c>
      <c r="BK273" t="s">
        <v>100</v>
      </c>
      <c r="BL273" t="s">
        <v>2119</v>
      </c>
      <c r="BM273" t="s">
        <v>4987</v>
      </c>
      <c r="BN273" t="s">
        <v>74</v>
      </c>
      <c r="BO273" t="s">
        <v>74</v>
      </c>
      <c r="BP273" t="s">
        <v>74</v>
      </c>
      <c r="BQ273" t="s">
        <v>74</v>
      </c>
      <c r="BR273" t="s">
        <v>104</v>
      </c>
      <c r="BS273" t="s">
        <v>4988</v>
      </c>
      <c r="BT273" t="str">
        <f>HYPERLINK("https%3A%2F%2Fwww.webofscience.com%2Fwos%2Fwoscc%2Ffull-record%2FWOS:001049461600001","View Full Record in Web of Science")</f>
        <v>View Full Record in Web of Science</v>
      </c>
    </row>
    <row r="274" spans="1:72" x14ac:dyDescent="0.15">
      <c r="A274" t="s">
        <v>72</v>
      </c>
      <c r="B274" t="s">
        <v>4989</v>
      </c>
      <c r="C274" t="s">
        <v>74</v>
      </c>
      <c r="D274" t="s">
        <v>74</v>
      </c>
      <c r="E274" t="s">
        <v>74</v>
      </c>
      <c r="F274" t="s">
        <v>4990</v>
      </c>
      <c r="G274" t="s">
        <v>74</v>
      </c>
      <c r="H274" t="s">
        <v>74</v>
      </c>
      <c r="I274" t="s">
        <v>4991</v>
      </c>
      <c r="J274" t="s">
        <v>4796</v>
      </c>
      <c r="K274" t="s">
        <v>74</v>
      </c>
      <c r="L274" t="s">
        <v>74</v>
      </c>
      <c r="M274" t="s">
        <v>78</v>
      </c>
      <c r="N274" t="s">
        <v>79</v>
      </c>
      <c r="O274" t="s">
        <v>74</v>
      </c>
      <c r="P274" t="s">
        <v>74</v>
      </c>
      <c r="Q274" t="s">
        <v>74</v>
      </c>
      <c r="R274" t="s">
        <v>74</v>
      </c>
      <c r="S274" t="s">
        <v>74</v>
      </c>
      <c r="T274" t="s">
        <v>4992</v>
      </c>
      <c r="U274" t="s">
        <v>4993</v>
      </c>
      <c r="V274" t="s">
        <v>4994</v>
      </c>
      <c r="W274" t="s">
        <v>4995</v>
      </c>
      <c r="X274" t="s">
        <v>4996</v>
      </c>
      <c r="Y274" t="s">
        <v>4997</v>
      </c>
      <c r="Z274" t="s">
        <v>4998</v>
      </c>
      <c r="AA274" t="s">
        <v>4999</v>
      </c>
      <c r="AB274" t="s">
        <v>5000</v>
      </c>
      <c r="AC274" t="s">
        <v>5001</v>
      </c>
      <c r="AD274" t="s">
        <v>5002</v>
      </c>
      <c r="AE274" t="s">
        <v>5003</v>
      </c>
      <c r="AF274" t="s">
        <v>74</v>
      </c>
      <c r="AG274">
        <v>77</v>
      </c>
      <c r="AH274">
        <v>0</v>
      </c>
      <c r="AI274">
        <v>0</v>
      </c>
      <c r="AJ274">
        <v>6</v>
      </c>
      <c r="AK274">
        <v>6</v>
      </c>
      <c r="AL274" t="s">
        <v>90</v>
      </c>
      <c r="AM274" t="s">
        <v>91</v>
      </c>
      <c r="AN274" t="s">
        <v>92</v>
      </c>
      <c r="AO274" t="s">
        <v>4806</v>
      </c>
      <c r="AP274" t="s">
        <v>4807</v>
      </c>
      <c r="AQ274" t="s">
        <v>74</v>
      </c>
      <c r="AR274" t="s">
        <v>4808</v>
      </c>
      <c r="AS274" t="s">
        <v>4809</v>
      </c>
      <c r="AT274" t="s">
        <v>4971</v>
      </c>
      <c r="AU274">
        <v>2023</v>
      </c>
      <c r="AV274">
        <v>72</v>
      </c>
      <c r="AW274" t="s">
        <v>74</v>
      </c>
      <c r="AX274" t="s">
        <v>5004</v>
      </c>
      <c r="AY274" t="s">
        <v>74</v>
      </c>
      <c r="AZ274" t="s">
        <v>74</v>
      </c>
      <c r="BA274" t="s">
        <v>74</v>
      </c>
      <c r="BB274" t="s">
        <v>74</v>
      </c>
      <c r="BC274" t="s">
        <v>74</v>
      </c>
      <c r="BD274">
        <v>108513</v>
      </c>
      <c r="BE274" t="s">
        <v>5005</v>
      </c>
      <c r="BF274" t="str">
        <f>HYPERLINK("http://dx.doi.org/10.1016/j.est.2023.108513","http://dx.doi.org/10.1016/j.est.2023.108513")</f>
        <v>http://dx.doi.org/10.1016/j.est.2023.108513</v>
      </c>
      <c r="BG274" t="s">
        <v>74</v>
      </c>
      <c r="BH274" t="s">
        <v>74</v>
      </c>
      <c r="BI274">
        <v>10</v>
      </c>
      <c r="BJ274" t="s">
        <v>2999</v>
      </c>
      <c r="BK274" t="s">
        <v>100</v>
      </c>
      <c r="BL274" t="s">
        <v>2999</v>
      </c>
      <c r="BM274" t="s">
        <v>5006</v>
      </c>
      <c r="BN274" t="s">
        <v>74</v>
      </c>
      <c r="BO274" t="s">
        <v>74</v>
      </c>
      <c r="BP274" t="s">
        <v>74</v>
      </c>
      <c r="BQ274" t="s">
        <v>74</v>
      </c>
      <c r="BR274" t="s">
        <v>104</v>
      </c>
      <c r="BS274" t="s">
        <v>5007</v>
      </c>
      <c r="BT274" t="str">
        <f>HYPERLINK("https%3A%2F%2Fwww.webofscience.com%2Fwos%2Fwoscc%2Ffull-record%2FWOS:001051027500001","View Full Record in Web of Science")</f>
        <v>View Full Record in Web of Science</v>
      </c>
    </row>
    <row r="275" spans="1:72" x14ac:dyDescent="0.15">
      <c r="A275" t="s">
        <v>72</v>
      </c>
      <c r="B275" t="s">
        <v>5008</v>
      </c>
      <c r="C275" t="s">
        <v>74</v>
      </c>
      <c r="D275" t="s">
        <v>74</v>
      </c>
      <c r="E275" t="s">
        <v>74</v>
      </c>
      <c r="F275" t="s">
        <v>5009</v>
      </c>
      <c r="G275" t="s">
        <v>74</v>
      </c>
      <c r="H275" t="s">
        <v>74</v>
      </c>
      <c r="I275" t="s">
        <v>5010</v>
      </c>
      <c r="J275" t="s">
        <v>1524</v>
      </c>
      <c r="K275" t="s">
        <v>74</v>
      </c>
      <c r="L275" t="s">
        <v>74</v>
      </c>
      <c r="M275" t="s">
        <v>78</v>
      </c>
      <c r="N275" t="s">
        <v>79</v>
      </c>
      <c r="O275" t="s">
        <v>74</v>
      </c>
      <c r="P275" t="s">
        <v>74</v>
      </c>
      <c r="Q275" t="s">
        <v>74</v>
      </c>
      <c r="R275" t="s">
        <v>74</v>
      </c>
      <c r="S275" t="s">
        <v>74</v>
      </c>
      <c r="T275" t="s">
        <v>5011</v>
      </c>
      <c r="U275" t="s">
        <v>5012</v>
      </c>
      <c r="V275" t="s">
        <v>5013</v>
      </c>
      <c r="W275" t="s">
        <v>5014</v>
      </c>
      <c r="X275" t="s">
        <v>5015</v>
      </c>
      <c r="Y275" t="s">
        <v>5016</v>
      </c>
      <c r="Z275" t="s">
        <v>5017</v>
      </c>
      <c r="AA275" t="s">
        <v>74</v>
      </c>
      <c r="AB275" t="s">
        <v>74</v>
      </c>
      <c r="AC275" t="s">
        <v>5018</v>
      </c>
      <c r="AD275" t="s">
        <v>5019</v>
      </c>
      <c r="AE275" t="s">
        <v>5020</v>
      </c>
      <c r="AF275" t="s">
        <v>74</v>
      </c>
      <c r="AG275">
        <v>75</v>
      </c>
      <c r="AH275">
        <v>0</v>
      </c>
      <c r="AI275">
        <v>0</v>
      </c>
      <c r="AJ275">
        <v>28</v>
      </c>
      <c r="AK275">
        <v>28</v>
      </c>
      <c r="AL275" t="s">
        <v>90</v>
      </c>
      <c r="AM275" t="s">
        <v>91</v>
      </c>
      <c r="AN275" t="s">
        <v>92</v>
      </c>
      <c r="AO275" t="s">
        <v>1534</v>
      </c>
      <c r="AP275" t="s">
        <v>1535</v>
      </c>
      <c r="AQ275" t="s">
        <v>74</v>
      </c>
      <c r="AR275" t="s">
        <v>1536</v>
      </c>
      <c r="AS275" t="s">
        <v>1537</v>
      </c>
      <c r="AT275" t="s">
        <v>4971</v>
      </c>
      <c r="AU275">
        <v>2023</v>
      </c>
      <c r="AV275">
        <v>901</v>
      </c>
      <c r="AW275" t="s">
        <v>74</v>
      </c>
      <c r="AX275" t="s">
        <v>74</v>
      </c>
      <c r="AY275" t="s">
        <v>74</v>
      </c>
      <c r="AZ275" t="s">
        <v>74</v>
      </c>
      <c r="BA275" t="s">
        <v>74</v>
      </c>
      <c r="BB275" t="s">
        <v>74</v>
      </c>
      <c r="BC275" t="s">
        <v>74</v>
      </c>
      <c r="BD275">
        <v>165777</v>
      </c>
      <c r="BE275" t="s">
        <v>5021</v>
      </c>
      <c r="BF275" t="str">
        <f>HYPERLINK("http://dx.doi.org/10.1016/j.scitotenv.2023.165777","http://dx.doi.org/10.1016/j.scitotenv.2023.165777")</f>
        <v>http://dx.doi.org/10.1016/j.scitotenv.2023.165777</v>
      </c>
      <c r="BG275" t="s">
        <v>74</v>
      </c>
      <c r="BH275" t="s">
        <v>74</v>
      </c>
      <c r="BI275">
        <v>15</v>
      </c>
      <c r="BJ275" t="s">
        <v>1539</v>
      </c>
      <c r="BK275" t="s">
        <v>100</v>
      </c>
      <c r="BL275" t="s">
        <v>1540</v>
      </c>
      <c r="BM275" t="s">
        <v>5022</v>
      </c>
      <c r="BN275">
        <v>37524189</v>
      </c>
      <c r="BO275" t="s">
        <v>74</v>
      </c>
      <c r="BP275" t="s">
        <v>74</v>
      </c>
      <c r="BQ275" t="s">
        <v>74</v>
      </c>
      <c r="BR275" t="s">
        <v>104</v>
      </c>
      <c r="BS275" t="s">
        <v>5023</v>
      </c>
      <c r="BT275" t="str">
        <f>HYPERLINK("https%3A%2F%2Fwww.webofscience.com%2Fwos%2Fwoscc%2Ffull-record%2FWOS:001053016400001","View Full Record in Web of Science")</f>
        <v>View Full Record in Web of Science</v>
      </c>
    </row>
    <row r="276" spans="1:72" x14ac:dyDescent="0.15">
      <c r="A276" t="s">
        <v>72</v>
      </c>
      <c r="B276" t="s">
        <v>5024</v>
      </c>
      <c r="C276" t="s">
        <v>74</v>
      </c>
      <c r="D276" t="s">
        <v>74</v>
      </c>
      <c r="E276" t="s">
        <v>74</v>
      </c>
      <c r="F276" t="s">
        <v>5025</v>
      </c>
      <c r="G276" t="s">
        <v>74</v>
      </c>
      <c r="H276" t="s">
        <v>74</v>
      </c>
      <c r="I276" t="s">
        <v>5026</v>
      </c>
      <c r="J276" t="s">
        <v>4796</v>
      </c>
      <c r="K276" t="s">
        <v>74</v>
      </c>
      <c r="L276" t="s">
        <v>74</v>
      </c>
      <c r="M276" t="s">
        <v>78</v>
      </c>
      <c r="N276" t="s">
        <v>79</v>
      </c>
      <c r="O276" t="s">
        <v>74</v>
      </c>
      <c r="P276" t="s">
        <v>74</v>
      </c>
      <c r="Q276" t="s">
        <v>74</v>
      </c>
      <c r="R276" t="s">
        <v>74</v>
      </c>
      <c r="S276" t="s">
        <v>74</v>
      </c>
      <c r="T276" t="s">
        <v>5027</v>
      </c>
      <c r="U276" t="s">
        <v>5028</v>
      </c>
      <c r="V276" t="s">
        <v>5029</v>
      </c>
      <c r="W276" t="s">
        <v>5030</v>
      </c>
      <c r="X276" t="s">
        <v>5031</v>
      </c>
      <c r="Y276" t="s">
        <v>5032</v>
      </c>
      <c r="Z276" t="s">
        <v>5033</v>
      </c>
      <c r="AA276" t="s">
        <v>74</v>
      </c>
      <c r="AB276" t="s">
        <v>74</v>
      </c>
      <c r="AC276" t="s">
        <v>5034</v>
      </c>
      <c r="AD276" t="s">
        <v>5035</v>
      </c>
      <c r="AE276" t="s">
        <v>5036</v>
      </c>
      <c r="AF276" t="s">
        <v>74</v>
      </c>
      <c r="AG276">
        <v>26</v>
      </c>
      <c r="AH276">
        <v>0</v>
      </c>
      <c r="AI276">
        <v>0</v>
      </c>
      <c r="AJ276">
        <v>1</v>
      </c>
      <c r="AK276">
        <v>1</v>
      </c>
      <c r="AL276" t="s">
        <v>90</v>
      </c>
      <c r="AM276" t="s">
        <v>91</v>
      </c>
      <c r="AN276" t="s">
        <v>92</v>
      </c>
      <c r="AO276" t="s">
        <v>4806</v>
      </c>
      <c r="AP276" t="s">
        <v>4807</v>
      </c>
      <c r="AQ276" t="s">
        <v>74</v>
      </c>
      <c r="AR276" t="s">
        <v>4808</v>
      </c>
      <c r="AS276" t="s">
        <v>4809</v>
      </c>
      <c r="AT276" t="s">
        <v>4971</v>
      </c>
      <c r="AU276">
        <v>2023</v>
      </c>
      <c r="AV276">
        <v>72</v>
      </c>
      <c r="AW276" t="s">
        <v>74</v>
      </c>
      <c r="AX276" t="s">
        <v>5004</v>
      </c>
      <c r="AY276" t="s">
        <v>74</v>
      </c>
      <c r="AZ276" t="s">
        <v>74</v>
      </c>
      <c r="BA276" t="s">
        <v>74</v>
      </c>
      <c r="BB276" t="s">
        <v>74</v>
      </c>
      <c r="BC276" t="s">
        <v>74</v>
      </c>
      <c r="BD276">
        <v>108479</v>
      </c>
      <c r="BE276" t="s">
        <v>5037</v>
      </c>
      <c r="BF276" t="str">
        <f>HYPERLINK("http://dx.doi.org/10.1016/j.est.2023.108479","http://dx.doi.org/10.1016/j.est.2023.108479")</f>
        <v>http://dx.doi.org/10.1016/j.est.2023.108479</v>
      </c>
      <c r="BG276" t="s">
        <v>74</v>
      </c>
      <c r="BH276" t="s">
        <v>74</v>
      </c>
      <c r="BI276">
        <v>12</v>
      </c>
      <c r="BJ276" t="s">
        <v>2999</v>
      </c>
      <c r="BK276" t="s">
        <v>100</v>
      </c>
      <c r="BL276" t="s">
        <v>2999</v>
      </c>
      <c r="BM276" t="s">
        <v>5038</v>
      </c>
      <c r="BN276" t="s">
        <v>74</v>
      </c>
      <c r="BO276" t="s">
        <v>4366</v>
      </c>
      <c r="BP276" t="s">
        <v>74</v>
      </c>
      <c r="BQ276" t="s">
        <v>74</v>
      </c>
      <c r="BR276" t="s">
        <v>104</v>
      </c>
      <c r="BS276" t="s">
        <v>5039</v>
      </c>
      <c r="BT276" t="str">
        <f>HYPERLINK("https%3A%2F%2Fwww.webofscience.com%2Fwos%2Fwoscc%2Ffull-record%2FWOS:001056134300001","View Full Record in Web of Science")</f>
        <v>View Full Record in Web of Science</v>
      </c>
    </row>
    <row r="277" spans="1:72" x14ac:dyDescent="0.15">
      <c r="A277" t="s">
        <v>72</v>
      </c>
      <c r="B277" t="s">
        <v>5040</v>
      </c>
      <c r="C277" t="s">
        <v>74</v>
      </c>
      <c r="D277" t="s">
        <v>74</v>
      </c>
      <c r="E277" t="s">
        <v>74</v>
      </c>
      <c r="F277" t="s">
        <v>5041</v>
      </c>
      <c r="G277" t="s">
        <v>74</v>
      </c>
      <c r="H277" t="s">
        <v>74</v>
      </c>
      <c r="I277" t="s">
        <v>5042</v>
      </c>
      <c r="J277" t="s">
        <v>4796</v>
      </c>
      <c r="K277" t="s">
        <v>74</v>
      </c>
      <c r="L277" t="s">
        <v>74</v>
      </c>
      <c r="M277" t="s">
        <v>78</v>
      </c>
      <c r="N277" t="s">
        <v>79</v>
      </c>
      <c r="O277" t="s">
        <v>74</v>
      </c>
      <c r="P277" t="s">
        <v>74</v>
      </c>
      <c r="Q277" t="s">
        <v>74</v>
      </c>
      <c r="R277" t="s">
        <v>74</v>
      </c>
      <c r="S277" t="s">
        <v>74</v>
      </c>
      <c r="T277" t="s">
        <v>5043</v>
      </c>
      <c r="U277" t="s">
        <v>5044</v>
      </c>
      <c r="V277" t="s">
        <v>5045</v>
      </c>
      <c r="W277" t="s">
        <v>5046</v>
      </c>
      <c r="X277" t="s">
        <v>5047</v>
      </c>
      <c r="Y277" t="s">
        <v>5048</v>
      </c>
      <c r="Z277" t="s">
        <v>5049</v>
      </c>
      <c r="AA277" t="s">
        <v>5050</v>
      </c>
      <c r="AB277" t="s">
        <v>74</v>
      </c>
      <c r="AC277" t="s">
        <v>5051</v>
      </c>
      <c r="AD277" t="s">
        <v>5052</v>
      </c>
      <c r="AE277" t="s">
        <v>5053</v>
      </c>
      <c r="AF277" t="s">
        <v>74</v>
      </c>
      <c r="AG277">
        <v>20</v>
      </c>
      <c r="AH277">
        <v>0</v>
      </c>
      <c r="AI277">
        <v>0</v>
      </c>
      <c r="AJ277">
        <v>5</v>
      </c>
      <c r="AK277">
        <v>5</v>
      </c>
      <c r="AL277" t="s">
        <v>90</v>
      </c>
      <c r="AM277" t="s">
        <v>91</v>
      </c>
      <c r="AN277" t="s">
        <v>92</v>
      </c>
      <c r="AO277" t="s">
        <v>4806</v>
      </c>
      <c r="AP277" t="s">
        <v>4807</v>
      </c>
      <c r="AQ277" t="s">
        <v>74</v>
      </c>
      <c r="AR277" t="s">
        <v>4808</v>
      </c>
      <c r="AS277" t="s">
        <v>4809</v>
      </c>
      <c r="AT277" t="s">
        <v>4971</v>
      </c>
      <c r="AU277">
        <v>2023</v>
      </c>
      <c r="AV277">
        <v>72</v>
      </c>
      <c r="AW277" t="s">
        <v>74</v>
      </c>
      <c r="AX277" t="s">
        <v>5004</v>
      </c>
      <c r="AY277" t="s">
        <v>74</v>
      </c>
      <c r="AZ277" t="s">
        <v>74</v>
      </c>
      <c r="BA277" t="s">
        <v>74</v>
      </c>
      <c r="BB277" t="s">
        <v>74</v>
      </c>
      <c r="BC277" t="s">
        <v>74</v>
      </c>
      <c r="BD277">
        <v>108469</v>
      </c>
      <c r="BE277" t="s">
        <v>5054</v>
      </c>
      <c r="BF277" t="str">
        <f>HYPERLINK("http://dx.doi.org/10.1016/j.est.2023.108469","http://dx.doi.org/10.1016/j.est.2023.108469")</f>
        <v>http://dx.doi.org/10.1016/j.est.2023.108469</v>
      </c>
      <c r="BG277" t="s">
        <v>74</v>
      </c>
      <c r="BH277" t="s">
        <v>74</v>
      </c>
      <c r="BI277">
        <v>6</v>
      </c>
      <c r="BJ277" t="s">
        <v>2999</v>
      </c>
      <c r="BK277" t="s">
        <v>100</v>
      </c>
      <c r="BL277" t="s">
        <v>2999</v>
      </c>
      <c r="BM277" t="s">
        <v>5055</v>
      </c>
      <c r="BN277" t="s">
        <v>74</v>
      </c>
      <c r="BO277" t="s">
        <v>74</v>
      </c>
      <c r="BP277" t="s">
        <v>74</v>
      </c>
      <c r="BQ277" t="s">
        <v>74</v>
      </c>
      <c r="BR277" t="s">
        <v>104</v>
      </c>
      <c r="BS277" t="s">
        <v>5056</v>
      </c>
      <c r="BT277" t="str">
        <f>HYPERLINK("https%3A%2F%2Fwww.webofscience.com%2Fwos%2Fwoscc%2Ffull-record%2FWOS:001050531500001","View Full Record in Web of Science")</f>
        <v>View Full Record in Web of Science</v>
      </c>
    </row>
    <row r="278" spans="1:72" x14ac:dyDescent="0.15">
      <c r="A278" t="s">
        <v>72</v>
      </c>
      <c r="B278" t="s">
        <v>5057</v>
      </c>
      <c r="C278" t="s">
        <v>74</v>
      </c>
      <c r="D278" t="s">
        <v>74</v>
      </c>
      <c r="E278" t="s">
        <v>74</v>
      </c>
      <c r="F278" t="s">
        <v>5058</v>
      </c>
      <c r="G278" t="s">
        <v>74</v>
      </c>
      <c r="H278" t="s">
        <v>74</v>
      </c>
      <c r="I278" t="s">
        <v>5059</v>
      </c>
      <c r="J278" t="s">
        <v>2101</v>
      </c>
      <c r="K278" t="s">
        <v>74</v>
      </c>
      <c r="L278" t="s">
        <v>74</v>
      </c>
      <c r="M278" t="s">
        <v>78</v>
      </c>
      <c r="N278" t="s">
        <v>79</v>
      </c>
      <c r="O278" t="s">
        <v>74</v>
      </c>
      <c r="P278" t="s">
        <v>74</v>
      </c>
      <c r="Q278" t="s">
        <v>74</v>
      </c>
      <c r="R278" t="s">
        <v>74</v>
      </c>
      <c r="S278" t="s">
        <v>74</v>
      </c>
      <c r="T278" t="s">
        <v>5060</v>
      </c>
      <c r="U278" t="s">
        <v>5061</v>
      </c>
      <c r="V278" t="s">
        <v>5062</v>
      </c>
      <c r="W278" t="s">
        <v>5063</v>
      </c>
      <c r="X278" t="s">
        <v>5064</v>
      </c>
      <c r="Y278" t="s">
        <v>5065</v>
      </c>
      <c r="Z278" t="s">
        <v>5066</v>
      </c>
      <c r="AA278" t="s">
        <v>74</v>
      </c>
      <c r="AB278" t="s">
        <v>74</v>
      </c>
      <c r="AC278" t="s">
        <v>5067</v>
      </c>
      <c r="AD278" t="s">
        <v>5068</v>
      </c>
      <c r="AE278" t="s">
        <v>5069</v>
      </c>
      <c r="AF278" t="s">
        <v>74</v>
      </c>
      <c r="AG278">
        <v>44</v>
      </c>
      <c r="AH278">
        <v>0</v>
      </c>
      <c r="AI278">
        <v>0</v>
      </c>
      <c r="AJ278">
        <v>6</v>
      </c>
      <c r="AK278">
        <v>6</v>
      </c>
      <c r="AL278" t="s">
        <v>955</v>
      </c>
      <c r="AM278" t="s">
        <v>956</v>
      </c>
      <c r="AN278" t="s">
        <v>957</v>
      </c>
      <c r="AO278" t="s">
        <v>2112</v>
      </c>
      <c r="AP278" t="s">
        <v>2113</v>
      </c>
      <c r="AQ278" t="s">
        <v>74</v>
      </c>
      <c r="AR278" t="s">
        <v>2114</v>
      </c>
      <c r="AS278" t="s">
        <v>2115</v>
      </c>
      <c r="AT278" t="s">
        <v>4971</v>
      </c>
      <c r="AU278">
        <v>2023</v>
      </c>
      <c r="AV278">
        <v>965</v>
      </c>
      <c r="AW278" t="s">
        <v>74</v>
      </c>
      <c r="AX278" t="s">
        <v>74</v>
      </c>
      <c r="AY278" t="s">
        <v>74</v>
      </c>
      <c r="AZ278" t="s">
        <v>74</v>
      </c>
      <c r="BA278" t="s">
        <v>74</v>
      </c>
      <c r="BB278" t="s">
        <v>74</v>
      </c>
      <c r="BC278" t="s">
        <v>74</v>
      </c>
      <c r="BD278">
        <v>171385</v>
      </c>
      <c r="BE278" t="s">
        <v>5070</v>
      </c>
      <c r="BF278" t="str">
        <f>HYPERLINK("http://dx.doi.org/10.1016/j.jallcom.2023.171385","http://dx.doi.org/10.1016/j.jallcom.2023.171385")</f>
        <v>http://dx.doi.org/10.1016/j.jallcom.2023.171385</v>
      </c>
      <c r="BG278" t="s">
        <v>74</v>
      </c>
      <c r="BH278" t="s">
        <v>74</v>
      </c>
      <c r="BI278">
        <v>10</v>
      </c>
      <c r="BJ278" t="s">
        <v>2118</v>
      </c>
      <c r="BK278" t="s">
        <v>100</v>
      </c>
      <c r="BL278" t="s">
        <v>2119</v>
      </c>
      <c r="BM278" t="s">
        <v>5071</v>
      </c>
      <c r="BN278" t="s">
        <v>74</v>
      </c>
      <c r="BO278" t="s">
        <v>74</v>
      </c>
      <c r="BP278" t="s">
        <v>74</v>
      </c>
      <c r="BQ278" t="s">
        <v>74</v>
      </c>
      <c r="BR278" t="s">
        <v>104</v>
      </c>
      <c r="BS278" t="s">
        <v>5072</v>
      </c>
      <c r="BT278" t="str">
        <f>HYPERLINK("https%3A%2F%2Fwww.webofscience.com%2Fwos%2Fwoscc%2Ffull-record%2FWOS:001050050100001","View Full Record in Web of Science")</f>
        <v>View Full Record in Web of Science</v>
      </c>
    </row>
    <row r="279" spans="1:72" x14ac:dyDescent="0.15">
      <c r="A279" t="s">
        <v>72</v>
      </c>
      <c r="B279" t="s">
        <v>5073</v>
      </c>
      <c r="C279" t="s">
        <v>74</v>
      </c>
      <c r="D279" t="s">
        <v>74</v>
      </c>
      <c r="E279" t="s">
        <v>74</v>
      </c>
      <c r="F279" t="s">
        <v>5074</v>
      </c>
      <c r="G279" t="s">
        <v>74</v>
      </c>
      <c r="H279" t="s">
        <v>74</v>
      </c>
      <c r="I279" t="s">
        <v>5075</v>
      </c>
      <c r="J279" t="s">
        <v>5076</v>
      </c>
      <c r="K279" t="s">
        <v>74</v>
      </c>
      <c r="L279" t="s">
        <v>74</v>
      </c>
      <c r="M279" t="s">
        <v>78</v>
      </c>
      <c r="N279" t="s">
        <v>79</v>
      </c>
      <c r="O279" t="s">
        <v>74</v>
      </c>
      <c r="P279" t="s">
        <v>74</v>
      </c>
      <c r="Q279" t="s">
        <v>74</v>
      </c>
      <c r="R279" t="s">
        <v>74</v>
      </c>
      <c r="S279" t="s">
        <v>74</v>
      </c>
      <c r="T279" t="s">
        <v>5077</v>
      </c>
      <c r="U279" t="s">
        <v>74</v>
      </c>
      <c r="V279" t="s">
        <v>5078</v>
      </c>
      <c r="W279" t="s">
        <v>5079</v>
      </c>
      <c r="X279" t="s">
        <v>5080</v>
      </c>
      <c r="Y279" t="s">
        <v>5081</v>
      </c>
      <c r="Z279" t="s">
        <v>5082</v>
      </c>
      <c r="AA279" t="s">
        <v>74</v>
      </c>
      <c r="AB279" t="s">
        <v>5083</v>
      </c>
      <c r="AC279" t="s">
        <v>74</v>
      </c>
      <c r="AD279" t="s">
        <v>74</v>
      </c>
      <c r="AE279" t="s">
        <v>74</v>
      </c>
      <c r="AF279" t="s">
        <v>74</v>
      </c>
      <c r="AG279">
        <v>26</v>
      </c>
      <c r="AH279">
        <v>0</v>
      </c>
      <c r="AI279">
        <v>0</v>
      </c>
      <c r="AJ279">
        <v>1</v>
      </c>
      <c r="AK279">
        <v>1</v>
      </c>
      <c r="AL279" t="s">
        <v>90</v>
      </c>
      <c r="AM279" t="s">
        <v>91</v>
      </c>
      <c r="AN279" t="s">
        <v>92</v>
      </c>
      <c r="AO279" t="s">
        <v>5084</v>
      </c>
      <c r="AP279" t="s">
        <v>5085</v>
      </c>
      <c r="AQ279" t="s">
        <v>74</v>
      </c>
      <c r="AR279" t="s">
        <v>5086</v>
      </c>
      <c r="AS279" t="s">
        <v>5087</v>
      </c>
      <c r="AT279" t="s">
        <v>4971</v>
      </c>
      <c r="AU279">
        <v>2023</v>
      </c>
      <c r="AV279">
        <v>77</v>
      </c>
      <c r="AW279" t="s">
        <v>74</v>
      </c>
      <c r="AX279" t="s">
        <v>74</v>
      </c>
      <c r="AY279" t="s">
        <v>74</v>
      </c>
      <c r="AZ279" t="s">
        <v>74</v>
      </c>
      <c r="BA279" t="s">
        <v>74</v>
      </c>
      <c r="BB279">
        <v>68</v>
      </c>
      <c r="BC279">
        <v>79</v>
      </c>
      <c r="BD279" t="s">
        <v>74</v>
      </c>
      <c r="BE279" t="s">
        <v>5088</v>
      </c>
      <c r="BF279" t="str">
        <f>HYPERLINK("http://dx.doi.org/10.1016/j.nbt.2023.07.002","http://dx.doi.org/10.1016/j.nbt.2023.07.002")</f>
        <v>http://dx.doi.org/10.1016/j.nbt.2023.07.002</v>
      </c>
      <c r="BG279" t="s">
        <v>74</v>
      </c>
      <c r="BH279" t="s">
        <v>74</v>
      </c>
      <c r="BI279">
        <v>12</v>
      </c>
      <c r="BJ279" t="s">
        <v>5089</v>
      </c>
      <c r="BK279" t="s">
        <v>100</v>
      </c>
      <c r="BL279" t="s">
        <v>5090</v>
      </c>
      <c r="BM279" t="s">
        <v>5091</v>
      </c>
      <c r="BN279">
        <v>37442418</v>
      </c>
      <c r="BO279" t="s">
        <v>295</v>
      </c>
      <c r="BP279" t="s">
        <v>74</v>
      </c>
      <c r="BQ279" t="s">
        <v>74</v>
      </c>
      <c r="BR279" t="s">
        <v>104</v>
      </c>
      <c r="BS279" t="s">
        <v>5092</v>
      </c>
      <c r="BT279" t="str">
        <f>HYPERLINK("https%3A%2F%2Fwww.webofscience.com%2Fwos%2Fwoscc%2Ffull-record%2FWOS:001047192500001","View Full Record in Web of Science")</f>
        <v>View Full Record in Web of Science</v>
      </c>
    </row>
    <row r="280" spans="1:72" x14ac:dyDescent="0.15">
      <c r="A280" t="s">
        <v>72</v>
      </c>
      <c r="B280" t="s">
        <v>5093</v>
      </c>
      <c r="C280" t="s">
        <v>74</v>
      </c>
      <c r="D280" t="s">
        <v>74</v>
      </c>
      <c r="E280" t="s">
        <v>74</v>
      </c>
      <c r="F280" t="s">
        <v>5094</v>
      </c>
      <c r="G280" t="s">
        <v>74</v>
      </c>
      <c r="H280" t="s">
        <v>74</v>
      </c>
      <c r="I280" t="s">
        <v>5095</v>
      </c>
      <c r="J280" t="s">
        <v>2101</v>
      </c>
      <c r="K280" t="s">
        <v>74</v>
      </c>
      <c r="L280" t="s">
        <v>74</v>
      </c>
      <c r="M280" t="s">
        <v>78</v>
      </c>
      <c r="N280" t="s">
        <v>79</v>
      </c>
      <c r="O280" t="s">
        <v>74</v>
      </c>
      <c r="P280" t="s">
        <v>74</v>
      </c>
      <c r="Q280" t="s">
        <v>74</v>
      </c>
      <c r="R280" t="s">
        <v>74</v>
      </c>
      <c r="S280" t="s">
        <v>74</v>
      </c>
      <c r="T280" t="s">
        <v>5096</v>
      </c>
      <c r="U280" t="s">
        <v>5097</v>
      </c>
      <c r="V280" t="s">
        <v>5098</v>
      </c>
      <c r="W280" t="s">
        <v>5099</v>
      </c>
      <c r="X280" t="s">
        <v>5100</v>
      </c>
      <c r="Y280" t="s">
        <v>5101</v>
      </c>
      <c r="Z280" t="s">
        <v>5102</v>
      </c>
      <c r="AA280" t="s">
        <v>5103</v>
      </c>
      <c r="AB280" t="s">
        <v>74</v>
      </c>
      <c r="AC280" t="s">
        <v>74</v>
      </c>
      <c r="AD280" t="s">
        <v>74</v>
      </c>
      <c r="AE280" t="s">
        <v>74</v>
      </c>
      <c r="AF280" t="s">
        <v>74</v>
      </c>
      <c r="AG280">
        <v>80</v>
      </c>
      <c r="AH280">
        <v>0</v>
      </c>
      <c r="AI280">
        <v>0</v>
      </c>
      <c r="AJ280">
        <v>2</v>
      </c>
      <c r="AK280">
        <v>2</v>
      </c>
      <c r="AL280" t="s">
        <v>955</v>
      </c>
      <c r="AM280" t="s">
        <v>956</v>
      </c>
      <c r="AN280" t="s">
        <v>957</v>
      </c>
      <c r="AO280" t="s">
        <v>2112</v>
      </c>
      <c r="AP280" t="s">
        <v>2113</v>
      </c>
      <c r="AQ280" t="s">
        <v>74</v>
      </c>
      <c r="AR280" t="s">
        <v>2114</v>
      </c>
      <c r="AS280" t="s">
        <v>2115</v>
      </c>
      <c r="AT280" t="s">
        <v>4971</v>
      </c>
      <c r="AU280">
        <v>2023</v>
      </c>
      <c r="AV280">
        <v>965</v>
      </c>
      <c r="AW280" t="s">
        <v>74</v>
      </c>
      <c r="AX280" t="s">
        <v>74</v>
      </c>
      <c r="AY280" t="s">
        <v>74</v>
      </c>
      <c r="AZ280" t="s">
        <v>74</v>
      </c>
      <c r="BA280" t="s">
        <v>74</v>
      </c>
      <c r="BB280" t="s">
        <v>74</v>
      </c>
      <c r="BC280" t="s">
        <v>74</v>
      </c>
      <c r="BD280">
        <v>171412</v>
      </c>
      <c r="BE280" t="s">
        <v>5104</v>
      </c>
      <c r="BF280" t="str">
        <f>HYPERLINK("http://dx.doi.org/10.1016/j.jallcom.2023.171412","http://dx.doi.org/10.1016/j.jallcom.2023.171412")</f>
        <v>http://dx.doi.org/10.1016/j.jallcom.2023.171412</v>
      </c>
      <c r="BG280" t="s">
        <v>74</v>
      </c>
      <c r="BH280" t="s">
        <v>74</v>
      </c>
      <c r="BI280">
        <v>15</v>
      </c>
      <c r="BJ280" t="s">
        <v>2118</v>
      </c>
      <c r="BK280" t="s">
        <v>100</v>
      </c>
      <c r="BL280" t="s">
        <v>2119</v>
      </c>
      <c r="BM280" t="s">
        <v>5105</v>
      </c>
      <c r="BN280" t="s">
        <v>74</v>
      </c>
      <c r="BO280" t="s">
        <v>74</v>
      </c>
      <c r="BP280" t="s">
        <v>74</v>
      </c>
      <c r="BQ280" t="s">
        <v>74</v>
      </c>
      <c r="BR280" t="s">
        <v>104</v>
      </c>
      <c r="BS280" t="s">
        <v>5106</v>
      </c>
      <c r="BT280" t="str">
        <f>HYPERLINK("https%3A%2F%2Fwww.webofscience.com%2Fwos%2Fwoscc%2Ffull-record%2FWOS:001050056300001","View Full Record in Web of Science")</f>
        <v>View Full Record in Web of Science</v>
      </c>
    </row>
    <row r="281" spans="1:72" x14ac:dyDescent="0.15">
      <c r="A281" t="s">
        <v>72</v>
      </c>
      <c r="B281" t="s">
        <v>5107</v>
      </c>
      <c r="C281" t="s">
        <v>74</v>
      </c>
      <c r="D281" t="s">
        <v>74</v>
      </c>
      <c r="E281" t="s">
        <v>74</v>
      </c>
      <c r="F281" t="s">
        <v>5108</v>
      </c>
      <c r="G281" t="s">
        <v>74</v>
      </c>
      <c r="H281" t="s">
        <v>74</v>
      </c>
      <c r="I281" t="s">
        <v>5109</v>
      </c>
      <c r="J281" t="s">
        <v>2101</v>
      </c>
      <c r="K281" t="s">
        <v>74</v>
      </c>
      <c r="L281" t="s">
        <v>74</v>
      </c>
      <c r="M281" t="s">
        <v>78</v>
      </c>
      <c r="N281" t="s">
        <v>79</v>
      </c>
      <c r="O281" t="s">
        <v>74</v>
      </c>
      <c r="P281" t="s">
        <v>74</v>
      </c>
      <c r="Q281" t="s">
        <v>74</v>
      </c>
      <c r="R281" t="s">
        <v>74</v>
      </c>
      <c r="S281" t="s">
        <v>74</v>
      </c>
      <c r="T281" t="s">
        <v>5110</v>
      </c>
      <c r="U281" t="s">
        <v>5111</v>
      </c>
      <c r="V281" t="s">
        <v>5112</v>
      </c>
      <c r="W281" t="s">
        <v>5113</v>
      </c>
      <c r="X281" t="s">
        <v>5114</v>
      </c>
      <c r="Y281" t="s">
        <v>5115</v>
      </c>
      <c r="Z281" t="s">
        <v>5116</v>
      </c>
      <c r="AA281" t="s">
        <v>74</v>
      </c>
      <c r="AB281" t="s">
        <v>5117</v>
      </c>
      <c r="AC281" t="s">
        <v>5118</v>
      </c>
      <c r="AD281" t="s">
        <v>5119</v>
      </c>
      <c r="AE281" t="s">
        <v>5120</v>
      </c>
      <c r="AF281" t="s">
        <v>74</v>
      </c>
      <c r="AG281">
        <v>62</v>
      </c>
      <c r="AH281">
        <v>0</v>
      </c>
      <c r="AI281">
        <v>0</v>
      </c>
      <c r="AJ281">
        <v>11</v>
      </c>
      <c r="AK281">
        <v>11</v>
      </c>
      <c r="AL281" t="s">
        <v>955</v>
      </c>
      <c r="AM281" t="s">
        <v>956</v>
      </c>
      <c r="AN281" t="s">
        <v>957</v>
      </c>
      <c r="AO281" t="s">
        <v>2112</v>
      </c>
      <c r="AP281" t="s">
        <v>2113</v>
      </c>
      <c r="AQ281" t="s">
        <v>74</v>
      </c>
      <c r="AR281" t="s">
        <v>2114</v>
      </c>
      <c r="AS281" t="s">
        <v>2115</v>
      </c>
      <c r="AT281" t="s">
        <v>4971</v>
      </c>
      <c r="AU281">
        <v>2023</v>
      </c>
      <c r="AV281">
        <v>965</v>
      </c>
      <c r="AW281" t="s">
        <v>74</v>
      </c>
      <c r="AX281" t="s">
        <v>74</v>
      </c>
      <c r="AY281" t="s">
        <v>74</v>
      </c>
      <c r="AZ281" t="s">
        <v>74</v>
      </c>
      <c r="BA281" t="s">
        <v>74</v>
      </c>
      <c r="BB281" t="s">
        <v>74</v>
      </c>
      <c r="BC281" t="s">
        <v>74</v>
      </c>
      <c r="BD281">
        <v>171494</v>
      </c>
      <c r="BE281" t="s">
        <v>5121</v>
      </c>
      <c r="BF281" t="str">
        <f>HYPERLINK("http://dx.doi.org/10.1016/j.jallcom.2023.171494","http://dx.doi.org/10.1016/j.jallcom.2023.171494")</f>
        <v>http://dx.doi.org/10.1016/j.jallcom.2023.171494</v>
      </c>
      <c r="BG281" t="s">
        <v>74</v>
      </c>
      <c r="BH281" t="s">
        <v>74</v>
      </c>
      <c r="BI281">
        <v>10</v>
      </c>
      <c r="BJ281" t="s">
        <v>2118</v>
      </c>
      <c r="BK281" t="s">
        <v>100</v>
      </c>
      <c r="BL281" t="s">
        <v>2119</v>
      </c>
      <c r="BM281" t="s">
        <v>5122</v>
      </c>
      <c r="BN281" t="s">
        <v>74</v>
      </c>
      <c r="BO281" t="s">
        <v>74</v>
      </c>
      <c r="BP281" t="s">
        <v>74</v>
      </c>
      <c r="BQ281" t="s">
        <v>74</v>
      </c>
      <c r="BR281" t="s">
        <v>104</v>
      </c>
      <c r="BS281" t="s">
        <v>5123</v>
      </c>
      <c r="BT281" t="str">
        <f>HYPERLINK("https%3A%2F%2Fwww.webofscience.com%2Fwos%2Fwoscc%2Ffull-record%2FWOS:001050129300001","View Full Record in Web of Science")</f>
        <v>View Full Record in Web of Science</v>
      </c>
    </row>
    <row r="282" spans="1:72" x14ac:dyDescent="0.15">
      <c r="A282" t="s">
        <v>72</v>
      </c>
      <c r="B282" t="s">
        <v>5124</v>
      </c>
      <c r="C282" t="s">
        <v>74</v>
      </c>
      <c r="D282" t="s">
        <v>74</v>
      </c>
      <c r="E282" t="s">
        <v>74</v>
      </c>
      <c r="F282" t="s">
        <v>5125</v>
      </c>
      <c r="G282" t="s">
        <v>74</v>
      </c>
      <c r="H282" t="s">
        <v>74</v>
      </c>
      <c r="I282" t="s">
        <v>5126</v>
      </c>
      <c r="J282" t="s">
        <v>1524</v>
      </c>
      <c r="K282" t="s">
        <v>74</v>
      </c>
      <c r="L282" t="s">
        <v>74</v>
      </c>
      <c r="M282" t="s">
        <v>78</v>
      </c>
      <c r="N282" t="s">
        <v>79</v>
      </c>
      <c r="O282" t="s">
        <v>74</v>
      </c>
      <c r="P282" t="s">
        <v>74</v>
      </c>
      <c r="Q282" t="s">
        <v>74</v>
      </c>
      <c r="R282" t="s">
        <v>74</v>
      </c>
      <c r="S282" t="s">
        <v>74</v>
      </c>
      <c r="T282" t="s">
        <v>5127</v>
      </c>
      <c r="U282" t="s">
        <v>5128</v>
      </c>
      <c r="V282" t="s">
        <v>5129</v>
      </c>
      <c r="W282" t="s">
        <v>5130</v>
      </c>
      <c r="X282" t="s">
        <v>5131</v>
      </c>
      <c r="Y282" t="s">
        <v>5132</v>
      </c>
      <c r="Z282" t="s">
        <v>5133</v>
      </c>
      <c r="AA282" t="s">
        <v>74</v>
      </c>
      <c r="AB282" t="s">
        <v>74</v>
      </c>
      <c r="AC282" t="s">
        <v>5134</v>
      </c>
      <c r="AD282" t="s">
        <v>2421</v>
      </c>
      <c r="AE282" t="s">
        <v>5135</v>
      </c>
      <c r="AF282" t="s">
        <v>74</v>
      </c>
      <c r="AG282">
        <v>78</v>
      </c>
      <c r="AH282">
        <v>0</v>
      </c>
      <c r="AI282">
        <v>0</v>
      </c>
      <c r="AJ282">
        <v>8</v>
      </c>
      <c r="AK282">
        <v>8</v>
      </c>
      <c r="AL282" t="s">
        <v>90</v>
      </c>
      <c r="AM282" t="s">
        <v>91</v>
      </c>
      <c r="AN282" t="s">
        <v>92</v>
      </c>
      <c r="AO282" t="s">
        <v>1534</v>
      </c>
      <c r="AP282" t="s">
        <v>1535</v>
      </c>
      <c r="AQ282" t="s">
        <v>74</v>
      </c>
      <c r="AR282" t="s">
        <v>1536</v>
      </c>
      <c r="AS282" t="s">
        <v>1537</v>
      </c>
      <c r="AT282" t="s">
        <v>4971</v>
      </c>
      <c r="AU282">
        <v>2023</v>
      </c>
      <c r="AV282">
        <v>901</v>
      </c>
      <c r="AW282" t="s">
        <v>74</v>
      </c>
      <c r="AX282" t="s">
        <v>74</v>
      </c>
      <c r="AY282" t="s">
        <v>74</v>
      </c>
      <c r="AZ282" t="s">
        <v>74</v>
      </c>
      <c r="BA282" t="s">
        <v>74</v>
      </c>
      <c r="BB282" t="s">
        <v>74</v>
      </c>
      <c r="BC282" t="s">
        <v>74</v>
      </c>
      <c r="BD282">
        <v>165929</v>
      </c>
      <c r="BE282" t="s">
        <v>5136</v>
      </c>
      <c r="BF282" t="str">
        <f>HYPERLINK("http://dx.doi.org/10.1016/j.scitotenv.2023.165929","http://dx.doi.org/10.1016/j.scitotenv.2023.165929")</f>
        <v>http://dx.doi.org/10.1016/j.scitotenv.2023.165929</v>
      </c>
      <c r="BG282" t="s">
        <v>74</v>
      </c>
      <c r="BH282" t="s">
        <v>74</v>
      </c>
      <c r="BI282">
        <v>10</v>
      </c>
      <c r="BJ282" t="s">
        <v>1539</v>
      </c>
      <c r="BK282" t="s">
        <v>100</v>
      </c>
      <c r="BL282" t="s">
        <v>1540</v>
      </c>
      <c r="BM282" t="s">
        <v>5137</v>
      </c>
      <c r="BN282">
        <v>37532054</v>
      </c>
      <c r="BO282" t="s">
        <v>74</v>
      </c>
      <c r="BP282" t="s">
        <v>74</v>
      </c>
      <c r="BQ282" t="s">
        <v>74</v>
      </c>
      <c r="BR282" t="s">
        <v>104</v>
      </c>
      <c r="BS282" t="s">
        <v>5138</v>
      </c>
      <c r="BT282" t="str">
        <f>HYPERLINK("https%3A%2F%2Fwww.webofscience.com%2Fwos%2Fwoscc%2Ffull-record%2FWOS:001052843400001","View Full Record in Web of Science")</f>
        <v>View Full Record in Web of Science</v>
      </c>
    </row>
    <row r="283" spans="1:72" x14ac:dyDescent="0.15">
      <c r="A283" t="s">
        <v>72</v>
      </c>
      <c r="B283" t="s">
        <v>5139</v>
      </c>
      <c r="C283" t="s">
        <v>74</v>
      </c>
      <c r="D283" t="s">
        <v>74</v>
      </c>
      <c r="E283" t="s">
        <v>74</v>
      </c>
      <c r="F283" t="s">
        <v>5140</v>
      </c>
      <c r="G283" t="s">
        <v>74</v>
      </c>
      <c r="H283" t="s">
        <v>74</v>
      </c>
      <c r="I283" t="s">
        <v>5141</v>
      </c>
      <c r="J283" t="s">
        <v>1524</v>
      </c>
      <c r="K283" t="s">
        <v>74</v>
      </c>
      <c r="L283" t="s">
        <v>74</v>
      </c>
      <c r="M283" t="s">
        <v>78</v>
      </c>
      <c r="N283" t="s">
        <v>79</v>
      </c>
      <c r="O283" t="s">
        <v>74</v>
      </c>
      <c r="P283" t="s">
        <v>74</v>
      </c>
      <c r="Q283" t="s">
        <v>74</v>
      </c>
      <c r="R283" t="s">
        <v>74</v>
      </c>
      <c r="S283" t="s">
        <v>74</v>
      </c>
      <c r="T283" t="s">
        <v>5142</v>
      </c>
      <c r="U283" t="s">
        <v>5143</v>
      </c>
      <c r="V283" t="s">
        <v>5144</v>
      </c>
      <c r="W283" t="s">
        <v>5145</v>
      </c>
      <c r="X283" t="s">
        <v>5146</v>
      </c>
      <c r="Y283" t="s">
        <v>5147</v>
      </c>
      <c r="Z283" t="s">
        <v>5148</v>
      </c>
      <c r="AA283" t="s">
        <v>74</v>
      </c>
      <c r="AB283" t="s">
        <v>74</v>
      </c>
      <c r="AC283" t="s">
        <v>5149</v>
      </c>
      <c r="AD283" t="s">
        <v>5150</v>
      </c>
      <c r="AE283" t="s">
        <v>5151</v>
      </c>
      <c r="AF283" t="s">
        <v>74</v>
      </c>
      <c r="AG283">
        <v>69</v>
      </c>
      <c r="AH283">
        <v>0</v>
      </c>
      <c r="AI283">
        <v>0</v>
      </c>
      <c r="AJ283">
        <v>22</v>
      </c>
      <c r="AK283">
        <v>22</v>
      </c>
      <c r="AL283" t="s">
        <v>90</v>
      </c>
      <c r="AM283" t="s">
        <v>91</v>
      </c>
      <c r="AN283" t="s">
        <v>92</v>
      </c>
      <c r="AO283" t="s">
        <v>1534</v>
      </c>
      <c r="AP283" t="s">
        <v>1535</v>
      </c>
      <c r="AQ283" t="s">
        <v>74</v>
      </c>
      <c r="AR283" t="s">
        <v>1536</v>
      </c>
      <c r="AS283" t="s">
        <v>1537</v>
      </c>
      <c r="AT283" t="s">
        <v>4971</v>
      </c>
      <c r="AU283">
        <v>2023</v>
      </c>
      <c r="AV283">
        <v>901</v>
      </c>
      <c r="AW283" t="s">
        <v>74</v>
      </c>
      <c r="AX283" t="s">
        <v>74</v>
      </c>
      <c r="AY283" t="s">
        <v>74</v>
      </c>
      <c r="AZ283" t="s">
        <v>74</v>
      </c>
      <c r="BA283" t="s">
        <v>74</v>
      </c>
      <c r="BB283" t="s">
        <v>74</v>
      </c>
      <c r="BC283" t="s">
        <v>74</v>
      </c>
      <c r="BD283">
        <v>165869</v>
      </c>
      <c r="BE283" t="s">
        <v>5152</v>
      </c>
      <c r="BF283" t="str">
        <f>HYPERLINK("http://dx.doi.org/10.1016/j.scitotenv.2023.165869","http://dx.doi.org/10.1016/j.scitotenv.2023.165869")</f>
        <v>http://dx.doi.org/10.1016/j.scitotenv.2023.165869</v>
      </c>
      <c r="BG283" t="s">
        <v>74</v>
      </c>
      <c r="BH283" t="s">
        <v>74</v>
      </c>
      <c r="BI283">
        <v>13</v>
      </c>
      <c r="BJ283" t="s">
        <v>1539</v>
      </c>
      <c r="BK283" t="s">
        <v>100</v>
      </c>
      <c r="BL283" t="s">
        <v>1540</v>
      </c>
      <c r="BM283" t="s">
        <v>5153</v>
      </c>
      <c r="BN283">
        <v>37527709</v>
      </c>
      <c r="BO283" t="s">
        <v>74</v>
      </c>
      <c r="BP283" t="s">
        <v>74</v>
      </c>
      <c r="BQ283" t="s">
        <v>74</v>
      </c>
      <c r="BR283" t="s">
        <v>104</v>
      </c>
      <c r="BS283" t="s">
        <v>5154</v>
      </c>
      <c r="BT283" t="str">
        <f>HYPERLINK("https%3A%2F%2Fwww.webofscience.com%2Fwos%2Fwoscc%2Ffull-record%2FWOS:001052452700001","View Full Record in Web of Science")</f>
        <v>View Full Record in Web of Science</v>
      </c>
    </row>
    <row r="284" spans="1:72" x14ac:dyDescent="0.15">
      <c r="A284" t="s">
        <v>72</v>
      </c>
      <c r="B284" t="s">
        <v>5155</v>
      </c>
      <c r="C284" t="s">
        <v>74</v>
      </c>
      <c r="D284" t="s">
        <v>74</v>
      </c>
      <c r="E284" t="s">
        <v>74</v>
      </c>
      <c r="F284" t="s">
        <v>5156</v>
      </c>
      <c r="G284" t="s">
        <v>74</v>
      </c>
      <c r="H284" t="s">
        <v>74</v>
      </c>
      <c r="I284" t="s">
        <v>5157</v>
      </c>
      <c r="J284" t="s">
        <v>2101</v>
      </c>
      <c r="K284" t="s">
        <v>74</v>
      </c>
      <c r="L284" t="s">
        <v>74</v>
      </c>
      <c r="M284" t="s">
        <v>78</v>
      </c>
      <c r="N284" t="s">
        <v>79</v>
      </c>
      <c r="O284" t="s">
        <v>74</v>
      </c>
      <c r="P284" t="s">
        <v>74</v>
      </c>
      <c r="Q284" t="s">
        <v>74</v>
      </c>
      <c r="R284" t="s">
        <v>74</v>
      </c>
      <c r="S284" t="s">
        <v>74</v>
      </c>
      <c r="T284" t="s">
        <v>5158</v>
      </c>
      <c r="U284" t="s">
        <v>5159</v>
      </c>
      <c r="V284" t="s">
        <v>5160</v>
      </c>
      <c r="W284" t="s">
        <v>5161</v>
      </c>
      <c r="X284" t="s">
        <v>5162</v>
      </c>
      <c r="Y284" t="s">
        <v>5163</v>
      </c>
      <c r="Z284" t="s">
        <v>5164</v>
      </c>
      <c r="AA284" t="s">
        <v>74</v>
      </c>
      <c r="AB284" t="s">
        <v>74</v>
      </c>
      <c r="AC284" t="s">
        <v>5165</v>
      </c>
      <c r="AD284" t="s">
        <v>5166</v>
      </c>
      <c r="AE284" t="s">
        <v>5167</v>
      </c>
      <c r="AF284" t="s">
        <v>74</v>
      </c>
      <c r="AG284">
        <v>43</v>
      </c>
      <c r="AH284">
        <v>0</v>
      </c>
      <c r="AI284">
        <v>0</v>
      </c>
      <c r="AJ284">
        <v>13</v>
      </c>
      <c r="AK284">
        <v>13</v>
      </c>
      <c r="AL284" t="s">
        <v>955</v>
      </c>
      <c r="AM284" t="s">
        <v>956</v>
      </c>
      <c r="AN284" t="s">
        <v>957</v>
      </c>
      <c r="AO284" t="s">
        <v>2112</v>
      </c>
      <c r="AP284" t="s">
        <v>2113</v>
      </c>
      <c r="AQ284" t="s">
        <v>74</v>
      </c>
      <c r="AR284" t="s">
        <v>2114</v>
      </c>
      <c r="AS284" t="s">
        <v>2115</v>
      </c>
      <c r="AT284" t="s">
        <v>4971</v>
      </c>
      <c r="AU284">
        <v>2023</v>
      </c>
      <c r="AV284">
        <v>965</v>
      </c>
      <c r="AW284" t="s">
        <v>74</v>
      </c>
      <c r="AX284" t="s">
        <v>74</v>
      </c>
      <c r="AY284" t="s">
        <v>74</v>
      </c>
      <c r="AZ284" t="s">
        <v>74</v>
      </c>
      <c r="BA284" t="s">
        <v>74</v>
      </c>
      <c r="BB284" t="s">
        <v>74</v>
      </c>
      <c r="BC284" t="s">
        <v>74</v>
      </c>
      <c r="BD284">
        <v>171395</v>
      </c>
      <c r="BE284" t="s">
        <v>5168</v>
      </c>
      <c r="BF284" t="str">
        <f>HYPERLINK("http://dx.doi.org/10.1016/j.jallcom.2023.171395","http://dx.doi.org/10.1016/j.jallcom.2023.171395")</f>
        <v>http://dx.doi.org/10.1016/j.jallcom.2023.171395</v>
      </c>
      <c r="BG284" t="s">
        <v>74</v>
      </c>
      <c r="BH284" t="s">
        <v>74</v>
      </c>
      <c r="BI284">
        <v>9</v>
      </c>
      <c r="BJ284" t="s">
        <v>2118</v>
      </c>
      <c r="BK284" t="s">
        <v>100</v>
      </c>
      <c r="BL284" t="s">
        <v>2119</v>
      </c>
      <c r="BM284" t="s">
        <v>5169</v>
      </c>
      <c r="BN284" t="s">
        <v>74</v>
      </c>
      <c r="BO284" t="s">
        <v>74</v>
      </c>
      <c r="BP284" t="s">
        <v>74</v>
      </c>
      <c r="BQ284" t="s">
        <v>74</v>
      </c>
      <c r="BR284" t="s">
        <v>104</v>
      </c>
      <c r="BS284" t="s">
        <v>5170</v>
      </c>
      <c r="BT284" t="str">
        <f>HYPERLINK("https%3A%2F%2Fwww.webofscience.com%2Fwos%2Fwoscc%2Ffull-record%2FWOS:001050119900001","View Full Record in Web of Science")</f>
        <v>View Full Record in Web of Science</v>
      </c>
    </row>
    <row r="285" spans="1:72" x14ac:dyDescent="0.15">
      <c r="A285" t="s">
        <v>72</v>
      </c>
      <c r="B285" t="s">
        <v>5171</v>
      </c>
      <c r="C285" t="s">
        <v>74</v>
      </c>
      <c r="D285" t="s">
        <v>74</v>
      </c>
      <c r="E285" t="s">
        <v>74</v>
      </c>
      <c r="F285" t="s">
        <v>5172</v>
      </c>
      <c r="G285" t="s">
        <v>74</v>
      </c>
      <c r="H285" t="s">
        <v>74</v>
      </c>
      <c r="I285" t="s">
        <v>5173</v>
      </c>
      <c r="J285" t="s">
        <v>1524</v>
      </c>
      <c r="K285" t="s">
        <v>74</v>
      </c>
      <c r="L285" t="s">
        <v>74</v>
      </c>
      <c r="M285" t="s">
        <v>78</v>
      </c>
      <c r="N285" t="s">
        <v>79</v>
      </c>
      <c r="O285" t="s">
        <v>74</v>
      </c>
      <c r="P285" t="s">
        <v>74</v>
      </c>
      <c r="Q285" t="s">
        <v>74</v>
      </c>
      <c r="R285" t="s">
        <v>74</v>
      </c>
      <c r="S285" t="s">
        <v>74</v>
      </c>
      <c r="T285" t="s">
        <v>5174</v>
      </c>
      <c r="U285" t="s">
        <v>5175</v>
      </c>
      <c r="V285" t="s">
        <v>5176</v>
      </c>
      <c r="W285" t="s">
        <v>5177</v>
      </c>
      <c r="X285" t="s">
        <v>5178</v>
      </c>
      <c r="Y285" t="s">
        <v>5179</v>
      </c>
      <c r="Z285" t="s">
        <v>5180</v>
      </c>
      <c r="AA285" t="s">
        <v>5181</v>
      </c>
      <c r="AB285" t="s">
        <v>5182</v>
      </c>
      <c r="AC285" t="s">
        <v>5183</v>
      </c>
      <c r="AD285" t="s">
        <v>5184</v>
      </c>
      <c r="AE285" t="s">
        <v>5185</v>
      </c>
      <c r="AF285" t="s">
        <v>74</v>
      </c>
      <c r="AG285">
        <v>93</v>
      </c>
      <c r="AH285">
        <v>0</v>
      </c>
      <c r="AI285">
        <v>0</v>
      </c>
      <c r="AJ285">
        <v>1</v>
      </c>
      <c r="AK285">
        <v>1</v>
      </c>
      <c r="AL285" t="s">
        <v>90</v>
      </c>
      <c r="AM285" t="s">
        <v>91</v>
      </c>
      <c r="AN285" t="s">
        <v>92</v>
      </c>
      <c r="AO285" t="s">
        <v>1534</v>
      </c>
      <c r="AP285" t="s">
        <v>1535</v>
      </c>
      <c r="AQ285" t="s">
        <v>74</v>
      </c>
      <c r="AR285" t="s">
        <v>1536</v>
      </c>
      <c r="AS285" t="s">
        <v>1537</v>
      </c>
      <c r="AT285" t="s">
        <v>4971</v>
      </c>
      <c r="AU285">
        <v>2023</v>
      </c>
      <c r="AV285">
        <v>901</v>
      </c>
      <c r="AW285" t="s">
        <v>74</v>
      </c>
      <c r="AX285" t="s">
        <v>74</v>
      </c>
      <c r="AY285" t="s">
        <v>74</v>
      </c>
      <c r="AZ285" t="s">
        <v>74</v>
      </c>
      <c r="BA285" t="s">
        <v>74</v>
      </c>
      <c r="BB285" t="s">
        <v>74</v>
      </c>
      <c r="BC285" t="s">
        <v>74</v>
      </c>
      <c r="BD285">
        <v>165959</v>
      </c>
      <c r="BE285" t="s">
        <v>5186</v>
      </c>
      <c r="BF285" t="str">
        <f>HYPERLINK("http://dx.doi.org/10.1016/j.scitotenv.2023.165959","http://dx.doi.org/10.1016/j.scitotenv.2023.165959")</f>
        <v>http://dx.doi.org/10.1016/j.scitotenv.2023.165959</v>
      </c>
      <c r="BG285" t="s">
        <v>74</v>
      </c>
      <c r="BH285" t="s">
        <v>74</v>
      </c>
      <c r="BI285">
        <v>10</v>
      </c>
      <c r="BJ285" t="s">
        <v>1539</v>
      </c>
      <c r="BK285" t="s">
        <v>100</v>
      </c>
      <c r="BL285" t="s">
        <v>1540</v>
      </c>
      <c r="BM285" t="s">
        <v>5187</v>
      </c>
      <c r="BN285">
        <v>37541511</v>
      </c>
      <c r="BO285" t="s">
        <v>74</v>
      </c>
      <c r="BP285" t="s">
        <v>74</v>
      </c>
      <c r="BQ285" t="s">
        <v>74</v>
      </c>
      <c r="BR285" t="s">
        <v>104</v>
      </c>
      <c r="BS285" t="s">
        <v>5188</v>
      </c>
      <c r="BT285" t="str">
        <f>HYPERLINK("https%3A%2F%2Fwww.webofscience.com%2Fwos%2Fwoscc%2Ffull-record%2FWOS:001063278800001","View Full Record in Web of Science")</f>
        <v>View Full Record in Web of Science</v>
      </c>
    </row>
    <row r="286" spans="1:72" x14ac:dyDescent="0.15">
      <c r="A286" t="s">
        <v>72</v>
      </c>
      <c r="B286" t="s">
        <v>5189</v>
      </c>
      <c r="C286" t="s">
        <v>74</v>
      </c>
      <c r="D286" t="s">
        <v>74</v>
      </c>
      <c r="E286" t="s">
        <v>74</v>
      </c>
      <c r="F286" t="s">
        <v>5190</v>
      </c>
      <c r="G286" t="s">
        <v>74</v>
      </c>
      <c r="H286" t="s">
        <v>74</v>
      </c>
      <c r="I286" t="s">
        <v>5191</v>
      </c>
      <c r="J286" t="s">
        <v>5192</v>
      </c>
      <c r="K286" t="s">
        <v>74</v>
      </c>
      <c r="L286" t="s">
        <v>74</v>
      </c>
      <c r="M286" t="s">
        <v>78</v>
      </c>
      <c r="N286" t="s">
        <v>79</v>
      </c>
      <c r="O286" t="s">
        <v>74</v>
      </c>
      <c r="P286" t="s">
        <v>74</v>
      </c>
      <c r="Q286" t="s">
        <v>74</v>
      </c>
      <c r="R286" t="s">
        <v>74</v>
      </c>
      <c r="S286" t="s">
        <v>74</v>
      </c>
      <c r="T286" t="s">
        <v>5193</v>
      </c>
      <c r="U286" t="s">
        <v>5194</v>
      </c>
      <c r="V286" t="s">
        <v>5195</v>
      </c>
      <c r="W286" t="s">
        <v>5196</v>
      </c>
      <c r="X286" t="s">
        <v>5197</v>
      </c>
      <c r="Y286" t="s">
        <v>5198</v>
      </c>
      <c r="Z286" t="s">
        <v>5199</v>
      </c>
      <c r="AA286" t="s">
        <v>74</v>
      </c>
      <c r="AB286" t="s">
        <v>74</v>
      </c>
      <c r="AC286" t="s">
        <v>5200</v>
      </c>
      <c r="AD286" t="s">
        <v>5201</v>
      </c>
      <c r="AE286" t="s">
        <v>5202</v>
      </c>
      <c r="AF286" t="s">
        <v>74</v>
      </c>
      <c r="AG286">
        <v>71</v>
      </c>
      <c r="AH286">
        <v>0</v>
      </c>
      <c r="AI286">
        <v>0</v>
      </c>
      <c r="AJ286">
        <v>0</v>
      </c>
      <c r="AK286">
        <v>0</v>
      </c>
      <c r="AL286" t="s">
        <v>90</v>
      </c>
      <c r="AM286" t="s">
        <v>91</v>
      </c>
      <c r="AN286" t="s">
        <v>92</v>
      </c>
      <c r="AO286" t="s">
        <v>5203</v>
      </c>
      <c r="AP286" t="s">
        <v>5204</v>
      </c>
      <c r="AQ286" t="s">
        <v>74</v>
      </c>
      <c r="AR286" t="s">
        <v>5205</v>
      </c>
      <c r="AS286" t="s">
        <v>5206</v>
      </c>
      <c r="AT286" t="s">
        <v>5207</v>
      </c>
      <c r="AU286">
        <v>2023</v>
      </c>
      <c r="AV286">
        <v>677</v>
      </c>
      <c r="AW286" t="s">
        <v>74</v>
      </c>
      <c r="AX286" t="s">
        <v>337</v>
      </c>
      <c r="AY286" t="s">
        <v>74</v>
      </c>
      <c r="AZ286" t="s">
        <v>74</v>
      </c>
      <c r="BA286" t="s">
        <v>74</v>
      </c>
      <c r="BB286" t="s">
        <v>74</v>
      </c>
      <c r="BC286" t="s">
        <v>74</v>
      </c>
      <c r="BD286">
        <v>132313</v>
      </c>
      <c r="BE286" t="s">
        <v>5208</v>
      </c>
      <c r="BF286" t="str">
        <f>HYPERLINK("http://dx.doi.org/10.1016/j.colsurfa.2023.132313","http://dx.doi.org/10.1016/j.colsurfa.2023.132313")</f>
        <v>http://dx.doi.org/10.1016/j.colsurfa.2023.132313</v>
      </c>
      <c r="BG286" t="s">
        <v>74</v>
      </c>
      <c r="BH286" t="s">
        <v>74</v>
      </c>
      <c r="BI286">
        <v>18</v>
      </c>
      <c r="BJ286" t="s">
        <v>394</v>
      </c>
      <c r="BK286" t="s">
        <v>100</v>
      </c>
      <c r="BL286" t="s">
        <v>395</v>
      </c>
      <c r="BM286" t="s">
        <v>5209</v>
      </c>
      <c r="BN286" t="s">
        <v>74</v>
      </c>
      <c r="BO286" t="s">
        <v>74</v>
      </c>
      <c r="BP286" t="s">
        <v>74</v>
      </c>
      <c r="BQ286" t="s">
        <v>74</v>
      </c>
      <c r="BR286" t="s">
        <v>104</v>
      </c>
      <c r="BS286" t="s">
        <v>5210</v>
      </c>
      <c r="BT286" t="str">
        <f>HYPERLINK("https%3A%2F%2Fwww.webofscience.com%2Fwos%2Fwoscc%2Ffull-record%2FWOS:001070695500001","View Full Record in Web of Science")</f>
        <v>View Full Record in Web of Science</v>
      </c>
    </row>
    <row r="287" spans="1:72" x14ac:dyDescent="0.15">
      <c r="A287" t="s">
        <v>72</v>
      </c>
      <c r="B287" t="s">
        <v>5211</v>
      </c>
      <c r="C287" t="s">
        <v>74</v>
      </c>
      <c r="D287" t="s">
        <v>74</v>
      </c>
      <c r="E287" t="s">
        <v>74</v>
      </c>
      <c r="F287" t="s">
        <v>5212</v>
      </c>
      <c r="G287" t="s">
        <v>74</v>
      </c>
      <c r="H287" t="s">
        <v>74</v>
      </c>
      <c r="I287" t="s">
        <v>5213</v>
      </c>
      <c r="J287" t="s">
        <v>4796</v>
      </c>
      <c r="K287" t="s">
        <v>74</v>
      </c>
      <c r="L287" t="s">
        <v>74</v>
      </c>
      <c r="M287" t="s">
        <v>78</v>
      </c>
      <c r="N287" t="s">
        <v>79</v>
      </c>
      <c r="O287" t="s">
        <v>74</v>
      </c>
      <c r="P287" t="s">
        <v>74</v>
      </c>
      <c r="Q287" t="s">
        <v>74</v>
      </c>
      <c r="R287" t="s">
        <v>74</v>
      </c>
      <c r="S287" t="s">
        <v>74</v>
      </c>
      <c r="T287" t="s">
        <v>5214</v>
      </c>
      <c r="U287" t="s">
        <v>74</v>
      </c>
      <c r="V287" t="s">
        <v>5215</v>
      </c>
      <c r="W287" t="s">
        <v>5216</v>
      </c>
      <c r="X287" t="s">
        <v>5217</v>
      </c>
      <c r="Y287" t="s">
        <v>5218</v>
      </c>
      <c r="Z287" t="s">
        <v>5219</v>
      </c>
      <c r="AA287" t="s">
        <v>74</v>
      </c>
      <c r="AB287" t="s">
        <v>74</v>
      </c>
      <c r="AC287" t="s">
        <v>5220</v>
      </c>
      <c r="AD287" t="s">
        <v>5221</v>
      </c>
      <c r="AE287" t="s">
        <v>5222</v>
      </c>
      <c r="AF287" t="s">
        <v>74</v>
      </c>
      <c r="AG287">
        <v>17</v>
      </c>
      <c r="AH287">
        <v>0</v>
      </c>
      <c r="AI287">
        <v>0</v>
      </c>
      <c r="AJ287">
        <v>5</v>
      </c>
      <c r="AK287">
        <v>5</v>
      </c>
      <c r="AL287" t="s">
        <v>90</v>
      </c>
      <c r="AM287" t="s">
        <v>91</v>
      </c>
      <c r="AN287" t="s">
        <v>92</v>
      </c>
      <c r="AO287" t="s">
        <v>4806</v>
      </c>
      <c r="AP287" t="s">
        <v>4807</v>
      </c>
      <c r="AQ287" t="s">
        <v>74</v>
      </c>
      <c r="AR287" t="s">
        <v>4808</v>
      </c>
      <c r="AS287" t="s">
        <v>4809</v>
      </c>
      <c r="AT287" t="s">
        <v>5207</v>
      </c>
      <c r="AU287">
        <v>2023</v>
      </c>
      <c r="AV287">
        <v>72</v>
      </c>
      <c r="AW287" t="s">
        <v>74</v>
      </c>
      <c r="AX287" t="s">
        <v>373</v>
      </c>
      <c r="AY287" t="s">
        <v>74</v>
      </c>
      <c r="AZ287" t="s">
        <v>74</v>
      </c>
      <c r="BA287" t="s">
        <v>74</v>
      </c>
      <c r="BB287" t="s">
        <v>74</v>
      </c>
      <c r="BC287" t="s">
        <v>74</v>
      </c>
      <c r="BD287">
        <v>108394</v>
      </c>
      <c r="BE287" t="s">
        <v>5223</v>
      </c>
      <c r="BF287" t="str">
        <f>HYPERLINK("http://dx.doi.org/10.1016/j.est.2023.108394","http://dx.doi.org/10.1016/j.est.2023.108394")</f>
        <v>http://dx.doi.org/10.1016/j.est.2023.108394</v>
      </c>
      <c r="BG287" t="s">
        <v>74</v>
      </c>
      <c r="BH287" t="s">
        <v>74</v>
      </c>
      <c r="BI287">
        <v>11</v>
      </c>
      <c r="BJ287" t="s">
        <v>2999</v>
      </c>
      <c r="BK287" t="s">
        <v>100</v>
      </c>
      <c r="BL287" t="s">
        <v>2999</v>
      </c>
      <c r="BM287" t="s">
        <v>5224</v>
      </c>
      <c r="BN287" t="s">
        <v>74</v>
      </c>
      <c r="BO287" t="s">
        <v>74</v>
      </c>
      <c r="BP287" t="s">
        <v>74</v>
      </c>
      <c r="BQ287" t="s">
        <v>74</v>
      </c>
      <c r="BR287" t="s">
        <v>104</v>
      </c>
      <c r="BS287" t="s">
        <v>5225</v>
      </c>
      <c r="BT287" t="str">
        <f>HYPERLINK("https%3A%2F%2Fwww.webofscience.com%2Fwos%2Fwoscc%2Ffull-record%2FWOS:001047472000001","View Full Record in Web of Science")</f>
        <v>View Full Record in Web of Science</v>
      </c>
    </row>
    <row r="288" spans="1:72" x14ac:dyDescent="0.15">
      <c r="A288" t="s">
        <v>72</v>
      </c>
      <c r="B288" t="s">
        <v>5226</v>
      </c>
      <c r="C288" t="s">
        <v>74</v>
      </c>
      <c r="D288" t="s">
        <v>74</v>
      </c>
      <c r="E288" t="s">
        <v>74</v>
      </c>
      <c r="F288" t="s">
        <v>5227</v>
      </c>
      <c r="G288" t="s">
        <v>74</v>
      </c>
      <c r="H288" t="s">
        <v>74</v>
      </c>
      <c r="I288" t="s">
        <v>5228</v>
      </c>
      <c r="J288" t="s">
        <v>4796</v>
      </c>
      <c r="K288" t="s">
        <v>74</v>
      </c>
      <c r="L288" t="s">
        <v>74</v>
      </c>
      <c r="M288" t="s">
        <v>78</v>
      </c>
      <c r="N288" t="s">
        <v>79</v>
      </c>
      <c r="O288" t="s">
        <v>74</v>
      </c>
      <c r="P288" t="s">
        <v>74</v>
      </c>
      <c r="Q288" t="s">
        <v>74</v>
      </c>
      <c r="R288" t="s">
        <v>74</v>
      </c>
      <c r="S288" t="s">
        <v>74</v>
      </c>
      <c r="T288" t="s">
        <v>5229</v>
      </c>
      <c r="U288" t="s">
        <v>5230</v>
      </c>
      <c r="V288" t="s">
        <v>5231</v>
      </c>
      <c r="W288" t="s">
        <v>5232</v>
      </c>
      <c r="X288" t="s">
        <v>5233</v>
      </c>
      <c r="Y288" t="s">
        <v>5234</v>
      </c>
      <c r="Z288" t="s">
        <v>5235</v>
      </c>
      <c r="AA288" t="s">
        <v>5236</v>
      </c>
      <c r="AB288" t="s">
        <v>5237</v>
      </c>
      <c r="AC288" t="s">
        <v>5238</v>
      </c>
      <c r="AD288" t="s">
        <v>5239</v>
      </c>
      <c r="AE288" t="s">
        <v>5240</v>
      </c>
      <c r="AF288" t="s">
        <v>74</v>
      </c>
      <c r="AG288">
        <v>72</v>
      </c>
      <c r="AH288">
        <v>0</v>
      </c>
      <c r="AI288">
        <v>0</v>
      </c>
      <c r="AJ288">
        <v>1</v>
      </c>
      <c r="AK288">
        <v>1</v>
      </c>
      <c r="AL288" t="s">
        <v>90</v>
      </c>
      <c r="AM288" t="s">
        <v>91</v>
      </c>
      <c r="AN288" t="s">
        <v>92</v>
      </c>
      <c r="AO288" t="s">
        <v>4806</v>
      </c>
      <c r="AP288" t="s">
        <v>4807</v>
      </c>
      <c r="AQ288" t="s">
        <v>74</v>
      </c>
      <c r="AR288" t="s">
        <v>4808</v>
      </c>
      <c r="AS288" t="s">
        <v>4809</v>
      </c>
      <c r="AT288" t="s">
        <v>5207</v>
      </c>
      <c r="AU288">
        <v>2023</v>
      </c>
      <c r="AV288">
        <v>72</v>
      </c>
      <c r="AW288" t="s">
        <v>74</v>
      </c>
      <c r="AX288" t="s">
        <v>373</v>
      </c>
      <c r="AY288" t="s">
        <v>74</v>
      </c>
      <c r="AZ288" t="s">
        <v>74</v>
      </c>
      <c r="BA288" t="s">
        <v>74</v>
      </c>
      <c r="BB288" t="s">
        <v>74</v>
      </c>
      <c r="BC288" t="s">
        <v>74</v>
      </c>
      <c r="BD288">
        <v>108377</v>
      </c>
      <c r="BE288" t="s">
        <v>5241</v>
      </c>
      <c r="BF288" t="str">
        <f>HYPERLINK("http://dx.doi.org/10.1016/j.est.2023.108377","http://dx.doi.org/10.1016/j.est.2023.108377")</f>
        <v>http://dx.doi.org/10.1016/j.est.2023.108377</v>
      </c>
      <c r="BG288" t="s">
        <v>74</v>
      </c>
      <c r="BH288" t="s">
        <v>74</v>
      </c>
      <c r="BI288">
        <v>15</v>
      </c>
      <c r="BJ288" t="s">
        <v>2999</v>
      </c>
      <c r="BK288" t="s">
        <v>100</v>
      </c>
      <c r="BL288" t="s">
        <v>2999</v>
      </c>
      <c r="BM288" t="s">
        <v>5242</v>
      </c>
      <c r="BN288" t="s">
        <v>74</v>
      </c>
      <c r="BO288" t="s">
        <v>2583</v>
      </c>
      <c r="BP288" t="s">
        <v>74</v>
      </c>
      <c r="BQ288" t="s">
        <v>74</v>
      </c>
      <c r="BR288" t="s">
        <v>104</v>
      </c>
      <c r="BS288" t="s">
        <v>5243</v>
      </c>
      <c r="BT288" t="str">
        <f>HYPERLINK("https%3A%2F%2Fwww.webofscience.com%2Fwos%2Fwoscc%2Ffull-record%2FWOS:001047599400001","View Full Record in Web of Science")</f>
        <v>View Full Record in Web of Science</v>
      </c>
    </row>
    <row r="289" spans="1:72" x14ac:dyDescent="0.15">
      <c r="A289" t="s">
        <v>72</v>
      </c>
      <c r="B289" t="s">
        <v>5244</v>
      </c>
      <c r="C289" t="s">
        <v>74</v>
      </c>
      <c r="D289" t="s">
        <v>74</v>
      </c>
      <c r="E289" t="s">
        <v>74</v>
      </c>
      <c r="F289" t="s">
        <v>5245</v>
      </c>
      <c r="G289" t="s">
        <v>74</v>
      </c>
      <c r="H289" t="s">
        <v>74</v>
      </c>
      <c r="I289" t="s">
        <v>5246</v>
      </c>
      <c r="J289" t="s">
        <v>1524</v>
      </c>
      <c r="K289" t="s">
        <v>74</v>
      </c>
      <c r="L289" t="s">
        <v>74</v>
      </c>
      <c r="M289" t="s">
        <v>78</v>
      </c>
      <c r="N289" t="s">
        <v>79</v>
      </c>
      <c r="O289" t="s">
        <v>74</v>
      </c>
      <c r="P289" t="s">
        <v>74</v>
      </c>
      <c r="Q289" t="s">
        <v>74</v>
      </c>
      <c r="R289" t="s">
        <v>74</v>
      </c>
      <c r="S289" t="s">
        <v>74</v>
      </c>
      <c r="T289" t="s">
        <v>5247</v>
      </c>
      <c r="U289" t="s">
        <v>5248</v>
      </c>
      <c r="V289" t="s">
        <v>5249</v>
      </c>
      <c r="W289" t="s">
        <v>5250</v>
      </c>
      <c r="X289" t="s">
        <v>5251</v>
      </c>
      <c r="Y289" t="s">
        <v>5252</v>
      </c>
      <c r="Z289" t="s">
        <v>5253</v>
      </c>
      <c r="AA289" t="s">
        <v>74</v>
      </c>
      <c r="AB289" t="s">
        <v>74</v>
      </c>
      <c r="AC289" t="s">
        <v>5254</v>
      </c>
      <c r="AD289" t="s">
        <v>5255</v>
      </c>
      <c r="AE289" t="s">
        <v>5256</v>
      </c>
      <c r="AF289" t="s">
        <v>74</v>
      </c>
      <c r="AG289">
        <v>90</v>
      </c>
      <c r="AH289">
        <v>0</v>
      </c>
      <c r="AI289">
        <v>0</v>
      </c>
      <c r="AJ289">
        <v>11</v>
      </c>
      <c r="AK289">
        <v>11</v>
      </c>
      <c r="AL289" t="s">
        <v>90</v>
      </c>
      <c r="AM289" t="s">
        <v>91</v>
      </c>
      <c r="AN289" t="s">
        <v>92</v>
      </c>
      <c r="AO289" t="s">
        <v>1534</v>
      </c>
      <c r="AP289" t="s">
        <v>1535</v>
      </c>
      <c r="AQ289" t="s">
        <v>74</v>
      </c>
      <c r="AR289" t="s">
        <v>1536</v>
      </c>
      <c r="AS289" t="s">
        <v>1537</v>
      </c>
      <c r="AT289" t="s">
        <v>5207</v>
      </c>
      <c r="AU289">
        <v>2023</v>
      </c>
      <c r="AV289">
        <v>900</v>
      </c>
      <c r="AW289" t="s">
        <v>74</v>
      </c>
      <c r="AX289" t="s">
        <v>74</v>
      </c>
      <c r="AY289" t="s">
        <v>74</v>
      </c>
      <c r="AZ289" t="s">
        <v>74</v>
      </c>
      <c r="BA289" t="s">
        <v>74</v>
      </c>
      <c r="BB289" t="s">
        <v>74</v>
      </c>
      <c r="BC289" t="s">
        <v>74</v>
      </c>
      <c r="BD289">
        <v>165868</v>
      </c>
      <c r="BE289" t="s">
        <v>5257</v>
      </c>
      <c r="BF289" t="str">
        <f>HYPERLINK("http://dx.doi.org/10.1016/j.scitotenv.2023.165868","http://dx.doi.org/10.1016/j.scitotenv.2023.165868")</f>
        <v>http://dx.doi.org/10.1016/j.scitotenv.2023.165868</v>
      </c>
      <c r="BG289" t="s">
        <v>74</v>
      </c>
      <c r="BH289" t="s">
        <v>74</v>
      </c>
      <c r="BI289">
        <v>16</v>
      </c>
      <c r="BJ289" t="s">
        <v>1539</v>
      </c>
      <c r="BK289" t="s">
        <v>100</v>
      </c>
      <c r="BL289" t="s">
        <v>1540</v>
      </c>
      <c r="BM289" t="s">
        <v>5258</v>
      </c>
      <c r="BN289">
        <v>37516186</v>
      </c>
      <c r="BO289" t="s">
        <v>74</v>
      </c>
      <c r="BP289" t="s">
        <v>74</v>
      </c>
      <c r="BQ289" t="s">
        <v>74</v>
      </c>
      <c r="BR289" t="s">
        <v>104</v>
      </c>
      <c r="BS289" t="s">
        <v>5259</v>
      </c>
      <c r="BT289" t="str">
        <f>HYPERLINK("https%3A%2F%2Fwww.webofscience.com%2Fwos%2Fwoscc%2Ffull-record%2FWOS:001052450100001","View Full Record in Web of Science")</f>
        <v>View Full Record in Web of Science</v>
      </c>
    </row>
    <row r="290" spans="1:72" x14ac:dyDescent="0.15">
      <c r="A290" t="s">
        <v>72</v>
      </c>
      <c r="B290" t="s">
        <v>5260</v>
      </c>
      <c r="C290" t="s">
        <v>74</v>
      </c>
      <c r="D290" t="s">
        <v>74</v>
      </c>
      <c r="E290" t="s">
        <v>74</v>
      </c>
      <c r="F290" t="s">
        <v>5261</v>
      </c>
      <c r="G290" t="s">
        <v>74</v>
      </c>
      <c r="H290" t="s">
        <v>74</v>
      </c>
      <c r="I290" t="s">
        <v>5262</v>
      </c>
      <c r="J290" t="s">
        <v>5263</v>
      </c>
      <c r="K290" t="s">
        <v>74</v>
      </c>
      <c r="L290" t="s">
        <v>74</v>
      </c>
      <c r="M290" t="s">
        <v>78</v>
      </c>
      <c r="N290" t="s">
        <v>79</v>
      </c>
      <c r="O290" t="s">
        <v>74</v>
      </c>
      <c r="P290" t="s">
        <v>74</v>
      </c>
      <c r="Q290" t="s">
        <v>74</v>
      </c>
      <c r="R290" t="s">
        <v>74</v>
      </c>
      <c r="S290" t="s">
        <v>74</v>
      </c>
      <c r="T290" t="s">
        <v>5264</v>
      </c>
      <c r="U290" t="s">
        <v>5265</v>
      </c>
      <c r="V290" t="s">
        <v>5266</v>
      </c>
      <c r="W290" t="s">
        <v>5267</v>
      </c>
      <c r="X290" t="s">
        <v>5268</v>
      </c>
      <c r="Y290" t="s">
        <v>5269</v>
      </c>
      <c r="Z290" t="s">
        <v>5270</v>
      </c>
      <c r="AA290" t="s">
        <v>74</v>
      </c>
      <c r="AB290" t="s">
        <v>74</v>
      </c>
      <c r="AC290" t="s">
        <v>5271</v>
      </c>
      <c r="AD290" t="s">
        <v>5272</v>
      </c>
      <c r="AE290" t="s">
        <v>5273</v>
      </c>
      <c r="AF290" t="s">
        <v>74</v>
      </c>
      <c r="AG290">
        <v>36</v>
      </c>
      <c r="AH290">
        <v>0</v>
      </c>
      <c r="AI290">
        <v>0</v>
      </c>
      <c r="AJ290">
        <v>11</v>
      </c>
      <c r="AK290">
        <v>11</v>
      </c>
      <c r="AL290" t="s">
        <v>90</v>
      </c>
      <c r="AM290" t="s">
        <v>91</v>
      </c>
      <c r="AN290" t="s">
        <v>92</v>
      </c>
      <c r="AO290" t="s">
        <v>5274</v>
      </c>
      <c r="AP290" t="s">
        <v>5275</v>
      </c>
      <c r="AQ290" t="s">
        <v>74</v>
      </c>
      <c r="AR290" t="s">
        <v>5276</v>
      </c>
      <c r="AS290" t="s">
        <v>5277</v>
      </c>
      <c r="AT290" t="s">
        <v>5278</v>
      </c>
      <c r="AU290">
        <v>2023</v>
      </c>
      <c r="AV290">
        <v>405</v>
      </c>
      <c r="AW290" t="s">
        <v>74</v>
      </c>
      <c r="AX290" t="s">
        <v>74</v>
      </c>
      <c r="AY290" t="s">
        <v>74</v>
      </c>
      <c r="AZ290" t="s">
        <v>74</v>
      </c>
      <c r="BA290" t="s">
        <v>74</v>
      </c>
      <c r="BB290" t="s">
        <v>74</v>
      </c>
      <c r="BC290" t="s">
        <v>74</v>
      </c>
      <c r="BD290">
        <v>110337</v>
      </c>
      <c r="BE290" t="s">
        <v>5279</v>
      </c>
      <c r="BF290" t="str">
        <f>HYPERLINK("http://dx.doi.org/10.1016/j.ijfoodmicro.2023.110337","http://dx.doi.org/10.1016/j.ijfoodmicro.2023.110337")</f>
        <v>http://dx.doi.org/10.1016/j.ijfoodmicro.2023.110337</v>
      </c>
      <c r="BG290" t="s">
        <v>74</v>
      </c>
      <c r="BH290" t="s">
        <v>74</v>
      </c>
      <c r="BI290">
        <v>10</v>
      </c>
      <c r="BJ290" t="s">
        <v>5280</v>
      </c>
      <c r="BK290" t="s">
        <v>100</v>
      </c>
      <c r="BL290" t="s">
        <v>5280</v>
      </c>
      <c r="BM290" t="s">
        <v>5281</v>
      </c>
      <c r="BN290">
        <v>37506547</v>
      </c>
      <c r="BO290" t="s">
        <v>74</v>
      </c>
      <c r="BP290" t="s">
        <v>74</v>
      </c>
      <c r="BQ290" t="s">
        <v>74</v>
      </c>
      <c r="BR290" t="s">
        <v>104</v>
      </c>
      <c r="BS290" t="s">
        <v>5282</v>
      </c>
      <c r="BT290" t="str">
        <f>HYPERLINK("https%3A%2F%2Fwww.webofscience.com%2Fwos%2Fwoscc%2Ffull-record%2FWOS:001049682000001","View Full Record in Web of Science")</f>
        <v>View Full Record in Web of Science</v>
      </c>
    </row>
    <row r="291" spans="1:72" x14ac:dyDescent="0.15">
      <c r="A291" t="s">
        <v>72</v>
      </c>
      <c r="B291" t="s">
        <v>5283</v>
      </c>
      <c r="C291" t="s">
        <v>74</v>
      </c>
      <c r="D291" t="s">
        <v>74</v>
      </c>
      <c r="E291" t="s">
        <v>74</v>
      </c>
      <c r="F291" t="s">
        <v>5284</v>
      </c>
      <c r="G291" t="s">
        <v>74</v>
      </c>
      <c r="H291" t="s">
        <v>74</v>
      </c>
      <c r="I291" t="s">
        <v>5285</v>
      </c>
      <c r="J291" t="s">
        <v>1793</v>
      </c>
      <c r="K291" t="s">
        <v>74</v>
      </c>
      <c r="L291" t="s">
        <v>74</v>
      </c>
      <c r="M291" t="s">
        <v>78</v>
      </c>
      <c r="N291" t="s">
        <v>79</v>
      </c>
      <c r="O291" t="s">
        <v>74</v>
      </c>
      <c r="P291" t="s">
        <v>74</v>
      </c>
      <c r="Q291" t="s">
        <v>74</v>
      </c>
      <c r="R291" t="s">
        <v>74</v>
      </c>
      <c r="S291" t="s">
        <v>74</v>
      </c>
      <c r="T291" t="s">
        <v>5286</v>
      </c>
      <c r="U291" t="s">
        <v>5287</v>
      </c>
      <c r="V291" t="s">
        <v>5288</v>
      </c>
      <c r="W291" t="s">
        <v>5289</v>
      </c>
      <c r="X291" t="s">
        <v>5290</v>
      </c>
      <c r="Y291" t="s">
        <v>5291</v>
      </c>
      <c r="Z291" t="s">
        <v>5292</v>
      </c>
      <c r="AA291" t="s">
        <v>5293</v>
      </c>
      <c r="AB291" t="s">
        <v>5294</v>
      </c>
      <c r="AC291" t="s">
        <v>74</v>
      </c>
      <c r="AD291" t="s">
        <v>74</v>
      </c>
      <c r="AE291" t="s">
        <v>74</v>
      </c>
      <c r="AF291" t="s">
        <v>74</v>
      </c>
      <c r="AG291">
        <v>51</v>
      </c>
      <c r="AH291">
        <v>0</v>
      </c>
      <c r="AI291">
        <v>0</v>
      </c>
      <c r="AJ291">
        <v>5</v>
      </c>
      <c r="AK291">
        <v>5</v>
      </c>
      <c r="AL291" t="s">
        <v>173</v>
      </c>
      <c r="AM291" t="s">
        <v>121</v>
      </c>
      <c r="AN291" t="s">
        <v>174</v>
      </c>
      <c r="AO291" t="s">
        <v>1805</v>
      </c>
      <c r="AP291" t="s">
        <v>1806</v>
      </c>
      <c r="AQ291" t="s">
        <v>74</v>
      </c>
      <c r="AR291" t="s">
        <v>1807</v>
      </c>
      <c r="AS291" t="s">
        <v>1808</v>
      </c>
      <c r="AT291" t="s">
        <v>5295</v>
      </c>
      <c r="AU291">
        <v>2023</v>
      </c>
      <c r="AV291">
        <v>301</v>
      </c>
      <c r="AW291" t="s">
        <v>74</v>
      </c>
      <c r="AX291" t="s">
        <v>74</v>
      </c>
      <c r="AY291" t="s">
        <v>74</v>
      </c>
      <c r="AZ291" t="s">
        <v>74</v>
      </c>
      <c r="BA291" t="s">
        <v>74</v>
      </c>
      <c r="BB291" t="s">
        <v>74</v>
      </c>
      <c r="BC291" t="s">
        <v>74</v>
      </c>
      <c r="BD291">
        <v>122928</v>
      </c>
      <c r="BE291" t="s">
        <v>5296</v>
      </c>
      <c r="BF291" t="str">
        <f>HYPERLINK("http://dx.doi.org/10.1016/j.saa.2023.122928","http://dx.doi.org/10.1016/j.saa.2023.122928")</f>
        <v>http://dx.doi.org/10.1016/j.saa.2023.122928</v>
      </c>
      <c r="BG291" t="s">
        <v>74</v>
      </c>
      <c r="BH291" t="s">
        <v>74</v>
      </c>
      <c r="BI291">
        <v>12</v>
      </c>
      <c r="BJ291" t="s">
        <v>1810</v>
      </c>
      <c r="BK291" t="s">
        <v>100</v>
      </c>
      <c r="BL291" t="s">
        <v>1810</v>
      </c>
      <c r="BM291" t="s">
        <v>5297</v>
      </c>
      <c r="BN291">
        <v>37311362</v>
      </c>
      <c r="BO291" t="s">
        <v>74</v>
      </c>
      <c r="BP291" t="s">
        <v>74</v>
      </c>
      <c r="BQ291" t="s">
        <v>74</v>
      </c>
      <c r="BR291" t="s">
        <v>104</v>
      </c>
      <c r="BS291" t="s">
        <v>5298</v>
      </c>
      <c r="BT291" t="str">
        <f>HYPERLINK("https%3A%2F%2Fwww.webofscience.com%2Fwos%2Fwoscc%2Ffull-record%2FWOS:001058393000001","View Full Record in Web of Science")</f>
        <v>View Full Record in Web of Science</v>
      </c>
    </row>
    <row r="292" spans="1:72" x14ac:dyDescent="0.15">
      <c r="A292" t="s">
        <v>72</v>
      </c>
      <c r="B292" t="s">
        <v>5299</v>
      </c>
      <c r="C292" t="s">
        <v>74</v>
      </c>
      <c r="D292" t="s">
        <v>74</v>
      </c>
      <c r="E292" t="s">
        <v>74</v>
      </c>
      <c r="F292" t="s">
        <v>5300</v>
      </c>
      <c r="G292" t="s">
        <v>74</v>
      </c>
      <c r="H292" t="s">
        <v>74</v>
      </c>
      <c r="I292" t="s">
        <v>5301</v>
      </c>
      <c r="J292" t="s">
        <v>5302</v>
      </c>
      <c r="K292" t="s">
        <v>74</v>
      </c>
      <c r="L292" t="s">
        <v>74</v>
      </c>
      <c r="M292" t="s">
        <v>78</v>
      </c>
      <c r="N292" t="s">
        <v>241</v>
      </c>
      <c r="O292" t="s">
        <v>74</v>
      </c>
      <c r="P292" t="s">
        <v>74</v>
      </c>
      <c r="Q292" t="s">
        <v>74</v>
      </c>
      <c r="R292" t="s">
        <v>74</v>
      </c>
      <c r="S292" t="s">
        <v>74</v>
      </c>
      <c r="T292" t="s">
        <v>5303</v>
      </c>
      <c r="U292" t="s">
        <v>5304</v>
      </c>
      <c r="V292" t="s">
        <v>5305</v>
      </c>
      <c r="W292" t="s">
        <v>5306</v>
      </c>
      <c r="X292" t="s">
        <v>5307</v>
      </c>
      <c r="Y292" t="s">
        <v>5308</v>
      </c>
      <c r="Z292" t="s">
        <v>5309</v>
      </c>
      <c r="AA292" t="s">
        <v>5310</v>
      </c>
      <c r="AB292" t="s">
        <v>5311</v>
      </c>
      <c r="AC292" t="s">
        <v>5312</v>
      </c>
      <c r="AD292" t="s">
        <v>5313</v>
      </c>
      <c r="AE292" t="s">
        <v>5314</v>
      </c>
      <c r="AF292" t="s">
        <v>74</v>
      </c>
      <c r="AG292">
        <v>119</v>
      </c>
      <c r="AH292">
        <v>0</v>
      </c>
      <c r="AI292">
        <v>0</v>
      </c>
      <c r="AJ292">
        <v>1</v>
      </c>
      <c r="AK292">
        <v>1</v>
      </c>
      <c r="AL292" t="s">
        <v>475</v>
      </c>
      <c r="AM292" t="s">
        <v>476</v>
      </c>
      <c r="AN292" t="s">
        <v>477</v>
      </c>
      <c r="AO292" t="s">
        <v>5315</v>
      </c>
      <c r="AP292" t="s">
        <v>5316</v>
      </c>
      <c r="AQ292" t="s">
        <v>74</v>
      </c>
      <c r="AR292" t="s">
        <v>5317</v>
      </c>
      <c r="AS292" t="s">
        <v>5318</v>
      </c>
      <c r="AT292" t="s">
        <v>5295</v>
      </c>
      <c r="AU292">
        <v>2023</v>
      </c>
      <c r="AV292">
        <v>237</v>
      </c>
      <c r="AW292" t="s">
        <v>74</v>
      </c>
      <c r="AX292">
        <v>1</v>
      </c>
      <c r="AY292" t="s">
        <v>74</v>
      </c>
      <c r="AZ292" t="s">
        <v>74</v>
      </c>
      <c r="BA292" t="s">
        <v>74</v>
      </c>
      <c r="BB292" t="s">
        <v>74</v>
      </c>
      <c r="BC292" t="s">
        <v>74</v>
      </c>
      <c r="BD292">
        <v>116876</v>
      </c>
      <c r="BE292" t="s">
        <v>5319</v>
      </c>
      <c r="BF292" t="str">
        <f>HYPERLINK("http://dx.doi.org/10.1016/j.envres.2023.116876","http://dx.doi.org/10.1016/j.envres.2023.116876")</f>
        <v>http://dx.doi.org/10.1016/j.envres.2023.116876</v>
      </c>
      <c r="BG292" t="s">
        <v>74</v>
      </c>
      <c r="BH292" t="s">
        <v>74</v>
      </c>
      <c r="BI292">
        <v>12</v>
      </c>
      <c r="BJ292" t="s">
        <v>5320</v>
      </c>
      <c r="BK292" t="s">
        <v>100</v>
      </c>
      <c r="BL292" t="s">
        <v>5321</v>
      </c>
      <c r="BM292" t="s">
        <v>5322</v>
      </c>
      <c r="BN292">
        <v>37573021</v>
      </c>
      <c r="BO292" t="s">
        <v>74</v>
      </c>
      <c r="BP292" t="s">
        <v>74</v>
      </c>
      <c r="BQ292" t="s">
        <v>74</v>
      </c>
      <c r="BR292" t="s">
        <v>104</v>
      </c>
      <c r="BS292" t="s">
        <v>5323</v>
      </c>
      <c r="BT292" t="str">
        <f>HYPERLINK("https%3A%2F%2Fwww.webofscience.com%2Fwos%2Fwoscc%2Ffull-record%2FWOS:001060838800001","View Full Record in Web of Science")</f>
        <v>View Full Record in Web of Science</v>
      </c>
    </row>
    <row r="293" spans="1:72" x14ac:dyDescent="0.15">
      <c r="A293" t="s">
        <v>72</v>
      </c>
      <c r="B293" t="s">
        <v>5324</v>
      </c>
      <c r="C293" t="s">
        <v>74</v>
      </c>
      <c r="D293" t="s">
        <v>74</v>
      </c>
      <c r="E293" t="s">
        <v>74</v>
      </c>
      <c r="F293" t="s">
        <v>5325</v>
      </c>
      <c r="G293" t="s">
        <v>74</v>
      </c>
      <c r="H293" t="s">
        <v>74</v>
      </c>
      <c r="I293" t="s">
        <v>5326</v>
      </c>
      <c r="J293" t="s">
        <v>5327</v>
      </c>
      <c r="K293" t="s">
        <v>74</v>
      </c>
      <c r="L293" t="s">
        <v>74</v>
      </c>
      <c r="M293" t="s">
        <v>78</v>
      </c>
      <c r="N293" t="s">
        <v>79</v>
      </c>
      <c r="O293" t="s">
        <v>74</v>
      </c>
      <c r="P293" t="s">
        <v>74</v>
      </c>
      <c r="Q293" t="s">
        <v>74</v>
      </c>
      <c r="R293" t="s">
        <v>74</v>
      </c>
      <c r="S293" t="s">
        <v>74</v>
      </c>
      <c r="T293" t="s">
        <v>5328</v>
      </c>
      <c r="U293" t="s">
        <v>5329</v>
      </c>
      <c r="V293" t="s">
        <v>5330</v>
      </c>
      <c r="W293" t="s">
        <v>5331</v>
      </c>
      <c r="X293" t="s">
        <v>5332</v>
      </c>
      <c r="Y293" t="s">
        <v>5333</v>
      </c>
      <c r="Z293" t="s">
        <v>5334</v>
      </c>
      <c r="AA293" t="s">
        <v>5335</v>
      </c>
      <c r="AB293" t="s">
        <v>5336</v>
      </c>
      <c r="AC293" t="s">
        <v>5337</v>
      </c>
      <c r="AD293" t="s">
        <v>5338</v>
      </c>
      <c r="AE293" t="s">
        <v>5339</v>
      </c>
      <c r="AF293" t="s">
        <v>74</v>
      </c>
      <c r="AG293">
        <v>57</v>
      </c>
      <c r="AH293">
        <v>0</v>
      </c>
      <c r="AI293">
        <v>0</v>
      </c>
      <c r="AJ293">
        <v>2</v>
      </c>
      <c r="AK293">
        <v>2</v>
      </c>
      <c r="AL293" t="s">
        <v>475</v>
      </c>
      <c r="AM293" t="s">
        <v>476</v>
      </c>
      <c r="AN293" t="s">
        <v>477</v>
      </c>
      <c r="AO293" t="s">
        <v>5340</v>
      </c>
      <c r="AP293" t="s">
        <v>5341</v>
      </c>
      <c r="AQ293" t="s">
        <v>74</v>
      </c>
      <c r="AR293" t="s">
        <v>5342</v>
      </c>
      <c r="AS293" t="s">
        <v>5343</v>
      </c>
      <c r="AT293" t="s">
        <v>5295</v>
      </c>
      <c r="AU293">
        <v>2023</v>
      </c>
      <c r="AV293">
        <v>373</v>
      </c>
      <c r="AW293" t="s">
        <v>74</v>
      </c>
      <c r="AX293" t="s">
        <v>74</v>
      </c>
      <c r="AY293" t="s">
        <v>74</v>
      </c>
      <c r="AZ293" t="s">
        <v>74</v>
      </c>
      <c r="BA293" t="s">
        <v>74</v>
      </c>
      <c r="BB293">
        <v>1</v>
      </c>
      <c r="BC293">
        <v>47</v>
      </c>
      <c r="BD293" t="s">
        <v>74</v>
      </c>
      <c r="BE293" t="s">
        <v>5344</v>
      </c>
      <c r="BF293" t="str">
        <f>HYPERLINK("http://dx.doi.org/10.1016/j.jde.2023.07.010","http://dx.doi.org/10.1016/j.jde.2023.07.010")</f>
        <v>http://dx.doi.org/10.1016/j.jde.2023.07.010</v>
      </c>
      <c r="BG293" t="s">
        <v>74</v>
      </c>
      <c r="BH293" t="s">
        <v>74</v>
      </c>
      <c r="BI293">
        <v>47</v>
      </c>
      <c r="BJ293" t="s">
        <v>101</v>
      </c>
      <c r="BK293" t="s">
        <v>100</v>
      </c>
      <c r="BL293" t="s">
        <v>101</v>
      </c>
      <c r="BM293" t="s">
        <v>5345</v>
      </c>
      <c r="BN293" t="s">
        <v>74</v>
      </c>
      <c r="BO293" t="s">
        <v>1582</v>
      </c>
      <c r="BP293" t="s">
        <v>74</v>
      </c>
      <c r="BQ293" t="s">
        <v>74</v>
      </c>
      <c r="BR293" t="s">
        <v>104</v>
      </c>
      <c r="BS293" t="s">
        <v>5346</v>
      </c>
      <c r="BT293" t="str">
        <f>HYPERLINK("https%3A%2F%2Fwww.webofscience.com%2Fwos%2Fwoscc%2Ffull-record%2FWOS:001046913700001","View Full Record in Web of Science")</f>
        <v>View Full Record in Web of Science</v>
      </c>
    </row>
    <row r="294" spans="1:72" x14ac:dyDescent="0.15">
      <c r="A294" t="s">
        <v>72</v>
      </c>
      <c r="B294" t="s">
        <v>5347</v>
      </c>
      <c r="C294" t="s">
        <v>74</v>
      </c>
      <c r="D294" t="s">
        <v>74</v>
      </c>
      <c r="E294" t="s">
        <v>74</v>
      </c>
      <c r="F294" t="s">
        <v>5348</v>
      </c>
      <c r="G294" t="s">
        <v>74</v>
      </c>
      <c r="H294" t="s">
        <v>74</v>
      </c>
      <c r="I294" t="s">
        <v>5349</v>
      </c>
      <c r="J294" t="s">
        <v>5350</v>
      </c>
      <c r="K294" t="s">
        <v>74</v>
      </c>
      <c r="L294" t="s">
        <v>74</v>
      </c>
      <c r="M294" t="s">
        <v>78</v>
      </c>
      <c r="N294" t="s">
        <v>241</v>
      </c>
      <c r="O294" t="s">
        <v>74</v>
      </c>
      <c r="P294" t="s">
        <v>74</v>
      </c>
      <c r="Q294" t="s">
        <v>74</v>
      </c>
      <c r="R294" t="s">
        <v>74</v>
      </c>
      <c r="S294" t="s">
        <v>74</v>
      </c>
      <c r="T294" t="s">
        <v>5351</v>
      </c>
      <c r="U294" t="s">
        <v>5352</v>
      </c>
      <c r="V294" t="s">
        <v>5353</v>
      </c>
      <c r="W294" t="s">
        <v>5354</v>
      </c>
      <c r="X294" t="s">
        <v>5355</v>
      </c>
      <c r="Y294" t="s">
        <v>5356</v>
      </c>
      <c r="Z294" t="s">
        <v>5357</v>
      </c>
      <c r="AA294" t="s">
        <v>5358</v>
      </c>
      <c r="AB294" t="s">
        <v>5359</v>
      </c>
      <c r="AC294" t="s">
        <v>5360</v>
      </c>
      <c r="AD294" t="s">
        <v>5360</v>
      </c>
      <c r="AE294" t="s">
        <v>5361</v>
      </c>
      <c r="AF294" t="s">
        <v>74</v>
      </c>
      <c r="AG294">
        <v>200</v>
      </c>
      <c r="AH294">
        <v>0</v>
      </c>
      <c r="AI294">
        <v>0</v>
      </c>
      <c r="AJ294">
        <v>1</v>
      </c>
      <c r="AK294">
        <v>1</v>
      </c>
      <c r="AL294" t="s">
        <v>90</v>
      </c>
      <c r="AM294" t="s">
        <v>91</v>
      </c>
      <c r="AN294" t="s">
        <v>92</v>
      </c>
      <c r="AO294" t="s">
        <v>5362</v>
      </c>
      <c r="AP294" t="s">
        <v>5363</v>
      </c>
      <c r="AQ294" t="s">
        <v>74</v>
      </c>
      <c r="AR294" t="s">
        <v>5364</v>
      </c>
      <c r="AS294" t="s">
        <v>5365</v>
      </c>
      <c r="AT294" t="s">
        <v>5295</v>
      </c>
      <c r="AU294">
        <v>2023</v>
      </c>
      <c r="AV294">
        <v>1819</v>
      </c>
      <c r="AW294" t="s">
        <v>74</v>
      </c>
      <c r="AX294" t="s">
        <v>74</v>
      </c>
      <c r="AY294" t="s">
        <v>74</v>
      </c>
      <c r="AZ294" t="s">
        <v>74</v>
      </c>
      <c r="BA294" t="s">
        <v>74</v>
      </c>
      <c r="BB294" t="s">
        <v>74</v>
      </c>
      <c r="BC294" t="s">
        <v>74</v>
      </c>
      <c r="BD294">
        <v>148533</v>
      </c>
      <c r="BE294" t="s">
        <v>5366</v>
      </c>
      <c r="BF294" t="str">
        <f>HYPERLINK("http://dx.doi.org/10.1016/j.brainres.2023.148533","http://dx.doi.org/10.1016/j.brainres.2023.148533")</f>
        <v>http://dx.doi.org/10.1016/j.brainres.2023.148533</v>
      </c>
      <c r="BG294" t="s">
        <v>74</v>
      </c>
      <c r="BH294" t="s">
        <v>74</v>
      </c>
      <c r="BI294">
        <v>13</v>
      </c>
      <c r="BJ294" t="s">
        <v>5367</v>
      </c>
      <c r="BK294" t="s">
        <v>100</v>
      </c>
      <c r="BL294" t="s">
        <v>4189</v>
      </c>
      <c r="BM294" t="s">
        <v>5368</v>
      </c>
      <c r="BN294">
        <v>37586675</v>
      </c>
      <c r="BO294" t="s">
        <v>74</v>
      </c>
      <c r="BP294" t="s">
        <v>74</v>
      </c>
      <c r="BQ294" t="s">
        <v>74</v>
      </c>
      <c r="BR294" t="s">
        <v>104</v>
      </c>
      <c r="BS294" t="s">
        <v>5369</v>
      </c>
      <c r="BT294" t="str">
        <f>HYPERLINK("https%3A%2F%2Fwww.webofscience.com%2Fwos%2Fwoscc%2Ffull-record%2FWOS:001060918700001","View Full Record in Web of Science")</f>
        <v>View Full Record in Web of Science</v>
      </c>
    </row>
    <row r="295" spans="1:72" x14ac:dyDescent="0.15">
      <c r="A295" t="s">
        <v>72</v>
      </c>
      <c r="B295" t="s">
        <v>5370</v>
      </c>
      <c r="C295" t="s">
        <v>74</v>
      </c>
      <c r="D295" t="s">
        <v>74</v>
      </c>
      <c r="E295" t="s">
        <v>74</v>
      </c>
      <c r="F295" t="s">
        <v>5371</v>
      </c>
      <c r="G295" t="s">
        <v>74</v>
      </c>
      <c r="H295" t="s">
        <v>74</v>
      </c>
      <c r="I295" t="s">
        <v>5372</v>
      </c>
      <c r="J295" t="s">
        <v>1950</v>
      </c>
      <c r="K295" t="s">
        <v>74</v>
      </c>
      <c r="L295" t="s">
        <v>74</v>
      </c>
      <c r="M295" t="s">
        <v>78</v>
      </c>
      <c r="N295" t="s">
        <v>79</v>
      </c>
      <c r="O295" t="s">
        <v>74</v>
      </c>
      <c r="P295" t="s">
        <v>74</v>
      </c>
      <c r="Q295" t="s">
        <v>74</v>
      </c>
      <c r="R295" t="s">
        <v>74</v>
      </c>
      <c r="S295" t="s">
        <v>74</v>
      </c>
      <c r="T295" t="s">
        <v>5373</v>
      </c>
      <c r="U295" t="s">
        <v>5374</v>
      </c>
      <c r="V295" t="s">
        <v>5375</v>
      </c>
      <c r="W295" t="s">
        <v>5376</v>
      </c>
      <c r="X295" t="s">
        <v>5377</v>
      </c>
      <c r="Y295" t="s">
        <v>5378</v>
      </c>
      <c r="Z295" t="s">
        <v>5379</v>
      </c>
      <c r="AA295" t="s">
        <v>74</v>
      </c>
      <c r="AB295" t="s">
        <v>5380</v>
      </c>
      <c r="AC295" t="s">
        <v>5381</v>
      </c>
      <c r="AD295" t="s">
        <v>5382</v>
      </c>
      <c r="AE295" t="s">
        <v>5383</v>
      </c>
      <c r="AF295" t="s">
        <v>74</v>
      </c>
      <c r="AG295">
        <v>60</v>
      </c>
      <c r="AH295">
        <v>0</v>
      </c>
      <c r="AI295">
        <v>0</v>
      </c>
      <c r="AJ295">
        <v>9</v>
      </c>
      <c r="AK295">
        <v>9</v>
      </c>
      <c r="AL295" t="s">
        <v>173</v>
      </c>
      <c r="AM295" t="s">
        <v>121</v>
      </c>
      <c r="AN295" t="s">
        <v>174</v>
      </c>
      <c r="AO295" t="s">
        <v>1963</v>
      </c>
      <c r="AP295" t="s">
        <v>1964</v>
      </c>
      <c r="AQ295" t="s">
        <v>74</v>
      </c>
      <c r="AR295" t="s">
        <v>1950</v>
      </c>
      <c r="AS295" t="s">
        <v>1965</v>
      </c>
      <c r="AT295" t="s">
        <v>5295</v>
      </c>
      <c r="AU295">
        <v>2023</v>
      </c>
      <c r="AV295">
        <v>283</v>
      </c>
      <c r="AW295" t="s">
        <v>74</v>
      </c>
      <c r="AX295" t="s">
        <v>74</v>
      </c>
      <c r="AY295" t="s">
        <v>74</v>
      </c>
      <c r="AZ295" t="s">
        <v>74</v>
      </c>
      <c r="BA295" t="s">
        <v>74</v>
      </c>
      <c r="BB295" t="s">
        <v>74</v>
      </c>
      <c r="BC295" t="s">
        <v>74</v>
      </c>
      <c r="BD295">
        <v>128471</v>
      </c>
      <c r="BE295" t="s">
        <v>5384</v>
      </c>
      <c r="BF295" t="str">
        <f>HYPERLINK("http://dx.doi.org/10.1016/j.energy.2023.128471","http://dx.doi.org/10.1016/j.energy.2023.128471")</f>
        <v>http://dx.doi.org/10.1016/j.energy.2023.128471</v>
      </c>
      <c r="BG295" t="s">
        <v>74</v>
      </c>
      <c r="BH295" t="s">
        <v>74</v>
      </c>
      <c r="BI295">
        <v>15</v>
      </c>
      <c r="BJ295" t="s">
        <v>1967</v>
      </c>
      <c r="BK295" t="s">
        <v>100</v>
      </c>
      <c r="BL295" t="s">
        <v>1967</v>
      </c>
      <c r="BM295" t="s">
        <v>5385</v>
      </c>
      <c r="BN295" t="s">
        <v>74</v>
      </c>
      <c r="BO295" t="s">
        <v>74</v>
      </c>
      <c r="BP295" t="s">
        <v>74</v>
      </c>
      <c r="BQ295" t="s">
        <v>74</v>
      </c>
      <c r="BR295" t="s">
        <v>104</v>
      </c>
      <c r="BS295" t="s">
        <v>5386</v>
      </c>
      <c r="BT295" t="str">
        <f>HYPERLINK("https%3A%2F%2Fwww.webofscience.com%2Fwos%2Fwoscc%2Ffull-record%2FWOS:001048556000001","View Full Record in Web of Science")</f>
        <v>View Full Record in Web of Science</v>
      </c>
    </row>
    <row r="296" spans="1:72" x14ac:dyDescent="0.15">
      <c r="A296" t="s">
        <v>72</v>
      </c>
      <c r="B296" t="s">
        <v>5387</v>
      </c>
      <c r="C296" t="s">
        <v>74</v>
      </c>
      <c r="D296" t="s">
        <v>74</v>
      </c>
      <c r="E296" t="s">
        <v>74</v>
      </c>
      <c r="F296" t="s">
        <v>5388</v>
      </c>
      <c r="G296" t="s">
        <v>74</v>
      </c>
      <c r="H296" t="s">
        <v>74</v>
      </c>
      <c r="I296" t="s">
        <v>5389</v>
      </c>
      <c r="J296" t="s">
        <v>1401</v>
      </c>
      <c r="K296" t="s">
        <v>74</v>
      </c>
      <c r="L296" t="s">
        <v>74</v>
      </c>
      <c r="M296" t="s">
        <v>78</v>
      </c>
      <c r="N296" t="s">
        <v>79</v>
      </c>
      <c r="O296" t="s">
        <v>74</v>
      </c>
      <c r="P296" t="s">
        <v>74</v>
      </c>
      <c r="Q296" t="s">
        <v>74</v>
      </c>
      <c r="R296" t="s">
        <v>74</v>
      </c>
      <c r="S296" t="s">
        <v>74</v>
      </c>
      <c r="T296" t="s">
        <v>5390</v>
      </c>
      <c r="U296" t="s">
        <v>5391</v>
      </c>
      <c r="V296" t="s">
        <v>5392</v>
      </c>
      <c r="W296" t="s">
        <v>5393</v>
      </c>
      <c r="X296" t="s">
        <v>5394</v>
      </c>
      <c r="Y296" t="s">
        <v>5395</v>
      </c>
      <c r="Z296" t="s">
        <v>5396</v>
      </c>
      <c r="AA296" t="s">
        <v>74</v>
      </c>
      <c r="AB296" t="s">
        <v>74</v>
      </c>
      <c r="AC296" t="s">
        <v>5397</v>
      </c>
      <c r="AD296" t="s">
        <v>5398</v>
      </c>
      <c r="AE296" t="s">
        <v>5399</v>
      </c>
      <c r="AF296" t="s">
        <v>74</v>
      </c>
      <c r="AG296">
        <v>52</v>
      </c>
      <c r="AH296">
        <v>1</v>
      </c>
      <c r="AI296">
        <v>1</v>
      </c>
      <c r="AJ296">
        <v>36</v>
      </c>
      <c r="AK296">
        <v>36</v>
      </c>
      <c r="AL296" t="s">
        <v>475</v>
      </c>
      <c r="AM296" t="s">
        <v>476</v>
      </c>
      <c r="AN296" t="s">
        <v>477</v>
      </c>
      <c r="AO296" t="s">
        <v>1412</v>
      </c>
      <c r="AP296" t="s">
        <v>1413</v>
      </c>
      <c r="AQ296" t="s">
        <v>74</v>
      </c>
      <c r="AR296" t="s">
        <v>1414</v>
      </c>
      <c r="AS296" t="s">
        <v>1415</v>
      </c>
      <c r="AT296" t="s">
        <v>5295</v>
      </c>
      <c r="AU296">
        <v>2023</v>
      </c>
      <c r="AV296">
        <v>650</v>
      </c>
      <c r="AW296" t="s">
        <v>74</v>
      </c>
      <c r="AX296" t="s">
        <v>337</v>
      </c>
      <c r="AY296" t="s">
        <v>74</v>
      </c>
      <c r="AZ296" t="s">
        <v>74</v>
      </c>
      <c r="BA296" t="s">
        <v>74</v>
      </c>
      <c r="BB296">
        <v>728</v>
      </c>
      <c r="BC296">
        <v>741</v>
      </c>
      <c r="BD296" t="s">
        <v>74</v>
      </c>
      <c r="BE296" t="s">
        <v>5400</v>
      </c>
      <c r="BF296" t="str">
        <f>HYPERLINK("http://dx.doi.org/10.1016/j.jcis.2023.07.036","http://dx.doi.org/10.1016/j.jcis.2023.07.036")</f>
        <v>http://dx.doi.org/10.1016/j.jcis.2023.07.036</v>
      </c>
      <c r="BG296" t="s">
        <v>74</v>
      </c>
      <c r="BH296" t="s">
        <v>74</v>
      </c>
      <c r="BI296">
        <v>14</v>
      </c>
      <c r="BJ296" t="s">
        <v>394</v>
      </c>
      <c r="BK296" t="s">
        <v>100</v>
      </c>
      <c r="BL296" t="s">
        <v>395</v>
      </c>
      <c r="BM296" t="s">
        <v>5401</v>
      </c>
      <c r="BN296">
        <v>37441966</v>
      </c>
      <c r="BO296" t="s">
        <v>74</v>
      </c>
      <c r="BP296" t="s">
        <v>74</v>
      </c>
      <c r="BQ296" t="s">
        <v>74</v>
      </c>
      <c r="BR296" t="s">
        <v>104</v>
      </c>
      <c r="BS296" t="s">
        <v>5402</v>
      </c>
      <c r="BT296" t="str">
        <f>HYPERLINK("https%3A%2F%2Fwww.webofscience.com%2Fwos%2Fwoscc%2Ffull-record%2FWOS:001049362700001","View Full Record in Web of Science")</f>
        <v>View Full Record in Web of Science</v>
      </c>
    </row>
    <row r="297" spans="1:72" x14ac:dyDescent="0.15">
      <c r="A297" t="s">
        <v>72</v>
      </c>
      <c r="B297" t="s">
        <v>5403</v>
      </c>
      <c r="C297" t="s">
        <v>74</v>
      </c>
      <c r="D297" t="s">
        <v>74</v>
      </c>
      <c r="E297" t="s">
        <v>74</v>
      </c>
      <c r="F297" t="s">
        <v>5404</v>
      </c>
      <c r="G297" t="s">
        <v>74</v>
      </c>
      <c r="H297" t="s">
        <v>74</v>
      </c>
      <c r="I297" t="s">
        <v>5405</v>
      </c>
      <c r="J297" t="s">
        <v>5406</v>
      </c>
      <c r="K297" t="s">
        <v>74</v>
      </c>
      <c r="L297" t="s">
        <v>74</v>
      </c>
      <c r="M297" t="s">
        <v>78</v>
      </c>
      <c r="N297" t="s">
        <v>79</v>
      </c>
      <c r="O297" t="s">
        <v>74</v>
      </c>
      <c r="P297" t="s">
        <v>74</v>
      </c>
      <c r="Q297" t="s">
        <v>74</v>
      </c>
      <c r="R297" t="s">
        <v>74</v>
      </c>
      <c r="S297" t="s">
        <v>74</v>
      </c>
      <c r="T297" t="s">
        <v>5407</v>
      </c>
      <c r="U297" t="s">
        <v>74</v>
      </c>
      <c r="V297" t="s">
        <v>5408</v>
      </c>
      <c r="W297" t="s">
        <v>5409</v>
      </c>
      <c r="X297" t="s">
        <v>5410</v>
      </c>
      <c r="Y297" t="s">
        <v>5411</v>
      </c>
      <c r="Z297" t="s">
        <v>5412</v>
      </c>
      <c r="AA297" t="s">
        <v>74</v>
      </c>
      <c r="AB297" t="s">
        <v>74</v>
      </c>
      <c r="AC297" t="s">
        <v>5413</v>
      </c>
      <c r="AD297" t="s">
        <v>252</v>
      </c>
      <c r="AE297" t="s">
        <v>5414</v>
      </c>
      <c r="AF297" t="s">
        <v>74</v>
      </c>
      <c r="AG297">
        <v>24</v>
      </c>
      <c r="AH297">
        <v>0</v>
      </c>
      <c r="AI297">
        <v>0</v>
      </c>
      <c r="AJ297">
        <v>0</v>
      </c>
      <c r="AK297">
        <v>0</v>
      </c>
      <c r="AL297" t="s">
        <v>120</v>
      </c>
      <c r="AM297" t="s">
        <v>121</v>
      </c>
      <c r="AN297" t="s">
        <v>122</v>
      </c>
      <c r="AO297" t="s">
        <v>5415</v>
      </c>
      <c r="AP297" t="s">
        <v>5416</v>
      </c>
      <c r="AQ297" t="s">
        <v>74</v>
      </c>
      <c r="AR297" t="s">
        <v>5406</v>
      </c>
      <c r="AS297" t="s">
        <v>5417</v>
      </c>
      <c r="AT297" t="s">
        <v>5295</v>
      </c>
      <c r="AU297">
        <v>2023</v>
      </c>
      <c r="AV297">
        <v>221</v>
      </c>
      <c r="AW297" t="s">
        <v>74</v>
      </c>
      <c r="AX297" t="s">
        <v>74</v>
      </c>
      <c r="AY297" t="s">
        <v>74</v>
      </c>
      <c r="AZ297" t="s">
        <v>74</v>
      </c>
      <c r="BA297" t="s">
        <v>74</v>
      </c>
      <c r="BB297" t="s">
        <v>74</v>
      </c>
      <c r="BC297" t="s">
        <v>74</v>
      </c>
      <c r="BD297">
        <v>113474</v>
      </c>
      <c r="BE297" t="s">
        <v>5418</v>
      </c>
      <c r="BF297" t="str">
        <f>HYPERLINK("http://dx.doi.org/10.1016/j.measurement.2023.113474","http://dx.doi.org/10.1016/j.measurement.2023.113474")</f>
        <v>http://dx.doi.org/10.1016/j.measurement.2023.113474</v>
      </c>
      <c r="BG297" t="s">
        <v>74</v>
      </c>
      <c r="BH297" t="s">
        <v>74</v>
      </c>
      <c r="BI297">
        <v>14</v>
      </c>
      <c r="BJ297" t="s">
        <v>5419</v>
      </c>
      <c r="BK297" t="s">
        <v>100</v>
      </c>
      <c r="BL297" t="s">
        <v>5420</v>
      </c>
      <c r="BM297" t="s">
        <v>5421</v>
      </c>
      <c r="BN297" t="s">
        <v>74</v>
      </c>
      <c r="BO297" t="s">
        <v>74</v>
      </c>
      <c r="BP297" t="s">
        <v>74</v>
      </c>
      <c r="BQ297" t="s">
        <v>74</v>
      </c>
      <c r="BR297" t="s">
        <v>104</v>
      </c>
      <c r="BS297" t="s">
        <v>5422</v>
      </c>
      <c r="BT297" t="str">
        <f>HYPERLINK("https%3A%2F%2Fwww.webofscience.com%2Fwos%2Fwoscc%2Ffull-record%2FWOS:001069294900001","View Full Record in Web of Science")</f>
        <v>View Full Record in Web of Science</v>
      </c>
    </row>
    <row r="298" spans="1:72" x14ac:dyDescent="0.15">
      <c r="A298" t="s">
        <v>72</v>
      </c>
      <c r="B298" t="s">
        <v>5423</v>
      </c>
      <c r="C298" t="s">
        <v>74</v>
      </c>
      <c r="D298" t="s">
        <v>74</v>
      </c>
      <c r="E298" t="s">
        <v>74</v>
      </c>
      <c r="F298" t="s">
        <v>5424</v>
      </c>
      <c r="G298" t="s">
        <v>74</v>
      </c>
      <c r="H298" t="s">
        <v>74</v>
      </c>
      <c r="I298" t="s">
        <v>5425</v>
      </c>
      <c r="J298" t="s">
        <v>1950</v>
      </c>
      <c r="K298" t="s">
        <v>74</v>
      </c>
      <c r="L298" t="s">
        <v>74</v>
      </c>
      <c r="M298" t="s">
        <v>78</v>
      </c>
      <c r="N298" t="s">
        <v>79</v>
      </c>
      <c r="O298" t="s">
        <v>74</v>
      </c>
      <c r="P298" t="s">
        <v>74</v>
      </c>
      <c r="Q298" t="s">
        <v>74</v>
      </c>
      <c r="R298" t="s">
        <v>74</v>
      </c>
      <c r="S298" t="s">
        <v>74</v>
      </c>
      <c r="T298" t="s">
        <v>5426</v>
      </c>
      <c r="U298" t="s">
        <v>5427</v>
      </c>
      <c r="V298" t="s">
        <v>5428</v>
      </c>
      <c r="W298" t="s">
        <v>5429</v>
      </c>
      <c r="X298" t="s">
        <v>5430</v>
      </c>
      <c r="Y298" t="s">
        <v>5431</v>
      </c>
      <c r="Z298" t="s">
        <v>5432</v>
      </c>
      <c r="AA298" t="s">
        <v>74</v>
      </c>
      <c r="AB298" t="s">
        <v>5433</v>
      </c>
      <c r="AC298" t="s">
        <v>5434</v>
      </c>
      <c r="AD298" t="s">
        <v>5435</v>
      </c>
      <c r="AE298" t="s">
        <v>5436</v>
      </c>
      <c r="AF298" t="s">
        <v>74</v>
      </c>
      <c r="AG298">
        <v>42</v>
      </c>
      <c r="AH298">
        <v>0</v>
      </c>
      <c r="AI298">
        <v>0</v>
      </c>
      <c r="AJ298">
        <v>0</v>
      </c>
      <c r="AK298">
        <v>0</v>
      </c>
      <c r="AL298" t="s">
        <v>173</v>
      </c>
      <c r="AM298" t="s">
        <v>121</v>
      </c>
      <c r="AN298" t="s">
        <v>174</v>
      </c>
      <c r="AO298" t="s">
        <v>1963</v>
      </c>
      <c r="AP298" t="s">
        <v>1964</v>
      </c>
      <c r="AQ298" t="s">
        <v>74</v>
      </c>
      <c r="AR298" t="s">
        <v>1950</v>
      </c>
      <c r="AS298" t="s">
        <v>1965</v>
      </c>
      <c r="AT298" t="s">
        <v>5295</v>
      </c>
      <c r="AU298">
        <v>2023</v>
      </c>
      <c r="AV298">
        <v>283</v>
      </c>
      <c r="AW298" t="s">
        <v>74</v>
      </c>
      <c r="AX298" t="s">
        <v>74</v>
      </c>
      <c r="AY298" t="s">
        <v>74</v>
      </c>
      <c r="AZ298" t="s">
        <v>74</v>
      </c>
      <c r="BA298" t="s">
        <v>74</v>
      </c>
      <c r="BB298" t="s">
        <v>74</v>
      </c>
      <c r="BC298" t="s">
        <v>74</v>
      </c>
      <c r="BD298">
        <v>128718</v>
      </c>
      <c r="BE298" t="s">
        <v>5437</v>
      </c>
      <c r="BF298" t="str">
        <f>HYPERLINK("http://dx.doi.org/10.1016/j.energy.2023.128718","http://dx.doi.org/10.1016/j.energy.2023.128718")</f>
        <v>http://dx.doi.org/10.1016/j.energy.2023.128718</v>
      </c>
      <c r="BG298" t="s">
        <v>74</v>
      </c>
      <c r="BH298" t="s">
        <v>74</v>
      </c>
      <c r="BI298">
        <v>11</v>
      </c>
      <c r="BJ298" t="s">
        <v>1967</v>
      </c>
      <c r="BK298" t="s">
        <v>100</v>
      </c>
      <c r="BL298" t="s">
        <v>1967</v>
      </c>
      <c r="BM298" t="s">
        <v>5438</v>
      </c>
      <c r="BN298" t="s">
        <v>74</v>
      </c>
      <c r="BO298" t="s">
        <v>74</v>
      </c>
      <c r="BP298" t="s">
        <v>74</v>
      </c>
      <c r="BQ298" t="s">
        <v>74</v>
      </c>
      <c r="BR298" t="s">
        <v>104</v>
      </c>
      <c r="BS298" t="s">
        <v>5439</v>
      </c>
      <c r="BT298" t="str">
        <f>HYPERLINK("https%3A%2F%2Fwww.webofscience.com%2Fwos%2Fwoscc%2Ffull-record%2FWOS:001059237900001","View Full Record in Web of Science")</f>
        <v>View Full Record in Web of Science</v>
      </c>
    </row>
    <row r="299" spans="1:72" x14ac:dyDescent="0.15">
      <c r="A299" t="s">
        <v>72</v>
      </c>
      <c r="B299" t="s">
        <v>5440</v>
      </c>
      <c r="C299" t="s">
        <v>74</v>
      </c>
      <c r="D299" t="s">
        <v>74</v>
      </c>
      <c r="E299" t="s">
        <v>74</v>
      </c>
      <c r="F299" t="s">
        <v>5441</v>
      </c>
      <c r="G299" t="s">
        <v>74</v>
      </c>
      <c r="H299" t="s">
        <v>74</v>
      </c>
      <c r="I299" t="s">
        <v>5442</v>
      </c>
      <c r="J299" t="s">
        <v>5443</v>
      </c>
      <c r="K299" t="s">
        <v>74</v>
      </c>
      <c r="L299" t="s">
        <v>74</v>
      </c>
      <c r="M299" t="s">
        <v>78</v>
      </c>
      <c r="N299" t="s">
        <v>79</v>
      </c>
      <c r="O299" t="s">
        <v>74</v>
      </c>
      <c r="P299" t="s">
        <v>74</v>
      </c>
      <c r="Q299" t="s">
        <v>74</v>
      </c>
      <c r="R299" t="s">
        <v>74</v>
      </c>
      <c r="S299" t="s">
        <v>74</v>
      </c>
      <c r="T299" t="s">
        <v>5444</v>
      </c>
      <c r="U299" t="s">
        <v>5445</v>
      </c>
      <c r="V299" t="s">
        <v>5446</v>
      </c>
      <c r="W299" t="s">
        <v>5447</v>
      </c>
      <c r="X299" t="s">
        <v>5448</v>
      </c>
      <c r="Y299" t="s">
        <v>5449</v>
      </c>
      <c r="Z299" t="s">
        <v>5450</v>
      </c>
      <c r="AA299" t="s">
        <v>74</v>
      </c>
      <c r="AB299" t="s">
        <v>74</v>
      </c>
      <c r="AC299" t="s">
        <v>74</v>
      </c>
      <c r="AD299" t="s">
        <v>74</v>
      </c>
      <c r="AE299" t="s">
        <v>74</v>
      </c>
      <c r="AF299" t="s">
        <v>74</v>
      </c>
      <c r="AG299">
        <v>64</v>
      </c>
      <c r="AH299">
        <v>0</v>
      </c>
      <c r="AI299">
        <v>0</v>
      </c>
      <c r="AJ299">
        <v>5</v>
      </c>
      <c r="AK299">
        <v>5</v>
      </c>
      <c r="AL299" t="s">
        <v>120</v>
      </c>
      <c r="AM299" t="s">
        <v>121</v>
      </c>
      <c r="AN299" t="s">
        <v>122</v>
      </c>
      <c r="AO299" t="s">
        <v>5451</v>
      </c>
      <c r="AP299" t="s">
        <v>5452</v>
      </c>
      <c r="AQ299" t="s">
        <v>74</v>
      </c>
      <c r="AR299" t="s">
        <v>5453</v>
      </c>
      <c r="AS299" t="s">
        <v>5454</v>
      </c>
      <c r="AT299" t="s">
        <v>5295</v>
      </c>
      <c r="AU299">
        <v>2023</v>
      </c>
      <c r="AV299">
        <v>167</v>
      </c>
      <c r="AW299" t="s">
        <v>74</v>
      </c>
      <c r="AX299" t="s">
        <v>74</v>
      </c>
      <c r="AY299" t="s">
        <v>74</v>
      </c>
      <c r="AZ299" t="s">
        <v>74</v>
      </c>
      <c r="BA299" t="s">
        <v>74</v>
      </c>
      <c r="BB299" t="s">
        <v>74</v>
      </c>
      <c r="BC299" t="s">
        <v>74</v>
      </c>
      <c r="BD299">
        <v>107760</v>
      </c>
      <c r="BE299" t="s">
        <v>5455</v>
      </c>
      <c r="BF299" t="str">
        <f>HYPERLINK("http://dx.doi.org/10.1016/j.mssp.2023.107760","http://dx.doi.org/10.1016/j.mssp.2023.107760")</f>
        <v>http://dx.doi.org/10.1016/j.mssp.2023.107760</v>
      </c>
      <c r="BG299" t="s">
        <v>74</v>
      </c>
      <c r="BH299" t="s">
        <v>74</v>
      </c>
      <c r="BI299">
        <v>8</v>
      </c>
      <c r="BJ299" t="s">
        <v>5456</v>
      </c>
      <c r="BK299" t="s">
        <v>100</v>
      </c>
      <c r="BL299" t="s">
        <v>5457</v>
      </c>
      <c r="BM299" t="s">
        <v>5458</v>
      </c>
      <c r="BN299" t="s">
        <v>74</v>
      </c>
      <c r="BO299" t="s">
        <v>74</v>
      </c>
      <c r="BP299" t="s">
        <v>74</v>
      </c>
      <c r="BQ299" t="s">
        <v>74</v>
      </c>
      <c r="BR299" t="s">
        <v>104</v>
      </c>
      <c r="BS299" t="s">
        <v>5459</v>
      </c>
      <c r="BT299" t="str">
        <f>HYPERLINK("https%3A%2F%2Fwww.webofscience.com%2Fwos%2Fwoscc%2Ffull-record%2FWOS:001053642200001","View Full Record in Web of Science")</f>
        <v>View Full Record in Web of Science</v>
      </c>
    </row>
    <row r="300" spans="1:72" x14ac:dyDescent="0.15">
      <c r="A300" t="s">
        <v>72</v>
      </c>
      <c r="B300" t="s">
        <v>5460</v>
      </c>
      <c r="C300" t="s">
        <v>74</v>
      </c>
      <c r="D300" t="s">
        <v>74</v>
      </c>
      <c r="E300" t="s">
        <v>74</v>
      </c>
      <c r="F300" t="s">
        <v>5461</v>
      </c>
      <c r="G300" t="s">
        <v>74</v>
      </c>
      <c r="H300" t="s">
        <v>74</v>
      </c>
      <c r="I300" t="s">
        <v>5462</v>
      </c>
      <c r="J300" t="s">
        <v>1524</v>
      </c>
      <c r="K300" t="s">
        <v>74</v>
      </c>
      <c r="L300" t="s">
        <v>74</v>
      </c>
      <c r="M300" t="s">
        <v>78</v>
      </c>
      <c r="N300" t="s">
        <v>79</v>
      </c>
      <c r="O300" t="s">
        <v>74</v>
      </c>
      <c r="P300" t="s">
        <v>74</v>
      </c>
      <c r="Q300" t="s">
        <v>74</v>
      </c>
      <c r="R300" t="s">
        <v>74</v>
      </c>
      <c r="S300" t="s">
        <v>74</v>
      </c>
      <c r="T300" t="s">
        <v>5463</v>
      </c>
      <c r="U300" t="s">
        <v>5464</v>
      </c>
      <c r="V300" t="s">
        <v>5465</v>
      </c>
      <c r="W300" t="s">
        <v>5466</v>
      </c>
      <c r="X300" t="s">
        <v>5467</v>
      </c>
      <c r="Y300" t="s">
        <v>5468</v>
      </c>
      <c r="Z300" t="s">
        <v>5469</v>
      </c>
      <c r="AA300" t="s">
        <v>5470</v>
      </c>
      <c r="AB300" t="s">
        <v>5471</v>
      </c>
      <c r="AC300" t="s">
        <v>5472</v>
      </c>
      <c r="AD300" t="s">
        <v>5473</v>
      </c>
      <c r="AE300" t="s">
        <v>5474</v>
      </c>
      <c r="AF300" t="s">
        <v>74</v>
      </c>
      <c r="AG300">
        <v>74</v>
      </c>
      <c r="AH300">
        <v>0</v>
      </c>
      <c r="AI300">
        <v>0</v>
      </c>
      <c r="AJ300">
        <v>26</v>
      </c>
      <c r="AK300">
        <v>26</v>
      </c>
      <c r="AL300" t="s">
        <v>90</v>
      </c>
      <c r="AM300" t="s">
        <v>91</v>
      </c>
      <c r="AN300" t="s">
        <v>92</v>
      </c>
      <c r="AO300" t="s">
        <v>1534</v>
      </c>
      <c r="AP300" t="s">
        <v>1535</v>
      </c>
      <c r="AQ300" t="s">
        <v>74</v>
      </c>
      <c r="AR300" t="s">
        <v>1536</v>
      </c>
      <c r="AS300" t="s">
        <v>1537</v>
      </c>
      <c r="AT300" t="s">
        <v>5295</v>
      </c>
      <c r="AU300">
        <v>2023</v>
      </c>
      <c r="AV300">
        <v>899</v>
      </c>
      <c r="AW300" t="s">
        <v>74</v>
      </c>
      <c r="AX300" t="s">
        <v>74</v>
      </c>
      <c r="AY300" t="s">
        <v>74</v>
      </c>
      <c r="AZ300" t="s">
        <v>74</v>
      </c>
      <c r="BA300" t="s">
        <v>74</v>
      </c>
      <c r="BB300" t="s">
        <v>74</v>
      </c>
      <c r="BC300" t="s">
        <v>74</v>
      </c>
      <c r="BD300">
        <v>165580</v>
      </c>
      <c r="BE300" t="s">
        <v>5475</v>
      </c>
      <c r="BF300" t="str">
        <f>HYPERLINK("http://dx.doi.org/10.1016/j.scitotenv.2023.165580","http://dx.doi.org/10.1016/j.scitotenv.2023.165580")</f>
        <v>http://dx.doi.org/10.1016/j.scitotenv.2023.165580</v>
      </c>
      <c r="BG300" t="s">
        <v>74</v>
      </c>
      <c r="BH300" t="s">
        <v>74</v>
      </c>
      <c r="BI300">
        <v>10</v>
      </c>
      <c r="BJ300" t="s">
        <v>1539</v>
      </c>
      <c r="BK300" t="s">
        <v>100</v>
      </c>
      <c r="BL300" t="s">
        <v>1540</v>
      </c>
      <c r="BM300" t="s">
        <v>5476</v>
      </c>
      <c r="BN300">
        <v>37467990</v>
      </c>
      <c r="BO300" t="s">
        <v>74</v>
      </c>
      <c r="BP300" t="s">
        <v>74</v>
      </c>
      <c r="BQ300" t="s">
        <v>74</v>
      </c>
      <c r="BR300" t="s">
        <v>104</v>
      </c>
      <c r="BS300" t="s">
        <v>5477</v>
      </c>
      <c r="BT300" t="str">
        <f>HYPERLINK("https%3A%2F%2Fwww.webofscience.com%2Fwos%2Fwoscc%2Ffull-record%2FWOS:001049672400001","View Full Record in Web of Science")</f>
        <v>View Full Record in Web of Science</v>
      </c>
    </row>
    <row r="301" spans="1:72" x14ac:dyDescent="0.15">
      <c r="A301" t="s">
        <v>72</v>
      </c>
      <c r="B301" t="s">
        <v>5478</v>
      </c>
      <c r="C301" t="s">
        <v>74</v>
      </c>
      <c r="D301" t="s">
        <v>74</v>
      </c>
      <c r="E301" t="s">
        <v>74</v>
      </c>
      <c r="F301" t="s">
        <v>5479</v>
      </c>
      <c r="G301" t="s">
        <v>74</v>
      </c>
      <c r="H301" t="s">
        <v>74</v>
      </c>
      <c r="I301" t="s">
        <v>5480</v>
      </c>
      <c r="J301" t="s">
        <v>1401</v>
      </c>
      <c r="K301" t="s">
        <v>74</v>
      </c>
      <c r="L301" t="s">
        <v>74</v>
      </c>
      <c r="M301" t="s">
        <v>78</v>
      </c>
      <c r="N301" t="s">
        <v>79</v>
      </c>
      <c r="O301" t="s">
        <v>74</v>
      </c>
      <c r="P301" t="s">
        <v>74</v>
      </c>
      <c r="Q301" t="s">
        <v>74</v>
      </c>
      <c r="R301" t="s">
        <v>74</v>
      </c>
      <c r="S301" t="s">
        <v>74</v>
      </c>
      <c r="T301" t="s">
        <v>5481</v>
      </c>
      <c r="U301" t="s">
        <v>5482</v>
      </c>
      <c r="V301" t="s">
        <v>5483</v>
      </c>
      <c r="W301" t="s">
        <v>5484</v>
      </c>
      <c r="X301" t="s">
        <v>5485</v>
      </c>
      <c r="Y301" t="s">
        <v>5486</v>
      </c>
      <c r="Z301" t="s">
        <v>5487</v>
      </c>
      <c r="AA301" t="s">
        <v>74</v>
      </c>
      <c r="AB301" t="s">
        <v>5488</v>
      </c>
      <c r="AC301" t="s">
        <v>5489</v>
      </c>
      <c r="AD301" t="s">
        <v>5490</v>
      </c>
      <c r="AE301" t="s">
        <v>5491</v>
      </c>
      <c r="AF301" t="s">
        <v>74</v>
      </c>
      <c r="AG301">
        <v>43</v>
      </c>
      <c r="AH301">
        <v>0</v>
      </c>
      <c r="AI301">
        <v>0</v>
      </c>
      <c r="AJ301">
        <v>22</v>
      </c>
      <c r="AK301">
        <v>22</v>
      </c>
      <c r="AL301" t="s">
        <v>475</v>
      </c>
      <c r="AM301" t="s">
        <v>476</v>
      </c>
      <c r="AN301" t="s">
        <v>477</v>
      </c>
      <c r="AO301" t="s">
        <v>1412</v>
      </c>
      <c r="AP301" t="s">
        <v>1413</v>
      </c>
      <c r="AQ301" t="s">
        <v>74</v>
      </c>
      <c r="AR301" t="s">
        <v>1414</v>
      </c>
      <c r="AS301" t="s">
        <v>1415</v>
      </c>
      <c r="AT301" t="s">
        <v>5295</v>
      </c>
      <c r="AU301">
        <v>2023</v>
      </c>
      <c r="AV301">
        <v>650</v>
      </c>
      <c r="AW301" t="s">
        <v>74</v>
      </c>
      <c r="AX301" t="s">
        <v>337</v>
      </c>
      <c r="AY301" t="s">
        <v>74</v>
      </c>
      <c r="AZ301" t="s">
        <v>74</v>
      </c>
      <c r="BA301" t="s">
        <v>74</v>
      </c>
      <c r="BB301">
        <v>857</v>
      </c>
      <c r="BC301">
        <v>864</v>
      </c>
      <c r="BD301" t="s">
        <v>74</v>
      </c>
      <c r="BE301" t="s">
        <v>5492</v>
      </c>
      <c r="BF301" t="str">
        <f>HYPERLINK("http://dx.doi.org/10.1016/j.jcis.2023.07.053","http://dx.doi.org/10.1016/j.jcis.2023.07.053")</f>
        <v>http://dx.doi.org/10.1016/j.jcis.2023.07.053</v>
      </c>
      <c r="BG301" t="s">
        <v>74</v>
      </c>
      <c r="BH301" t="s">
        <v>74</v>
      </c>
      <c r="BI301">
        <v>8</v>
      </c>
      <c r="BJ301" t="s">
        <v>394</v>
      </c>
      <c r="BK301" t="s">
        <v>100</v>
      </c>
      <c r="BL301" t="s">
        <v>395</v>
      </c>
      <c r="BM301" t="s">
        <v>5493</v>
      </c>
      <c r="BN301">
        <v>37450974</v>
      </c>
      <c r="BO301" t="s">
        <v>74</v>
      </c>
      <c r="BP301" t="s">
        <v>74</v>
      </c>
      <c r="BQ301" t="s">
        <v>74</v>
      </c>
      <c r="BR301" t="s">
        <v>104</v>
      </c>
      <c r="BS301" t="s">
        <v>5494</v>
      </c>
      <c r="BT301" t="str">
        <f>HYPERLINK("https%3A%2F%2Fwww.webofscience.com%2Fwos%2Fwoscc%2Ffull-record%2FWOS:001049932900001","View Full Record in Web of Science")</f>
        <v>View Full Record in Web of Science</v>
      </c>
    </row>
    <row r="302" spans="1:72" x14ac:dyDescent="0.15">
      <c r="A302" t="s">
        <v>72</v>
      </c>
      <c r="B302" t="s">
        <v>5495</v>
      </c>
      <c r="C302" t="s">
        <v>74</v>
      </c>
      <c r="D302" t="s">
        <v>74</v>
      </c>
      <c r="E302" t="s">
        <v>74</v>
      </c>
      <c r="F302" t="s">
        <v>5496</v>
      </c>
      <c r="G302" t="s">
        <v>74</v>
      </c>
      <c r="H302" t="s">
        <v>74</v>
      </c>
      <c r="I302" t="s">
        <v>5497</v>
      </c>
      <c r="J302" t="s">
        <v>1524</v>
      </c>
      <c r="K302" t="s">
        <v>74</v>
      </c>
      <c r="L302" t="s">
        <v>74</v>
      </c>
      <c r="M302" t="s">
        <v>78</v>
      </c>
      <c r="N302" t="s">
        <v>79</v>
      </c>
      <c r="O302" t="s">
        <v>74</v>
      </c>
      <c r="P302" t="s">
        <v>74</v>
      </c>
      <c r="Q302" t="s">
        <v>74</v>
      </c>
      <c r="R302" t="s">
        <v>74</v>
      </c>
      <c r="S302" t="s">
        <v>74</v>
      </c>
      <c r="T302" t="s">
        <v>5498</v>
      </c>
      <c r="U302" t="s">
        <v>5499</v>
      </c>
      <c r="V302" t="s">
        <v>5500</v>
      </c>
      <c r="W302" t="s">
        <v>5501</v>
      </c>
      <c r="X302" t="s">
        <v>5502</v>
      </c>
      <c r="Y302" t="s">
        <v>5503</v>
      </c>
      <c r="Z302" t="s">
        <v>5504</v>
      </c>
      <c r="AA302" t="s">
        <v>74</v>
      </c>
      <c r="AB302" t="s">
        <v>74</v>
      </c>
      <c r="AC302" t="s">
        <v>5505</v>
      </c>
      <c r="AD302" t="s">
        <v>5506</v>
      </c>
      <c r="AE302" t="s">
        <v>5507</v>
      </c>
      <c r="AF302" t="s">
        <v>74</v>
      </c>
      <c r="AG302">
        <v>111</v>
      </c>
      <c r="AH302">
        <v>0</v>
      </c>
      <c r="AI302">
        <v>0</v>
      </c>
      <c r="AJ302">
        <v>24</v>
      </c>
      <c r="AK302">
        <v>24</v>
      </c>
      <c r="AL302" t="s">
        <v>90</v>
      </c>
      <c r="AM302" t="s">
        <v>91</v>
      </c>
      <c r="AN302" t="s">
        <v>92</v>
      </c>
      <c r="AO302" t="s">
        <v>1534</v>
      </c>
      <c r="AP302" t="s">
        <v>1535</v>
      </c>
      <c r="AQ302" t="s">
        <v>74</v>
      </c>
      <c r="AR302" t="s">
        <v>1536</v>
      </c>
      <c r="AS302" t="s">
        <v>1537</v>
      </c>
      <c r="AT302" t="s">
        <v>5295</v>
      </c>
      <c r="AU302">
        <v>2023</v>
      </c>
      <c r="AV302">
        <v>899</v>
      </c>
      <c r="AW302" t="s">
        <v>74</v>
      </c>
      <c r="AX302" t="s">
        <v>74</v>
      </c>
      <c r="AY302" t="s">
        <v>74</v>
      </c>
      <c r="AZ302" t="s">
        <v>74</v>
      </c>
      <c r="BA302" t="s">
        <v>74</v>
      </c>
      <c r="BB302" t="s">
        <v>74</v>
      </c>
      <c r="BC302" t="s">
        <v>74</v>
      </c>
      <c r="BD302">
        <v>165689</v>
      </c>
      <c r="BE302" t="s">
        <v>5508</v>
      </c>
      <c r="BF302" t="str">
        <f>HYPERLINK("http://dx.doi.org/10.1016/j.scitotenv.2023.165689","http://dx.doi.org/10.1016/j.scitotenv.2023.165689")</f>
        <v>http://dx.doi.org/10.1016/j.scitotenv.2023.165689</v>
      </c>
      <c r="BG302" t="s">
        <v>74</v>
      </c>
      <c r="BH302" t="s">
        <v>74</v>
      </c>
      <c r="BI302">
        <v>16</v>
      </c>
      <c r="BJ302" t="s">
        <v>1539</v>
      </c>
      <c r="BK302" t="s">
        <v>100</v>
      </c>
      <c r="BL302" t="s">
        <v>1540</v>
      </c>
      <c r="BM302" t="s">
        <v>5509</v>
      </c>
      <c r="BN302">
        <v>37481084</v>
      </c>
      <c r="BO302" t="s">
        <v>74</v>
      </c>
      <c r="BP302" t="s">
        <v>74</v>
      </c>
      <c r="BQ302" t="s">
        <v>74</v>
      </c>
      <c r="BR302" t="s">
        <v>104</v>
      </c>
      <c r="BS302" t="s">
        <v>5510</v>
      </c>
      <c r="BT302" t="str">
        <f>HYPERLINK("https%3A%2F%2Fwww.webofscience.com%2Fwos%2Fwoscc%2Ffull-record%2FWOS:001051288800001","View Full Record in Web of Science")</f>
        <v>View Full Record in Web of Science</v>
      </c>
    </row>
    <row r="303" spans="1:72" x14ac:dyDescent="0.15">
      <c r="A303" t="s">
        <v>72</v>
      </c>
      <c r="B303" t="s">
        <v>5511</v>
      </c>
      <c r="C303" t="s">
        <v>74</v>
      </c>
      <c r="D303" t="s">
        <v>74</v>
      </c>
      <c r="E303" t="s">
        <v>74</v>
      </c>
      <c r="F303" t="s">
        <v>5512</v>
      </c>
      <c r="G303" t="s">
        <v>74</v>
      </c>
      <c r="H303" t="s">
        <v>74</v>
      </c>
      <c r="I303" t="s">
        <v>5513</v>
      </c>
      <c r="J303" t="s">
        <v>5514</v>
      </c>
      <c r="K303" t="s">
        <v>74</v>
      </c>
      <c r="L303" t="s">
        <v>74</v>
      </c>
      <c r="M303" t="s">
        <v>78</v>
      </c>
      <c r="N303" t="s">
        <v>79</v>
      </c>
      <c r="O303" t="s">
        <v>74</v>
      </c>
      <c r="P303" t="s">
        <v>74</v>
      </c>
      <c r="Q303" t="s">
        <v>74</v>
      </c>
      <c r="R303" t="s">
        <v>74</v>
      </c>
      <c r="S303" t="s">
        <v>74</v>
      </c>
      <c r="T303" t="s">
        <v>5515</v>
      </c>
      <c r="U303" t="s">
        <v>5516</v>
      </c>
      <c r="V303" t="s">
        <v>5517</v>
      </c>
      <c r="W303" t="s">
        <v>5518</v>
      </c>
      <c r="X303" t="s">
        <v>5519</v>
      </c>
      <c r="Y303" t="s">
        <v>5520</v>
      </c>
      <c r="Z303" t="s">
        <v>5521</v>
      </c>
      <c r="AA303" t="s">
        <v>74</v>
      </c>
      <c r="AB303" t="s">
        <v>74</v>
      </c>
      <c r="AC303" t="s">
        <v>5522</v>
      </c>
      <c r="AD303" t="s">
        <v>5522</v>
      </c>
      <c r="AE303" t="s">
        <v>5523</v>
      </c>
      <c r="AF303" t="s">
        <v>74</v>
      </c>
      <c r="AG303">
        <v>68</v>
      </c>
      <c r="AH303">
        <v>0</v>
      </c>
      <c r="AI303">
        <v>0</v>
      </c>
      <c r="AJ303">
        <v>0</v>
      </c>
      <c r="AK303">
        <v>0</v>
      </c>
      <c r="AL303" t="s">
        <v>90</v>
      </c>
      <c r="AM303" t="s">
        <v>91</v>
      </c>
      <c r="AN303" t="s">
        <v>92</v>
      </c>
      <c r="AO303" t="s">
        <v>5524</v>
      </c>
      <c r="AP303" t="s">
        <v>5525</v>
      </c>
      <c r="AQ303" t="s">
        <v>74</v>
      </c>
      <c r="AR303" t="s">
        <v>5514</v>
      </c>
      <c r="AS303" t="s">
        <v>5526</v>
      </c>
      <c r="AT303" t="s">
        <v>5295</v>
      </c>
      <c r="AU303">
        <v>2023</v>
      </c>
      <c r="AV303">
        <v>458</v>
      </c>
      <c r="AW303" t="s">
        <v>74</v>
      </c>
      <c r="AX303" t="s">
        <v>74</v>
      </c>
      <c r="AY303" t="s">
        <v>74</v>
      </c>
      <c r="AZ303" t="s">
        <v>74</v>
      </c>
      <c r="BA303" t="s">
        <v>74</v>
      </c>
      <c r="BB303" t="s">
        <v>74</v>
      </c>
      <c r="BC303" t="s">
        <v>74</v>
      </c>
      <c r="BD303">
        <v>107335</v>
      </c>
      <c r="BE303" t="s">
        <v>5527</v>
      </c>
      <c r="BF303" t="str">
        <f>HYPERLINK("http://dx.doi.org/10.1016/j.lithos.2023.107335","http://dx.doi.org/10.1016/j.lithos.2023.107335")</f>
        <v>http://dx.doi.org/10.1016/j.lithos.2023.107335</v>
      </c>
      <c r="BG303" t="s">
        <v>74</v>
      </c>
      <c r="BH303" t="s">
        <v>74</v>
      </c>
      <c r="BI303">
        <v>17</v>
      </c>
      <c r="BJ303" t="s">
        <v>5528</v>
      </c>
      <c r="BK303" t="s">
        <v>100</v>
      </c>
      <c r="BL303" t="s">
        <v>5528</v>
      </c>
      <c r="BM303" t="s">
        <v>5529</v>
      </c>
      <c r="BN303" t="s">
        <v>74</v>
      </c>
      <c r="BO303" t="s">
        <v>74</v>
      </c>
      <c r="BP303" t="s">
        <v>74</v>
      </c>
      <c r="BQ303" t="s">
        <v>74</v>
      </c>
      <c r="BR303" t="s">
        <v>104</v>
      </c>
      <c r="BS303" t="s">
        <v>5530</v>
      </c>
      <c r="BT303" t="str">
        <f>HYPERLINK("https%3A%2F%2Fwww.webofscience.com%2Fwos%2Fwoscc%2Ffull-record%2FWOS:001073585100001","View Full Record in Web of Science")</f>
        <v>View Full Record in Web of Science</v>
      </c>
    </row>
    <row r="304" spans="1:72" x14ac:dyDescent="0.15">
      <c r="A304" t="s">
        <v>72</v>
      </c>
      <c r="B304" t="s">
        <v>5531</v>
      </c>
      <c r="C304" t="s">
        <v>74</v>
      </c>
      <c r="D304" t="s">
        <v>74</v>
      </c>
      <c r="E304" t="s">
        <v>74</v>
      </c>
      <c r="F304" t="s">
        <v>5532</v>
      </c>
      <c r="G304" t="s">
        <v>74</v>
      </c>
      <c r="H304" t="s">
        <v>74</v>
      </c>
      <c r="I304" t="s">
        <v>5533</v>
      </c>
      <c r="J304" t="s">
        <v>5534</v>
      </c>
      <c r="K304" t="s">
        <v>74</v>
      </c>
      <c r="L304" t="s">
        <v>74</v>
      </c>
      <c r="M304" t="s">
        <v>78</v>
      </c>
      <c r="N304" t="s">
        <v>79</v>
      </c>
      <c r="O304" t="s">
        <v>74</v>
      </c>
      <c r="P304" t="s">
        <v>74</v>
      </c>
      <c r="Q304" t="s">
        <v>74</v>
      </c>
      <c r="R304" t="s">
        <v>74</v>
      </c>
      <c r="S304" t="s">
        <v>74</v>
      </c>
      <c r="T304" t="s">
        <v>5535</v>
      </c>
      <c r="U304" t="s">
        <v>5536</v>
      </c>
      <c r="V304" t="s">
        <v>5537</v>
      </c>
      <c r="W304" t="s">
        <v>5538</v>
      </c>
      <c r="X304" t="s">
        <v>5539</v>
      </c>
      <c r="Y304" t="s">
        <v>5540</v>
      </c>
      <c r="Z304" t="s">
        <v>5541</v>
      </c>
      <c r="AA304" t="s">
        <v>74</v>
      </c>
      <c r="AB304" t="s">
        <v>74</v>
      </c>
      <c r="AC304" t="s">
        <v>74</v>
      </c>
      <c r="AD304" t="s">
        <v>74</v>
      </c>
      <c r="AE304" t="s">
        <v>74</v>
      </c>
      <c r="AF304" t="s">
        <v>74</v>
      </c>
      <c r="AG304">
        <v>53</v>
      </c>
      <c r="AH304">
        <v>0</v>
      </c>
      <c r="AI304">
        <v>0</v>
      </c>
      <c r="AJ304">
        <v>0</v>
      </c>
      <c r="AK304">
        <v>0</v>
      </c>
      <c r="AL304" t="s">
        <v>120</v>
      </c>
      <c r="AM304" t="s">
        <v>121</v>
      </c>
      <c r="AN304" t="s">
        <v>122</v>
      </c>
      <c r="AO304" t="s">
        <v>5542</v>
      </c>
      <c r="AP304" t="s">
        <v>5543</v>
      </c>
      <c r="AQ304" t="s">
        <v>74</v>
      </c>
      <c r="AR304" t="s">
        <v>5544</v>
      </c>
      <c r="AS304" t="s">
        <v>5545</v>
      </c>
      <c r="AT304" t="s">
        <v>5295</v>
      </c>
      <c r="AU304">
        <v>2023</v>
      </c>
      <c r="AV304">
        <v>295</v>
      </c>
      <c r="AW304" t="s">
        <v>74</v>
      </c>
      <c r="AX304" t="s">
        <v>74</v>
      </c>
      <c r="AY304" t="s">
        <v>74</v>
      </c>
      <c r="AZ304" t="s">
        <v>74</v>
      </c>
      <c r="BA304" t="s">
        <v>74</v>
      </c>
      <c r="BB304" t="s">
        <v>74</v>
      </c>
      <c r="BC304" t="s">
        <v>74</v>
      </c>
      <c r="BD304">
        <v>116843</v>
      </c>
      <c r="BE304" t="s">
        <v>5546</v>
      </c>
      <c r="BF304" t="str">
        <f>HYPERLINK("http://dx.doi.org/10.1016/j.engstruct.2023.116843","http://dx.doi.org/10.1016/j.engstruct.2023.116843")</f>
        <v>http://dx.doi.org/10.1016/j.engstruct.2023.116843</v>
      </c>
      <c r="BG304" t="s">
        <v>74</v>
      </c>
      <c r="BH304" t="s">
        <v>74</v>
      </c>
      <c r="BI304">
        <v>16</v>
      </c>
      <c r="BJ304" t="s">
        <v>5547</v>
      </c>
      <c r="BK304" t="s">
        <v>100</v>
      </c>
      <c r="BL304" t="s">
        <v>873</v>
      </c>
      <c r="BM304" t="s">
        <v>5548</v>
      </c>
      <c r="BN304" t="s">
        <v>74</v>
      </c>
      <c r="BO304" t="s">
        <v>74</v>
      </c>
      <c r="BP304" t="s">
        <v>74</v>
      </c>
      <c r="BQ304" t="s">
        <v>74</v>
      </c>
      <c r="BR304" t="s">
        <v>104</v>
      </c>
      <c r="BS304" t="s">
        <v>5549</v>
      </c>
      <c r="BT304" t="str">
        <f>HYPERLINK("https%3A%2F%2Fwww.webofscience.com%2Fwos%2Fwoscc%2Ffull-record%2FWOS:001072778600001","View Full Record in Web of Science")</f>
        <v>View Full Record in Web of Science</v>
      </c>
    </row>
    <row r="305" spans="1:72" x14ac:dyDescent="0.15">
      <c r="A305" t="s">
        <v>72</v>
      </c>
      <c r="B305" t="s">
        <v>5550</v>
      </c>
      <c r="C305" t="s">
        <v>74</v>
      </c>
      <c r="D305" t="s">
        <v>74</v>
      </c>
      <c r="E305" t="s">
        <v>74</v>
      </c>
      <c r="F305" t="s">
        <v>5551</v>
      </c>
      <c r="G305" t="s">
        <v>74</v>
      </c>
      <c r="H305" t="s">
        <v>74</v>
      </c>
      <c r="I305" t="s">
        <v>5552</v>
      </c>
      <c r="J305" t="s">
        <v>3261</v>
      </c>
      <c r="K305" t="s">
        <v>74</v>
      </c>
      <c r="L305" t="s">
        <v>74</v>
      </c>
      <c r="M305" t="s">
        <v>78</v>
      </c>
      <c r="N305" t="s">
        <v>79</v>
      </c>
      <c r="O305" t="s">
        <v>74</v>
      </c>
      <c r="P305" t="s">
        <v>74</v>
      </c>
      <c r="Q305" t="s">
        <v>74</v>
      </c>
      <c r="R305" t="s">
        <v>74</v>
      </c>
      <c r="S305" t="s">
        <v>74</v>
      </c>
      <c r="T305" t="s">
        <v>5553</v>
      </c>
      <c r="U305" t="s">
        <v>5554</v>
      </c>
      <c r="V305" t="s">
        <v>5555</v>
      </c>
      <c r="W305" t="s">
        <v>5556</v>
      </c>
      <c r="X305" t="s">
        <v>5557</v>
      </c>
      <c r="Y305" t="s">
        <v>5558</v>
      </c>
      <c r="Z305" t="s">
        <v>5559</v>
      </c>
      <c r="AA305" t="s">
        <v>5560</v>
      </c>
      <c r="AB305" t="s">
        <v>5561</v>
      </c>
      <c r="AC305" t="s">
        <v>5562</v>
      </c>
      <c r="AD305" t="s">
        <v>3772</v>
      </c>
      <c r="AE305" t="s">
        <v>5563</v>
      </c>
      <c r="AF305" t="s">
        <v>74</v>
      </c>
      <c r="AG305">
        <v>25</v>
      </c>
      <c r="AH305">
        <v>0</v>
      </c>
      <c r="AI305">
        <v>0</v>
      </c>
      <c r="AJ305">
        <v>1</v>
      </c>
      <c r="AK305">
        <v>1</v>
      </c>
      <c r="AL305" t="s">
        <v>173</v>
      </c>
      <c r="AM305" t="s">
        <v>121</v>
      </c>
      <c r="AN305" t="s">
        <v>174</v>
      </c>
      <c r="AO305" t="s">
        <v>3272</v>
      </c>
      <c r="AP305" t="s">
        <v>3273</v>
      </c>
      <c r="AQ305" t="s">
        <v>74</v>
      </c>
      <c r="AR305" t="s">
        <v>3274</v>
      </c>
      <c r="AS305" t="s">
        <v>3275</v>
      </c>
      <c r="AT305" t="s">
        <v>5295</v>
      </c>
      <c r="AU305">
        <v>2023</v>
      </c>
      <c r="AV305">
        <v>215</v>
      </c>
      <c r="AW305" t="s">
        <v>74</v>
      </c>
      <c r="AX305" t="s">
        <v>74</v>
      </c>
      <c r="AY305" t="s">
        <v>74</v>
      </c>
      <c r="AZ305" t="s">
        <v>74</v>
      </c>
      <c r="BA305" t="s">
        <v>74</v>
      </c>
      <c r="BB305" t="s">
        <v>74</v>
      </c>
      <c r="BC305" t="s">
        <v>74</v>
      </c>
      <c r="BD305">
        <v>124504</v>
      </c>
      <c r="BE305" t="s">
        <v>5564</v>
      </c>
      <c r="BF305" t="str">
        <f>HYPERLINK("http://dx.doi.org/10.1016/j.ijheatmasstransfer.2023.124504","http://dx.doi.org/10.1016/j.ijheatmasstransfer.2023.124504")</f>
        <v>http://dx.doi.org/10.1016/j.ijheatmasstransfer.2023.124504</v>
      </c>
      <c r="BG305" t="s">
        <v>74</v>
      </c>
      <c r="BH305" t="s">
        <v>74</v>
      </c>
      <c r="BI305">
        <v>6</v>
      </c>
      <c r="BJ305" t="s">
        <v>3277</v>
      </c>
      <c r="BK305" t="s">
        <v>100</v>
      </c>
      <c r="BL305" t="s">
        <v>3278</v>
      </c>
      <c r="BM305" t="s">
        <v>5565</v>
      </c>
      <c r="BN305" t="s">
        <v>74</v>
      </c>
      <c r="BO305" t="s">
        <v>74</v>
      </c>
      <c r="BP305" t="s">
        <v>74</v>
      </c>
      <c r="BQ305" t="s">
        <v>74</v>
      </c>
      <c r="BR305" t="s">
        <v>104</v>
      </c>
      <c r="BS305" t="s">
        <v>5566</v>
      </c>
      <c r="BT305" t="str">
        <f>HYPERLINK("https%3A%2F%2Fwww.webofscience.com%2Fwos%2Fwoscc%2Ffull-record%2FWOS:001048859900001","View Full Record in Web of Science")</f>
        <v>View Full Record in Web of Science</v>
      </c>
    </row>
    <row r="306" spans="1:72" x14ac:dyDescent="0.15">
      <c r="A306" t="s">
        <v>72</v>
      </c>
      <c r="B306" t="s">
        <v>5567</v>
      </c>
      <c r="C306" t="s">
        <v>74</v>
      </c>
      <c r="D306" t="s">
        <v>74</v>
      </c>
      <c r="E306" t="s">
        <v>74</v>
      </c>
      <c r="F306" t="s">
        <v>5568</v>
      </c>
      <c r="G306" t="s">
        <v>74</v>
      </c>
      <c r="H306" t="s">
        <v>74</v>
      </c>
      <c r="I306" t="s">
        <v>5569</v>
      </c>
      <c r="J306" t="s">
        <v>5570</v>
      </c>
      <c r="K306" t="s">
        <v>74</v>
      </c>
      <c r="L306" t="s">
        <v>74</v>
      </c>
      <c r="M306" t="s">
        <v>78</v>
      </c>
      <c r="N306" t="s">
        <v>79</v>
      </c>
      <c r="O306" t="s">
        <v>74</v>
      </c>
      <c r="P306" t="s">
        <v>74</v>
      </c>
      <c r="Q306" t="s">
        <v>74</v>
      </c>
      <c r="R306" t="s">
        <v>74</v>
      </c>
      <c r="S306" t="s">
        <v>74</v>
      </c>
      <c r="T306" t="s">
        <v>5571</v>
      </c>
      <c r="U306" t="s">
        <v>5572</v>
      </c>
      <c r="V306" t="s">
        <v>5573</v>
      </c>
      <c r="W306" t="s">
        <v>5574</v>
      </c>
      <c r="X306" t="s">
        <v>5575</v>
      </c>
      <c r="Y306" t="s">
        <v>5576</v>
      </c>
      <c r="Z306" t="s">
        <v>5577</v>
      </c>
      <c r="AA306" t="s">
        <v>74</v>
      </c>
      <c r="AB306" t="s">
        <v>74</v>
      </c>
      <c r="AC306" t="s">
        <v>5578</v>
      </c>
      <c r="AD306" t="s">
        <v>252</v>
      </c>
      <c r="AE306" t="s">
        <v>5579</v>
      </c>
      <c r="AF306" t="s">
        <v>74</v>
      </c>
      <c r="AG306">
        <v>42</v>
      </c>
      <c r="AH306">
        <v>0</v>
      </c>
      <c r="AI306">
        <v>0</v>
      </c>
      <c r="AJ306">
        <v>0</v>
      </c>
      <c r="AK306">
        <v>0</v>
      </c>
      <c r="AL306" t="s">
        <v>955</v>
      </c>
      <c r="AM306" t="s">
        <v>956</v>
      </c>
      <c r="AN306" t="s">
        <v>957</v>
      </c>
      <c r="AO306" t="s">
        <v>5580</v>
      </c>
      <c r="AP306" t="s">
        <v>5581</v>
      </c>
      <c r="AQ306" t="s">
        <v>74</v>
      </c>
      <c r="AR306" t="s">
        <v>5570</v>
      </c>
      <c r="AS306" t="s">
        <v>5582</v>
      </c>
      <c r="AT306" t="s">
        <v>5295</v>
      </c>
      <c r="AU306">
        <v>2023</v>
      </c>
      <c r="AV306">
        <v>532</v>
      </c>
      <c r="AW306" t="s">
        <v>74</v>
      </c>
      <c r="AX306" t="s">
        <v>74</v>
      </c>
      <c r="AY306" t="s">
        <v>74</v>
      </c>
      <c r="AZ306" t="s">
        <v>74</v>
      </c>
      <c r="BA306" t="s">
        <v>74</v>
      </c>
      <c r="BB306" t="s">
        <v>74</v>
      </c>
      <c r="BC306" t="s">
        <v>74</v>
      </c>
      <c r="BD306">
        <v>205076</v>
      </c>
      <c r="BE306" t="s">
        <v>5583</v>
      </c>
      <c r="BF306" t="str">
        <f>HYPERLINK("http://dx.doi.org/10.1016/j.wear.2023.205076","http://dx.doi.org/10.1016/j.wear.2023.205076")</f>
        <v>http://dx.doi.org/10.1016/j.wear.2023.205076</v>
      </c>
      <c r="BG306" t="s">
        <v>74</v>
      </c>
      <c r="BH306" t="s">
        <v>74</v>
      </c>
      <c r="BI306">
        <v>17</v>
      </c>
      <c r="BJ306" t="s">
        <v>5584</v>
      </c>
      <c r="BK306" t="s">
        <v>100</v>
      </c>
      <c r="BL306" t="s">
        <v>156</v>
      </c>
      <c r="BM306" t="s">
        <v>5585</v>
      </c>
      <c r="BN306" t="s">
        <v>74</v>
      </c>
      <c r="BO306" t="s">
        <v>74</v>
      </c>
      <c r="BP306" t="s">
        <v>74</v>
      </c>
      <c r="BQ306" t="s">
        <v>74</v>
      </c>
      <c r="BR306" t="s">
        <v>104</v>
      </c>
      <c r="BS306" t="s">
        <v>5586</v>
      </c>
      <c r="BT306" t="str">
        <f>HYPERLINK("https%3A%2F%2Fwww.webofscience.com%2Fwos%2Fwoscc%2Ffull-record%2FWOS:001062995800001","View Full Record in Web of Science")</f>
        <v>View Full Record in Web of Science</v>
      </c>
    </row>
    <row r="307" spans="1:72" x14ac:dyDescent="0.15">
      <c r="A307" t="s">
        <v>72</v>
      </c>
      <c r="B307" t="s">
        <v>5587</v>
      </c>
      <c r="C307" t="s">
        <v>74</v>
      </c>
      <c r="D307" t="s">
        <v>74</v>
      </c>
      <c r="E307" t="s">
        <v>74</v>
      </c>
      <c r="F307" t="s">
        <v>5588</v>
      </c>
      <c r="G307" t="s">
        <v>74</v>
      </c>
      <c r="H307" t="s">
        <v>74</v>
      </c>
      <c r="I307" t="s">
        <v>5589</v>
      </c>
      <c r="J307" t="s">
        <v>5570</v>
      </c>
      <c r="K307" t="s">
        <v>74</v>
      </c>
      <c r="L307" t="s">
        <v>74</v>
      </c>
      <c r="M307" t="s">
        <v>78</v>
      </c>
      <c r="N307" t="s">
        <v>79</v>
      </c>
      <c r="O307" t="s">
        <v>74</v>
      </c>
      <c r="P307" t="s">
        <v>74</v>
      </c>
      <c r="Q307" t="s">
        <v>74</v>
      </c>
      <c r="R307" t="s">
        <v>74</v>
      </c>
      <c r="S307" t="s">
        <v>74</v>
      </c>
      <c r="T307" t="s">
        <v>5590</v>
      </c>
      <c r="U307" t="s">
        <v>5591</v>
      </c>
      <c r="V307" t="s">
        <v>5592</v>
      </c>
      <c r="W307" t="s">
        <v>5593</v>
      </c>
      <c r="X307" t="s">
        <v>5594</v>
      </c>
      <c r="Y307" t="s">
        <v>5595</v>
      </c>
      <c r="Z307" t="s">
        <v>5596</v>
      </c>
      <c r="AA307" t="s">
        <v>74</v>
      </c>
      <c r="AB307" t="s">
        <v>74</v>
      </c>
      <c r="AC307" t="s">
        <v>74</v>
      </c>
      <c r="AD307" t="s">
        <v>74</v>
      </c>
      <c r="AE307" t="s">
        <v>74</v>
      </c>
      <c r="AF307" t="s">
        <v>74</v>
      </c>
      <c r="AG307">
        <v>15</v>
      </c>
      <c r="AH307">
        <v>0</v>
      </c>
      <c r="AI307">
        <v>0</v>
      </c>
      <c r="AJ307">
        <v>0</v>
      </c>
      <c r="AK307">
        <v>0</v>
      </c>
      <c r="AL307" t="s">
        <v>955</v>
      </c>
      <c r="AM307" t="s">
        <v>956</v>
      </c>
      <c r="AN307" t="s">
        <v>957</v>
      </c>
      <c r="AO307" t="s">
        <v>5580</v>
      </c>
      <c r="AP307" t="s">
        <v>5581</v>
      </c>
      <c r="AQ307" t="s">
        <v>74</v>
      </c>
      <c r="AR307" t="s">
        <v>5570</v>
      </c>
      <c r="AS307" t="s">
        <v>5582</v>
      </c>
      <c r="AT307" t="s">
        <v>5295</v>
      </c>
      <c r="AU307">
        <v>2023</v>
      </c>
      <c r="AV307">
        <v>532</v>
      </c>
      <c r="AW307" t="s">
        <v>74</v>
      </c>
      <c r="AX307" t="s">
        <v>74</v>
      </c>
      <c r="AY307" t="s">
        <v>74</v>
      </c>
      <c r="AZ307" t="s">
        <v>74</v>
      </c>
      <c r="BA307" t="s">
        <v>74</v>
      </c>
      <c r="BB307" t="s">
        <v>74</v>
      </c>
      <c r="BC307" t="s">
        <v>74</v>
      </c>
      <c r="BD307">
        <v>205080</v>
      </c>
      <c r="BE307" t="s">
        <v>5597</v>
      </c>
      <c r="BF307" t="str">
        <f>HYPERLINK("http://dx.doi.org/10.1016/j.wear.2023.205080","http://dx.doi.org/10.1016/j.wear.2023.205080")</f>
        <v>http://dx.doi.org/10.1016/j.wear.2023.205080</v>
      </c>
      <c r="BG307" t="s">
        <v>74</v>
      </c>
      <c r="BH307" t="s">
        <v>74</v>
      </c>
      <c r="BI307">
        <v>17</v>
      </c>
      <c r="BJ307" t="s">
        <v>5584</v>
      </c>
      <c r="BK307" t="s">
        <v>100</v>
      </c>
      <c r="BL307" t="s">
        <v>156</v>
      </c>
      <c r="BM307" t="s">
        <v>5598</v>
      </c>
      <c r="BN307" t="s">
        <v>74</v>
      </c>
      <c r="BO307" t="s">
        <v>74</v>
      </c>
      <c r="BP307" t="s">
        <v>74</v>
      </c>
      <c r="BQ307" t="s">
        <v>74</v>
      </c>
      <c r="BR307" t="s">
        <v>104</v>
      </c>
      <c r="BS307" t="s">
        <v>5599</v>
      </c>
      <c r="BT307" t="str">
        <f>HYPERLINK("https%3A%2F%2Fwww.webofscience.com%2Fwos%2Fwoscc%2Ffull-record%2FWOS:001063315400001","View Full Record in Web of Science")</f>
        <v>View Full Record in Web of Science</v>
      </c>
    </row>
    <row r="308" spans="1:72" x14ac:dyDescent="0.15">
      <c r="A308" t="s">
        <v>72</v>
      </c>
      <c r="B308" t="s">
        <v>5600</v>
      </c>
      <c r="C308" t="s">
        <v>74</v>
      </c>
      <c r="D308" t="s">
        <v>74</v>
      </c>
      <c r="E308" t="s">
        <v>74</v>
      </c>
      <c r="F308" t="s">
        <v>5601</v>
      </c>
      <c r="G308" t="s">
        <v>74</v>
      </c>
      <c r="H308" t="s">
        <v>74</v>
      </c>
      <c r="I308" t="s">
        <v>5602</v>
      </c>
      <c r="J308" t="s">
        <v>380</v>
      </c>
      <c r="K308" t="s">
        <v>74</v>
      </c>
      <c r="L308" t="s">
        <v>74</v>
      </c>
      <c r="M308" t="s">
        <v>78</v>
      </c>
      <c r="N308" t="s">
        <v>79</v>
      </c>
      <c r="O308" t="s">
        <v>74</v>
      </c>
      <c r="P308" t="s">
        <v>74</v>
      </c>
      <c r="Q308" t="s">
        <v>74</v>
      </c>
      <c r="R308" t="s">
        <v>74</v>
      </c>
      <c r="S308" t="s">
        <v>74</v>
      </c>
      <c r="T308" t="s">
        <v>5603</v>
      </c>
      <c r="U308" t="s">
        <v>5604</v>
      </c>
      <c r="V308" t="s">
        <v>5605</v>
      </c>
      <c r="W308" t="s">
        <v>5606</v>
      </c>
      <c r="X308" t="s">
        <v>5607</v>
      </c>
      <c r="Y308" t="s">
        <v>5608</v>
      </c>
      <c r="Z308" t="s">
        <v>5609</v>
      </c>
      <c r="AA308" t="s">
        <v>74</v>
      </c>
      <c r="AB308" t="s">
        <v>74</v>
      </c>
      <c r="AC308" t="s">
        <v>74</v>
      </c>
      <c r="AD308" t="s">
        <v>74</v>
      </c>
      <c r="AE308" t="s">
        <v>74</v>
      </c>
      <c r="AF308" t="s">
        <v>74</v>
      </c>
      <c r="AG308">
        <v>58</v>
      </c>
      <c r="AH308">
        <v>0</v>
      </c>
      <c r="AI308">
        <v>0</v>
      </c>
      <c r="AJ308">
        <v>5</v>
      </c>
      <c r="AK308">
        <v>5</v>
      </c>
      <c r="AL308" t="s">
        <v>90</v>
      </c>
      <c r="AM308" t="s">
        <v>91</v>
      </c>
      <c r="AN308" t="s">
        <v>92</v>
      </c>
      <c r="AO308" t="s">
        <v>388</v>
      </c>
      <c r="AP308" t="s">
        <v>389</v>
      </c>
      <c r="AQ308" t="s">
        <v>74</v>
      </c>
      <c r="AR308" t="s">
        <v>390</v>
      </c>
      <c r="AS308" t="s">
        <v>391</v>
      </c>
      <c r="AT308" t="s">
        <v>5295</v>
      </c>
      <c r="AU308">
        <v>2023</v>
      </c>
      <c r="AV308">
        <v>1292</v>
      </c>
      <c r="AW308" t="s">
        <v>74</v>
      </c>
      <c r="AX308" t="s">
        <v>74</v>
      </c>
      <c r="AY308" t="s">
        <v>74</v>
      </c>
      <c r="AZ308" t="s">
        <v>74</v>
      </c>
      <c r="BA308" t="s">
        <v>74</v>
      </c>
      <c r="BB308" t="s">
        <v>74</v>
      </c>
      <c r="BC308" t="s">
        <v>74</v>
      </c>
      <c r="BD308">
        <v>136144</v>
      </c>
      <c r="BE308" t="s">
        <v>5610</v>
      </c>
      <c r="BF308" t="str">
        <f>HYPERLINK("http://dx.doi.org/10.1016/j.molstruc.2023.136144","http://dx.doi.org/10.1016/j.molstruc.2023.136144")</f>
        <v>http://dx.doi.org/10.1016/j.molstruc.2023.136144</v>
      </c>
      <c r="BG308" t="s">
        <v>74</v>
      </c>
      <c r="BH308" t="s">
        <v>74</v>
      </c>
      <c r="BI308">
        <v>12</v>
      </c>
      <c r="BJ308" t="s">
        <v>394</v>
      </c>
      <c r="BK308" t="s">
        <v>100</v>
      </c>
      <c r="BL308" t="s">
        <v>395</v>
      </c>
      <c r="BM308" t="s">
        <v>5611</v>
      </c>
      <c r="BN308" t="s">
        <v>74</v>
      </c>
      <c r="BO308" t="s">
        <v>74</v>
      </c>
      <c r="BP308" t="s">
        <v>74</v>
      </c>
      <c r="BQ308" t="s">
        <v>74</v>
      </c>
      <c r="BR308" t="s">
        <v>104</v>
      </c>
      <c r="BS308" t="s">
        <v>5612</v>
      </c>
      <c r="BT308" t="str">
        <f>HYPERLINK("https%3A%2F%2Fwww.webofscience.com%2Fwos%2Fwoscc%2Ffull-record%2FWOS:001044187700001","View Full Record in Web of Science")</f>
        <v>View Full Record in Web of Science</v>
      </c>
    </row>
    <row r="309" spans="1:72" x14ac:dyDescent="0.15">
      <c r="A309" t="s">
        <v>72</v>
      </c>
      <c r="B309" t="s">
        <v>5613</v>
      </c>
      <c r="C309" t="s">
        <v>74</v>
      </c>
      <c r="D309" t="s">
        <v>74</v>
      </c>
      <c r="E309" t="s">
        <v>74</v>
      </c>
      <c r="F309" t="s">
        <v>5614</v>
      </c>
      <c r="G309" t="s">
        <v>74</v>
      </c>
      <c r="H309" t="s">
        <v>74</v>
      </c>
      <c r="I309" t="s">
        <v>5615</v>
      </c>
      <c r="J309" t="s">
        <v>5616</v>
      </c>
      <c r="K309" t="s">
        <v>74</v>
      </c>
      <c r="L309" t="s">
        <v>74</v>
      </c>
      <c r="M309" t="s">
        <v>78</v>
      </c>
      <c r="N309" t="s">
        <v>79</v>
      </c>
      <c r="O309" t="s">
        <v>74</v>
      </c>
      <c r="P309" t="s">
        <v>74</v>
      </c>
      <c r="Q309" t="s">
        <v>74</v>
      </c>
      <c r="R309" t="s">
        <v>74</v>
      </c>
      <c r="S309" t="s">
        <v>74</v>
      </c>
      <c r="T309" t="s">
        <v>5617</v>
      </c>
      <c r="U309" t="s">
        <v>5618</v>
      </c>
      <c r="V309" t="s">
        <v>5619</v>
      </c>
      <c r="W309" t="s">
        <v>5620</v>
      </c>
      <c r="X309" t="s">
        <v>5621</v>
      </c>
      <c r="Y309" t="s">
        <v>5622</v>
      </c>
      <c r="Z309" t="s">
        <v>5623</v>
      </c>
      <c r="AA309" t="s">
        <v>74</v>
      </c>
      <c r="AB309" t="s">
        <v>74</v>
      </c>
      <c r="AC309" t="s">
        <v>5624</v>
      </c>
      <c r="AD309" t="s">
        <v>5625</v>
      </c>
      <c r="AE309" t="s">
        <v>5626</v>
      </c>
      <c r="AF309" t="s">
        <v>74</v>
      </c>
      <c r="AG309">
        <v>85</v>
      </c>
      <c r="AH309">
        <v>1</v>
      </c>
      <c r="AI309">
        <v>1</v>
      </c>
      <c r="AJ309">
        <v>1</v>
      </c>
      <c r="AK309">
        <v>1</v>
      </c>
      <c r="AL309" t="s">
        <v>90</v>
      </c>
      <c r="AM309" t="s">
        <v>91</v>
      </c>
      <c r="AN309" t="s">
        <v>92</v>
      </c>
      <c r="AO309" t="s">
        <v>5627</v>
      </c>
      <c r="AP309" t="s">
        <v>5628</v>
      </c>
      <c r="AQ309" t="s">
        <v>74</v>
      </c>
      <c r="AR309" t="s">
        <v>5629</v>
      </c>
      <c r="AS309" t="s">
        <v>5630</v>
      </c>
      <c r="AT309" t="s">
        <v>5295</v>
      </c>
      <c r="AU309">
        <v>2023</v>
      </c>
      <c r="AV309">
        <v>204</v>
      </c>
      <c r="AW309" t="s">
        <v>74</v>
      </c>
      <c r="AX309" t="s">
        <v>337</v>
      </c>
      <c r="AY309" t="s">
        <v>74</v>
      </c>
      <c r="AZ309" t="s">
        <v>74</v>
      </c>
      <c r="BA309" t="s">
        <v>74</v>
      </c>
      <c r="BB309" t="s">
        <v>74</v>
      </c>
      <c r="BC309" t="s">
        <v>74</v>
      </c>
      <c r="BD309">
        <v>117276</v>
      </c>
      <c r="BE309" t="s">
        <v>5631</v>
      </c>
      <c r="BF309" t="str">
        <f>HYPERLINK("http://dx.doi.org/10.1016/j.indcrop.2023.117276","http://dx.doi.org/10.1016/j.indcrop.2023.117276")</f>
        <v>http://dx.doi.org/10.1016/j.indcrop.2023.117276</v>
      </c>
      <c r="BG309" t="s">
        <v>74</v>
      </c>
      <c r="BH309" t="s">
        <v>74</v>
      </c>
      <c r="BI309">
        <v>12</v>
      </c>
      <c r="BJ309" t="s">
        <v>5632</v>
      </c>
      <c r="BK309" t="s">
        <v>100</v>
      </c>
      <c r="BL309" t="s">
        <v>3447</v>
      </c>
      <c r="BM309" t="s">
        <v>5633</v>
      </c>
      <c r="BN309" t="s">
        <v>74</v>
      </c>
      <c r="BO309" t="s">
        <v>74</v>
      </c>
      <c r="BP309" t="s">
        <v>74</v>
      </c>
      <c r="BQ309" t="s">
        <v>74</v>
      </c>
      <c r="BR309" t="s">
        <v>104</v>
      </c>
      <c r="BS309" t="s">
        <v>5634</v>
      </c>
      <c r="BT309" t="str">
        <f>HYPERLINK("https%3A%2F%2Fwww.webofscience.com%2Fwos%2Fwoscc%2Ffull-record%2FWOS:001069777900001","View Full Record in Web of Science")</f>
        <v>View Full Record in Web of Science</v>
      </c>
    </row>
    <row r="310" spans="1:72" x14ac:dyDescent="0.15">
      <c r="A310" t="s">
        <v>72</v>
      </c>
      <c r="B310" t="s">
        <v>5635</v>
      </c>
      <c r="C310" t="s">
        <v>74</v>
      </c>
      <c r="D310" t="s">
        <v>74</v>
      </c>
      <c r="E310" t="s">
        <v>74</v>
      </c>
      <c r="F310" t="s">
        <v>5636</v>
      </c>
      <c r="G310" t="s">
        <v>74</v>
      </c>
      <c r="H310" t="s">
        <v>74</v>
      </c>
      <c r="I310" t="s">
        <v>5637</v>
      </c>
      <c r="J310" t="s">
        <v>3061</v>
      </c>
      <c r="K310" t="s">
        <v>74</v>
      </c>
      <c r="L310" t="s">
        <v>74</v>
      </c>
      <c r="M310" t="s">
        <v>78</v>
      </c>
      <c r="N310" t="s">
        <v>79</v>
      </c>
      <c r="O310" t="s">
        <v>74</v>
      </c>
      <c r="P310" t="s">
        <v>74</v>
      </c>
      <c r="Q310" t="s">
        <v>74</v>
      </c>
      <c r="R310" t="s">
        <v>74</v>
      </c>
      <c r="S310" t="s">
        <v>74</v>
      </c>
      <c r="T310" t="s">
        <v>5638</v>
      </c>
      <c r="U310" t="s">
        <v>5639</v>
      </c>
      <c r="V310" t="s">
        <v>5640</v>
      </c>
      <c r="W310" t="s">
        <v>5641</v>
      </c>
      <c r="X310" t="s">
        <v>5642</v>
      </c>
      <c r="Y310" t="s">
        <v>5643</v>
      </c>
      <c r="Z310" t="s">
        <v>5644</v>
      </c>
      <c r="AA310" t="s">
        <v>74</v>
      </c>
      <c r="AB310" t="s">
        <v>74</v>
      </c>
      <c r="AC310" t="s">
        <v>5645</v>
      </c>
      <c r="AD310" t="s">
        <v>5646</v>
      </c>
      <c r="AE310" t="s">
        <v>5647</v>
      </c>
      <c r="AF310" t="s">
        <v>74</v>
      </c>
      <c r="AG310">
        <v>75</v>
      </c>
      <c r="AH310">
        <v>0</v>
      </c>
      <c r="AI310">
        <v>0</v>
      </c>
      <c r="AJ310">
        <v>0</v>
      </c>
      <c r="AK310">
        <v>0</v>
      </c>
      <c r="AL310" t="s">
        <v>120</v>
      </c>
      <c r="AM310" t="s">
        <v>121</v>
      </c>
      <c r="AN310" t="s">
        <v>122</v>
      </c>
      <c r="AO310" t="s">
        <v>3072</v>
      </c>
      <c r="AP310" t="s">
        <v>3073</v>
      </c>
      <c r="AQ310" t="s">
        <v>74</v>
      </c>
      <c r="AR310" t="s">
        <v>3074</v>
      </c>
      <c r="AS310" t="s">
        <v>3075</v>
      </c>
      <c r="AT310" t="s">
        <v>5295</v>
      </c>
      <c r="AU310">
        <v>2023</v>
      </c>
      <c r="AV310">
        <v>350</v>
      </c>
      <c r="AW310" t="s">
        <v>74</v>
      </c>
      <c r="AX310" t="s">
        <v>74</v>
      </c>
      <c r="AY310" t="s">
        <v>74</v>
      </c>
      <c r="AZ310" t="s">
        <v>74</v>
      </c>
      <c r="BA310" t="s">
        <v>74</v>
      </c>
      <c r="BB310" t="s">
        <v>74</v>
      </c>
      <c r="BC310" t="s">
        <v>74</v>
      </c>
      <c r="BD310">
        <v>121714</v>
      </c>
      <c r="BE310" t="s">
        <v>5648</v>
      </c>
      <c r="BF310" t="str">
        <f>HYPERLINK("http://dx.doi.org/10.1016/j.apenergy.2023.121714","http://dx.doi.org/10.1016/j.apenergy.2023.121714")</f>
        <v>http://dx.doi.org/10.1016/j.apenergy.2023.121714</v>
      </c>
      <c r="BG310" t="s">
        <v>74</v>
      </c>
      <c r="BH310" t="s">
        <v>74</v>
      </c>
      <c r="BI310">
        <v>24</v>
      </c>
      <c r="BJ310" t="s">
        <v>276</v>
      </c>
      <c r="BK310" t="s">
        <v>100</v>
      </c>
      <c r="BL310" t="s">
        <v>277</v>
      </c>
      <c r="BM310" t="s">
        <v>5649</v>
      </c>
      <c r="BN310" t="s">
        <v>74</v>
      </c>
      <c r="BO310" t="s">
        <v>74</v>
      </c>
      <c r="BP310" t="s">
        <v>74</v>
      </c>
      <c r="BQ310" t="s">
        <v>74</v>
      </c>
      <c r="BR310" t="s">
        <v>104</v>
      </c>
      <c r="BS310" t="s">
        <v>5650</v>
      </c>
      <c r="BT310" t="str">
        <f>HYPERLINK("https%3A%2F%2Fwww.webofscience.com%2Fwos%2Fwoscc%2Ffull-record%2FWOS:001066086900001","View Full Record in Web of Science")</f>
        <v>View Full Record in Web of Science</v>
      </c>
    </row>
    <row r="311" spans="1:72" x14ac:dyDescent="0.15">
      <c r="A311" t="s">
        <v>72</v>
      </c>
      <c r="B311" t="s">
        <v>5651</v>
      </c>
      <c r="C311" t="s">
        <v>74</v>
      </c>
      <c r="D311" t="s">
        <v>74</v>
      </c>
      <c r="E311" t="s">
        <v>74</v>
      </c>
      <c r="F311" t="s">
        <v>5652</v>
      </c>
      <c r="G311" t="s">
        <v>74</v>
      </c>
      <c r="H311" t="s">
        <v>74</v>
      </c>
      <c r="I311" t="s">
        <v>5653</v>
      </c>
      <c r="J311" t="s">
        <v>5327</v>
      </c>
      <c r="K311" t="s">
        <v>74</v>
      </c>
      <c r="L311" t="s">
        <v>74</v>
      </c>
      <c r="M311" t="s">
        <v>78</v>
      </c>
      <c r="N311" t="s">
        <v>79</v>
      </c>
      <c r="O311" t="s">
        <v>74</v>
      </c>
      <c r="P311" t="s">
        <v>74</v>
      </c>
      <c r="Q311" t="s">
        <v>74</v>
      </c>
      <c r="R311" t="s">
        <v>74</v>
      </c>
      <c r="S311" t="s">
        <v>74</v>
      </c>
      <c r="T311" t="s">
        <v>5654</v>
      </c>
      <c r="U311" t="s">
        <v>74</v>
      </c>
      <c r="V311" t="s">
        <v>5655</v>
      </c>
      <c r="W311" t="s">
        <v>5656</v>
      </c>
      <c r="X311" t="s">
        <v>74</v>
      </c>
      <c r="Y311" t="s">
        <v>5657</v>
      </c>
      <c r="Z311" t="s">
        <v>5658</v>
      </c>
      <c r="AA311" t="s">
        <v>74</v>
      </c>
      <c r="AB311" t="s">
        <v>5659</v>
      </c>
      <c r="AC311" t="s">
        <v>5660</v>
      </c>
      <c r="AD311" t="s">
        <v>5661</v>
      </c>
      <c r="AE311" t="s">
        <v>5662</v>
      </c>
      <c r="AF311" t="s">
        <v>74</v>
      </c>
      <c r="AG311">
        <v>11</v>
      </c>
      <c r="AH311">
        <v>0</v>
      </c>
      <c r="AI311">
        <v>0</v>
      </c>
      <c r="AJ311">
        <v>0</v>
      </c>
      <c r="AK311">
        <v>0</v>
      </c>
      <c r="AL311" t="s">
        <v>475</v>
      </c>
      <c r="AM311" t="s">
        <v>476</v>
      </c>
      <c r="AN311" t="s">
        <v>477</v>
      </c>
      <c r="AO311" t="s">
        <v>5340</v>
      </c>
      <c r="AP311" t="s">
        <v>5341</v>
      </c>
      <c r="AQ311" t="s">
        <v>74</v>
      </c>
      <c r="AR311" t="s">
        <v>5342</v>
      </c>
      <c r="AS311" t="s">
        <v>5343</v>
      </c>
      <c r="AT311" t="s">
        <v>5295</v>
      </c>
      <c r="AU311">
        <v>2023</v>
      </c>
      <c r="AV311">
        <v>373</v>
      </c>
      <c r="AW311" t="s">
        <v>74</v>
      </c>
      <c r="AX311" t="s">
        <v>74</v>
      </c>
      <c r="AY311" t="s">
        <v>74</v>
      </c>
      <c r="AZ311" t="s">
        <v>74</v>
      </c>
      <c r="BA311" t="s">
        <v>74</v>
      </c>
      <c r="BB311">
        <v>446</v>
      </c>
      <c r="BC311">
        <v>475</v>
      </c>
      <c r="BD311" t="s">
        <v>74</v>
      </c>
      <c r="BE311" t="s">
        <v>5663</v>
      </c>
      <c r="BF311" t="str">
        <f>HYPERLINK("http://dx.doi.org/10.1016/j.jde.2023.07.026","http://dx.doi.org/10.1016/j.jde.2023.07.026")</f>
        <v>http://dx.doi.org/10.1016/j.jde.2023.07.026</v>
      </c>
      <c r="BG311" t="s">
        <v>74</v>
      </c>
      <c r="BH311" t="s">
        <v>74</v>
      </c>
      <c r="BI311">
        <v>30</v>
      </c>
      <c r="BJ311" t="s">
        <v>101</v>
      </c>
      <c r="BK311" t="s">
        <v>100</v>
      </c>
      <c r="BL311" t="s">
        <v>101</v>
      </c>
      <c r="BM311" t="s">
        <v>5664</v>
      </c>
      <c r="BN311" t="s">
        <v>74</v>
      </c>
      <c r="BO311" t="s">
        <v>103</v>
      </c>
      <c r="BP311" t="s">
        <v>74</v>
      </c>
      <c r="BQ311" t="s">
        <v>74</v>
      </c>
      <c r="BR311" t="s">
        <v>104</v>
      </c>
      <c r="BS311" t="s">
        <v>5665</v>
      </c>
      <c r="BT311" t="str">
        <f>HYPERLINK("https%3A%2F%2Fwww.webofscience.com%2Fwos%2Fwoscc%2Ffull-record%2FWOS:001047686300001","View Full Record in Web of Science")</f>
        <v>View Full Record in Web of Science</v>
      </c>
    </row>
    <row r="312" spans="1:72" x14ac:dyDescent="0.15">
      <c r="A312" t="s">
        <v>72</v>
      </c>
      <c r="B312" t="s">
        <v>5666</v>
      </c>
      <c r="C312" t="s">
        <v>74</v>
      </c>
      <c r="D312" t="s">
        <v>74</v>
      </c>
      <c r="E312" t="s">
        <v>74</v>
      </c>
      <c r="F312" t="s">
        <v>5667</v>
      </c>
      <c r="G312" t="s">
        <v>74</v>
      </c>
      <c r="H312" t="s">
        <v>74</v>
      </c>
      <c r="I312" t="s">
        <v>5668</v>
      </c>
      <c r="J312" t="s">
        <v>441</v>
      </c>
      <c r="K312" t="s">
        <v>74</v>
      </c>
      <c r="L312" t="s">
        <v>74</v>
      </c>
      <c r="M312" t="s">
        <v>78</v>
      </c>
      <c r="N312" t="s">
        <v>79</v>
      </c>
      <c r="O312" t="s">
        <v>74</v>
      </c>
      <c r="P312" t="s">
        <v>74</v>
      </c>
      <c r="Q312" t="s">
        <v>74</v>
      </c>
      <c r="R312" t="s">
        <v>74</v>
      </c>
      <c r="S312" t="s">
        <v>74</v>
      </c>
      <c r="T312" t="s">
        <v>5669</v>
      </c>
      <c r="U312" t="s">
        <v>5670</v>
      </c>
      <c r="V312" t="s">
        <v>5671</v>
      </c>
      <c r="W312" t="s">
        <v>5672</v>
      </c>
      <c r="X312" t="s">
        <v>5673</v>
      </c>
      <c r="Y312" t="s">
        <v>5674</v>
      </c>
      <c r="Z312" t="s">
        <v>5675</v>
      </c>
      <c r="AA312" t="s">
        <v>5676</v>
      </c>
      <c r="AB312" t="s">
        <v>5677</v>
      </c>
      <c r="AC312" t="s">
        <v>5678</v>
      </c>
      <c r="AD312" t="s">
        <v>5679</v>
      </c>
      <c r="AE312" t="s">
        <v>5680</v>
      </c>
      <c r="AF312" t="s">
        <v>74</v>
      </c>
      <c r="AG312">
        <v>81</v>
      </c>
      <c r="AH312">
        <v>0</v>
      </c>
      <c r="AI312">
        <v>0</v>
      </c>
      <c r="AJ312">
        <v>35</v>
      </c>
      <c r="AK312">
        <v>35</v>
      </c>
      <c r="AL312" t="s">
        <v>90</v>
      </c>
      <c r="AM312" t="s">
        <v>91</v>
      </c>
      <c r="AN312" t="s">
        <v>92</v>
      </c>
      <c r="AO312" t="s">
        <v>452</v>
      </c>
      <c r="AP312" t="s">
        <v>453</v>
      </c>
      <c r="AQ312" t="s">
        <v>74</v>
      </c>
      <c r="AR312" t="s">
        <v>454</v>
      </c>
      <c r="AS312" t="s">
        <v>455</v>
      </c>
      <c r="AT312" t="s">
        <v>5295</v>
      </c>
      <c r="AU312">
        <v>2023</v>
      </c>
      <c r="AV312">
        <v>337</v>
      </c>
      <c r="AW312" t="s">
        <v>74</v>
      </c>
      <c r="AX312" t="s">
        <v>74</v>
      </c>
      <c r="AY312" t="s">
        <v>74</v>
      </c>
      <c r="AZ312" t="s">
        <v>74</v>
      </c>
      <c r="BA312" t="s">
        <v>74</v>
      </c>
      <c r="BB312" t="s">
        <v>74</v>
      </c>
      <c r="BC312" t="s">
        <v>74</v>
      </c>
      <c r="BD312">
        <v>122933</v>
      </c>
      <c r="BE312" t="s">
        <v>5681</v>
      </c>
      <c r="BF312" t="str">
        <f>HYPERLINK("http://dx.doi.org/10.1016/j.apcatb.2023.122933","http://dx.doi.org/10.1016/j.apcatb.2023.122933")</f>
        <v>http://dx.doi.org/10.1016/j.apcatb.2023.122933</v>
      </c>
      <c r="BG312" t="s">
        <v>74</v>
      </c>
      <c r="BH312" t="s">
        <v>74</v>
      </c>
      <c r="BI312">
        <v>13</v>
      </c>
      <c r="BJ312" t="s">
        <v>457</v>
      </c>
      <c r="BK312" t="s">
        <v>100</v>
      </c>
      <c r="BL312" t="s">
        <v>458</v>
      </c>
      <c r="BM312" t="s">
        <v>5682</v>
      </c>
      <c r="BN312" t="s">
        <v>74</v>
      </c>
      <c r="BO312" t="s">
        <v>74</v>
      </c>
      <c r="BP312" t="s">
        <v>74</v>
      </c>
      <c r="BQ312" t="s">
        <v>74</v>
      </c>
      <c r="BR312" t="s">
        <v>104</v>
      </c>
      <c r="BS312" t="s">
        <v>5683</v>
      </c>
      <c r="BT312" t="str">
        <f>HYPERLINK("https%3A%2F%2Fwww.webofscience.com%2Fwos%2Fwoscc%2Ffull-record%2FWOS:001056548700001","View Full Record in Web of Science")</f>
        <v>View Full Record in Web of Science</v>
      </c>
    </row>
    <row r="313" spans="1:72" x14ac:dyDescent="0.15">
      <c r="A313" t="s">
        <v>72</v>
      </c>
      <c r="B313" t="s">
        <v>5684</v>
      </c>
      <c r="C313" t="s">
        <v>74</v>
      </c>
      <c r="D313" t="s">
        <v>74</v>
      </c>
      <c r="E313" t="s">
        <v>74</v>
      </c>
      <c r="F313" t="s">
        <v>5685</v>
      </c>
      <c r="G313" t="s">
        <v>74</v>
      </c>
      <c r="H313" t="s">
        <v>74</v>
      </c>
      <c r="I313" t="s">
        <v>5686</v>
      </c>
      <c r="J313" t="s">
        <v>5687</v>
      </c>
      <c r="K313" t="s">
        <v>74</v>
      </c>
      <c r="L313" t="s">
        <v>74</v>
      </c>
      <c r="M313" t="s">
        <v>78</v>
      </c>
      <c r="N313" t="s">
        <v>79</v>
      </c>
      <c r="O313" t="s">
        <v>74</v>
      </c>
      <c r="P313" t="s">
        <v>74</v>
      </c>
      <c r="Q313" t="s">
        <v>74</v>
      </c>
      <c r="R313" t="s">
        <v>74</v>
      </c>
      <c r="S313" t="s">
        <v>74</v>
      </c>
      <c r="T313" t="s">
        <v>5688</v>
      </c>
      <c r="U313" t="s">
        <v>5689</v>
      </c>
      <c r="V313" t="s">
        <v>5690</v>
      </c>
      <c r="W313" t="s">
        <v>5691</v>
      </c>
      <c r="X313" t="s">
        <v>5692</v>
      </c>
      <c r="Y313" t="s">
        <v>5693</v>
      </c>
      <c r="Z313" t="s">
        <v>5694</v>
      </c>
      <c r="AA313" t="s">
        <v>74</v>
      </c>
      <c r="AB313" t="s">
        <v>74</v>
      </c>
      <c r="AC313" t="s">
        <v>5695</v>
      </c>
      <c r="AD313" t="s">
        <v>5696</v>
      </c>
      <c r="AE313" t="s">
        <v>5697</v>
      </c>
      <c r="AF313" t="s">
        <v>74</v>
      </c>
      <c r="AG313">
        <v>55</v>
      </c>
      <c r="AH313">
        <v>0</v>
      </c>
      <c r="AI313">
        <v>0</v>
      </c>
      <c r="AJ313">
        <v>2</v>
      </c>
      <c r="AK313">
        <v>2</v>
      </c>
      <c r="AL313" t="s">
        <v>90</v>
      </c>
      <c r="AM313" t="s">
        <v>91</v>
      </c>
      <c r="AN313" t="s">
        <v>92</v>
      </c>
      <c r="AO313" t="s">
        <v>5698</v>
      </c>
      <c r="AP313" t="s">
        <v>5699</v>
      </c>
      <c r="AQ313" t="s">
        <v>74</v>
      </c>
      <c r="AR313" t="s">
        <v>5687</v>
      </c>
      <c r="AS313" t="s">
        <v>5700</v>
      </c>
      <c r="AT313" t="s">
        <v>5295</v>
      </c>
      <c r="AU313">
        <v>2023</v>
      </c>
      <c r="AV313">
        <v>566</v>
      </c>
      <c r="AW313" t="s">
        <v>74</v>
      </c>
      <c r="AX313" t="s">
        <v>74</v>
      </c>
      <c r="AY313" t="s">
        <v>74</v>
      </c>
      <c r="AZ313" t="s">
        <v>74</v>
      </c>
      <c r="BA313" t="s">
        <v>74</v>
      </c>
      <c r="BB313" t="s">
        <v>74</v>
      </c>
      <c r="BC313" t="s">
        <v>74</v>
      </c>
      <c r="BD313">
        <v>116907</v>
      </c>
      <c r="BE313" t="s">
        <v>5701</v>
      </c>
      <c r="BF313" t="str">
        <f>HYPERLINK("http://dx.doi.org/10.1016/j.desal.2023.116907","http://dx.doi.org/10.1016/j.desal.2023.116907")</f>
        <v>http://dx.doi.org/10.1016/j.desal.2023.116907</v>
      </c>
      <c r="BG313" t="s">
        <v>74</v>
      </c>
      <c r="BH313" t="s">
        <v>74</v>
      </c>
      <c r="BI313">
        <v>10</v>
      </c>
      <c r="BJ313" t="s">
        <v>5702</v>
      </c>
      <c r="BK313" t="s">
        <v>100</v>
      </c>
      <c r="BL313" t="s">
        <v>5703</v>
      </c>
      <c r="BM313" t="s">
        <v>5704</v>
      </c>
      <c r="BN313" t="s">
        <v>74</v>
      </c>
      <c r="BO313" t="s">
        <v>74</v>
      </c>
      <c r="BP313" t="s">
        <v>74</v>
      </c>
      <c r="BQ313" t="s">
        <v>74</v>
      </c>
      <c r="BR313" t="s">
        <v>104</v>
      </c>
      <c r="BS313" t="s">
        <v>5705</v>
      </c>
      <c r="BT313" t="str">
        <f>HYPERLINK("https%3A%2F%2Fwww.webofscience.com%2Fwos%2Fwoscc%2Ffull-record%2FWOS:001062416900001","View Full Record in Web of Science")</f>
        <v>View Full Record in Web of Science</v>
      </c>
    </row>
    <row r="314" spans="1:72" x14ac:dyDescent="0.15">
      <c r="A314" t="s">
        <v>72</v>
      </c>
      <c r="B314" t="s">
        <v>5706</v>
      </c>
      <c r="C314" t="s">
        <v>74</v>
      </c>
      <c r="D314" t="s">
        <v>74</v>
      </c>
      <c r="E314" t="s">
        <v>74</v>
      </c>
      <c r="F314" t="s">
        <v>5707</v>
      </c>
      <c r="G314" t="s">
        <v>74</v>
      </c>
      <c r="H314" t="s">
        <v>74</v>
      </c>
      <c r="I314" t="s">
        <v>5708</v>
      </c>
      <c r="J314" t="s">
        <v>1524</v>
      </c>
      <c r="K314" t="s">
        <v>74</v>
      </c>
      <c r="L314" t="s">
        <v>74</v>
      </c>
      <c r="M314" t="s">
        <v>78</v>
      </c>
      <c r="N314" t="s">
        <v>79</v>
      </c>
      <c r="O314" t="s">
        <v>74</v>
      </c>
      <c r="P314" t="s">
        <v>74</v>
      </c>
      <c r="Q314" t="s">
        <v>74</v>
      </c>
      <c r="R314" t="s">
        <v>74</v>
      </c>
      <c r="S314" t="s">
        <v>74</v>
      </c>
      <c r="T314" t="s">
        <v>5709</v>
      </c>
      <c r="U314" t="s">
        <v>5710</v>
      </c>
      <c r="V314" t="s">
        <v>5711</v>
      </c>
      <c r="W314" t="s">
        <v>5712</v>
      </c>
      <c r="X314" t="s">
        <v>5713</v>
      </c>
      <c r="Y314" t="s">
        <v>5714</v>
      </c>
      <c r="Z314" t="s">
        <v>5715</v>
      </c>
      <c r="AA314" t="s">
        <v>5716</v>
      </c>
      <c r="AB314" t="s">
        <v>5717</v>
      </c>
      <c r="AC314" t="s">
        <v>5718</v>
      </c>
      <c r="AD314" t="s">
        <v>5719</v>
      </c>
      <c r="AE314" t="s">
        <v>5720</v>
      </c>
      <c r="AF314" t="s">
        <v>74</v>
      </c>
      <c r="AG314">
        <v>52</v>
      </c>
      <c r="AH314">
        <v>0</v>
      </c>
      <c r="AI314">
        <v>0</v>
      </c>
      <c r="AJ314">
        <v>52</v>
      </c>
      <c r="AK314">
        <v>52</v>
      </c>
      <c r="AL314" t="s">
        <v>90</v>
      </c>
      <c r="AM314" t="s">
        <v>91</v>
      </c>
      <c r="AN314" t="s">
        <v>92</v>
      </c>
      <c r="AO314" t="s">
        <v>1534</v>
      </c>
      <c r="AP314" t="s">
        <v>1535</v>
      </c>
      <c r="AQ314" t="s">
        <v>74</v>
      </c>
      <c r="AR314" t="s">
        <v>1536</v>
      </c>
      <c r="AS314" t="s">
        <v>1537</v>
      </c>
      <c r="AT314" t="s">
        <v>5295</v>
      </c>
      <c r="AU314">
        <v>2023</v>
      </c>
      <c r="AV314">
        <v>899</v>
      </c>
      <c r="AW314" t="s">
        <v>74</v>
      </c>
      <c r="AX314" t="s">
        <v>74</v>
      </c>
      <c r="AY314" t="s">
        <v>74</v>
      </c>
      <c r="AZ314" t="s">
        <v>74</v>
      </c>
      <c r="BA314" t="s">
        <v>74</v>
      </c>
      <c r="BB314" t="s">
        <v>74</v>
      </c>
      <c r="BC314" t="s">
        <v>74</v>
      </c>
      <c r="BD314">
        <v>165677</v>
      </c>
      <c r="BE314" t="s">
        <v>5721</v>
      </c>
      <c r="BF314" t="str">
        <f>HYPERLINK("http://dx.doi.org/10.1016/j.scitotenv.2023.165677","http://dx.doi.org/10.1016/j.scitotenv.2023.165677")</f>
        <v>http://dx.doi.org/10.1016/j.scitotenv.2023.165677</v>
      </c>
      <c r="BG314" t="s">
        <v>74</v>
      </c>
      <c r="BH314" t="s">
        <v>74</v>
      </c>
      <c r="BI314">
        <v>10</v>
      </c>
      <c r="BJ314" t="s">
        <v>1539</v>
      </c>
      <c r="BK314" t="s">
        <v>100</v>
      </c>
      <c r="BL314" t="s">
        <v>1540</v>
      </c>
      <c r="BM314" t="s">
        <v>5722</v>
      </c>
      <c r="BN314">
        <v>37478952</v>
      </c>
      <c r="BO314" t="s">
        <v>74</v>
      </c>
      <c r="BP314" t="s">
        <v>74</v>
      </c>
      <c r="BQ314" t="s">
        <v>74</v>
      </c>
      <c r="BR314" t="s">
        <v>104</v>
      </c>
      <c r="BS314" t="s">
        <v>5723</v>
      </c>
      <c r="BT314" t="str">
        <f>HYPERLINK("https%3A%2F%2Fwww.webofscience.com%2Fwos%2Fwoscc%2Ffull-record%2FWOS:001050605600001","View Full Record in Web of Science")</f>
        <v>View Full Record in Web of Science</v>
      </c>
    </row>
    <row r="315" spans="1:72" x14ac:dyDescent="0.15">
      <c r="A315" t="s">
        <v>72</v>
      </c>
      <c r="B315" t="s">
        <v>5724</v>
      </c>
      <c r="C315" t="s">
        <v>74</v>
      </c>
      <c r="D315" t="s">
        <v>74</v>
      </c>
      <c r="E315" t="s">
        <v>74</v>
      </c>
      <c r="F315" t="s">
        <v>5725</v>
      </c>
      <c r="G315" t="s">
        <v>74</v>
      </c>
      <c r="H315" t="s">
        <v>74</v>
      </c>
      <c r="I315" t="s">
        <v>5726</v>
      </c>
      <c r="J315" t="s">
        <v>5727</v>
      </c>
      <c r="K315" t="s">
        <v>74</v>
      </c>
      <c r="L315" t="s">
        <v>74</v>
      </c>
      <c r="M315" t="s">
        <v>78</v>
      </c>
      <c r="N315" t="s">
        <v>241</v>
      </c>
      <c r="O315" t="s">
        <v>74</v>
      </c>
      <c r="P315" t="s">
        <v>74</v>
      </c>
      <c r="Q315" t="s">
        <v>74</v>
      </c>
      <c r="R315" t="s">
        <v>74</v>
      </c>
      <c r="S315" t="s">
        <v>74</v>
      </c>
      <c r="T315" t="s">
        <v>5728</v>
      </c>
      <c r="U315" t="s">
        <v>5729</v>
      </c>
      <c r="V315" t="s">
        <v>5730</v>
      </c>
      <c r="W315" t="s">
        <v>5731</v>
      </c>
      <c r="X315" t="s">
        <v>5732</v>
      </c>
      <c r="Y315" t="s">
        <v>5733</v>
      </c>
      <c r="Z315" t="s">
        <v>5734</v>
      </c>
      <c r="AA315" t="s">
        <v>74</v>
      </c>
      <c r="AB315" t="s">
        <v>74</v>
      </c>
      <c r="AC315" t="s">
        <v>5735</v>
      </c>
      <c r="AD315" t="s">
        <v>5736</v>
      </c>
      <c r="AE315" t="s">
        <v>5737</v>
      </c>
      <c r="AF315" t="s">
        <v>74</v>
      </c>
      <c r="AG315">
        <v>199</v>
      </c>
      <c r="AH315">
        <v>0</v>
      </c>
      <c r="AI315">
        <v>0</v>
      </c>
      <c r="AJ315">
        <v>0</v>
      </c>
      <c r="AK315">
        <v>0</v>
      </c>
      <c r="AL315" t="s">
        <v>955</v>
      </c>
      <c r="AM315" t="s">
        <v>956</v>
      </c>
      <c r="AN315" t="s">
        <v>957</v>
      </c>
      <c r="AO315" t="s">
        <v>5738</v>
      </c>
      <c r="AP315" t="s">
        <v>5739</v>
      </c>
      <c r="AQ315" t="s">
        <v>74</v>
      </c>
      <c r="AR315" t="s">
        <v>5740</v>
      </c>
      <c r="AS315" t="s">
        <v>5741</v>
      </c>
      <c r="AT315" t="s">
        <v>5295</v>
      </c>
      <c r="AU315">
        <v>2023</v>
      </c>
      <c r="AV315">
        <v>495</v>
      </c>
      <c r="AW315" t="s">
        <v>74</v>
      </c>
      <c r="AX315" t="s">
        <v>74</v>
      </c>
      <c r="AY315" t="s">
        <v>74</v>
      </c>
      <c r="AZ315" t="s">
        <v>74</v>
      </c>
      <c r="BA315" t="s">
        <v>74</v>
      </c>
      <c r="BB315" t="s">
        <v>74</v>
      </c>
      <c r="BC315" t="s">
        <v>74</v>
      </c>
      <c r="BD315">
        <v>215382</v>
      </c>
      <c r="BE315" t="s">
        <v>5742</v>
      </c>
      <c r="BF315" t="str">
        <f>HYPERLINK("http://dx.doi.org/10.1016/j.ccr.2023.215382","http://dx.doi.org/10.1016/j.ccr.2023.215382")</f>
        <v>http://dx.doi.org/10.1016/j.ccr.2023.215382</v>
      </c>
      <c r="BG315" t="s">
        <v>74</v>
      </c>
      <c r="BH315" t="s">
        <v>74</v>
      </c>
      <c r="BI315">
        <v>22</v>
      </c>
      <c r="BJ315" t="s">
        <v>5743</v>
      </c>
      <c r="BK315" t="s">
        <v>100</v>
      </c>
      <c r="BL315" t="s">
        <v>395</v>
      </c>
      <c r="BM315" t="s">
        <v>5744</v>
      </c>
      <c r="BN315" t="s">
        <v>74</v>
      </c>
      <c r="BO315" t="s">
        <v>74</v>
      </c>
      <c r="BP315" t="s">
        <v>74</v>
      </c>
      <c r="BQ315" t="s">
        <v>74</v>
      </c>
      <c r="BR315" t="s">
        <v>104</v>
      </c>
      <c r="BS315" t="s">
        <v>5745</v>
      </c>
      <c r="BT315" t="str">
        <f>HYPERLINK("https%3A%2F%2Fwww.webofscience.com%2Fwos%2Fwoscc%2Ffull-record%2FWOS:001062196500001","View Full Record in Web of Science")</f>
        <v>View Full Record in Web of Science</v>
      </c>
    </row>
    <row r="316" spans="1:72" x14ac:dyDescent="0.15">
      <c r="A316" t="s">
        <v>72</v>
      </c>
      <c r="B316" t="s">
        <v>5746</v>
      </c>
      <c r="C316" t="s">
        <v>74</v>
      </c>
      <c r="D316" t="s">
        <v>74</v>
      </c>
      <c r="E316" t="s">
        <v>74</v>
      </c>
      <c r="F316" t="s">
        <v>5747</v>
      </c>
      <c r="G316" t="s">
        <v>74</v>
      </c>
      <c r="H316" t="s">
        <v>74</v>
      </c>
      <c r="I316" t="s">
        <v>5748</v>
      </c>
      <c r="J316" t="s">
        <v>1564</v>
      </c>
      <c r="K316" t="s">
        <v>74</v>
      </c>
      <c r="L316" t="s">
        <v>74</v>
      </c>
      <c r="M316" t="s">
        <v>78</v>
      </c>
      <c r="N316" t="s">
        <v>79</v>
      </c>
      <c r="O316" t="s">
        <v>74</v>
      </c>
      <c r="P316" t="s">
        <v>74</v>
      </c>
      <c r="Q316" t="s">
        <v>74</v>
      </c>
      <c r="R316" t="s">
        <v>74</v>
      </c>
      <c r="S316" t="s">
        <v>74</v>
      </c>
      <c r="T316" t="s">
        <v>5749</v>
      </c>
      <c r="U316" t="s">
        <v>5750</v>
      </c>
      <c r="V316" t="s">
        <v>5751</v>
      </c>
      <c r="W316" t="s">
        <v>5752</v>
      </c>
      <c r="X316" t="s">
        <v>5753</v>
      </c>
      <c r="Y316" t="s">
        <v>5754</v>
      </c>
      <c r="Z316" t="s">
        <v>5755</v>
      </c>
      <c r="AA316" t="s">
        <v>74</v>
      </c>
      <c r="AB316" t="s">
        <v>74</v>
      </c>
      <c r="AC316" t="s">
        <v>74</v>
      </c>
      <c r="AD316" t="s">
        <v>74</v>
      </c>
      <c r="AE316" t="s">
        <v>74</v>
      </c>
      <c r="AF316" t="s">
        <v>74</v>
      </c>
      <c r="AG316">
        <v>18</v>
      </c>
      <c r="AH316">
        <v>0</v>
      </c>
      <c r="AI316">
        <v>0</v>
      </c>
      <c r="AJ316">
        <v>0</v>
      </c>
      <c r="AK316">
        <v>0</v>
      </c>
      <c r="AL316" t="s">
        <v>90</v>
      </c>
      <c r="AM316" t="s">
        <v>91</v>
      </c>
      <c r="AN316" t="s">
        <v>92</v>
      </c>
      <c r="AO316" t="s">
        <v>1576</v>
      </c>
      <c r="AP316" t="s">
        <v>1577</v>
      </c>
      <c r="AQ316" t="s">
        <v>74</v>
      </c>
      <c r="AR316" t="s">
        <v>1578</v>
      </c>
      <c r="AS316" t="s">
        <v>1579</v>
      </c>
      <c r="AT316" t="s">
        <v>5295</v>
      </c>
      <c r="AU316">
        <v>2023</v>
      </c>
      <c r="AV316">
        <v>339</v>
      </c>
      <c r="AW316" t="s">
        <v>74</v>
      </c>
      <c r="AX316" t="s">
        <v>74</v>
      </c>
      <c r="AY316" t="s">
        <v>74</v>
      </c>
      <c r="AZ316" t="s">
        <v>74</v>
      </c>
      <c r="BA316" t="s">
        <v>74</v>
      </c>
      <c r="BB316">
        <v>349</v>
      </c>
      <c r="BC316">
        <v>361</v>
      </c>
      <c r="BD316" t="s">
        <v>74</v>
      </c>
      <c r="BE316" t="s">
        <v>5756</v>
      </c>
      <c r="BF316" t="str">
        <f>HYPERLINK("http://dx.doi.org/10.1016/j.dam.2023.04.018","http://dx.doi.org/10.1016/j.dam.2023.04.018")</f>
        <v>http://dx.doi.org/10.1016/j.dam.2023.04.018</v>
      </c>
      <c r="BG316" t="s">
        <v>74</v>
      </c>
      <c r="BH316" t="s">
        <v>74</v>
      </c>
      <c r="BI316">
        <v>13</v>
      </c>
      <c r="BJ316" t="s">
        <v>202</v>
      </c>
      <c r="BK316" t="s">
        <v>100</v>
      </c>
      <c r="BL316" t="s">
        <v>101</v>
      </c>
      <c r="BM316" t="s">
        <v>5757</v>
      </c>
      <c r="BN316" t="s">
        <v>74</v>
      </c>
      <c r="BO316" t="s">
        <v>74</v>
      </c>
      <c r="BP316" t="s">
        <v>74</v>
      </c>
      <c r="BQ316" t="s">
        <v>74</v>
      </c>
      <c r="BR316" t="s">
        <v>104</v>
      </c>
      <c r="BS316" t="s">
        <v>5758</v>
      </c>
      <c r="BT316" t="str">
        <f>HYPERLINK("https%3A%2F%2Fwww.webofscience.com%2Fwos%2Fwoscc%2Ffull-record%2FWOS:001044823300001","View Full Record in Web of Science")</f>
        <v>View Full Record in Web of Science</v>
      </c>
    </row>
    <row r="317" spans="1:72" x14ac:dyDescent="0.15">
      <c r="A317" t="s">
        <v>72</v>
      </c>
      <c r="B317" t="s">
        <v>5759</v>
      </c>
      <c r="C317" t="s">
        <v>74</v>
      </c>
      <c r="D317" t="s">
        <v>74</v>
      </c>
      <c r="E317" t="s">
        <v>74</v>
      </c>
      <c r="F317" t="s">
        <v>5760</v>
      </c>
      <c r="G317" t="s">
        <v>74</v>
      </c>
      <c r="H317" t="s">
        <v>74</v>
      </c>
      <c r="I317" t="s">
        <v>5761</v>
      </c>
      <c r="J317" t="s">
        <v>1524</v>
      </c>
      <c r="K317" t="s">
        <v>74</v>
      </c>
      <c r="L317" t="s">
        <v>74</v>
      </c>
      <c r="M317" t="s">
        <v>78</v>
      </c>
      <c r="N317" t="s">
        <v>79</v>
      </c>
      <c r="O317" t="s">
        <v>74</v>
      </c>
      <c r="P317" t="s">
        <v>74</v>
      </c>
      <c r="Q317" t="s">
        <v>74</v>
      </c>
      <c r="R317" t="s">
        <v>74</v>
      </c>
      <c r="S317" t="s">
        <v>74</v>
      </c>
      <c r="T317" t="s">
        <v>5762</v>
      </c>
      <c r="U317" t="s">
        <v>5763</v>
      </c>
      <c r="V317" t="s">
        <v>5764</v>
      </c>
      <c r="W317" t="s">
        <v>5765</v>
      </c>
      <c r="X317" t="s">
        <v>5766</v>
      </c>
      <c r="Y317" t="s">
        <v>5767</v>
      </c>
      <c r="Z317" t="s">
        <v>5768</v>
      </c>
      <c r="AA317" t="s">
        <v>74</v>
      </c>
      <c r="AB317" t="s">
        <v>74</v>
      </c>
      <c r="AC317" t="s">
        <v>5769</v>
      </c>
      <c r="AD317" t="s">
        <v>5770</v>
      </c>
      <c r="AE317" t="s">
        <v>5771</v>
      </c>
      <c r="AF317" t="s">
        <v>74</v>
      </c>
      <c r="AG317">
        <v>77</v>
      </c>
      <c r="AH317">
        <v>0</v>
      </c>
      <c r="AI317">
        <v>0</v>
      </c>
      <c r="AJ317">
        <v>6</v>
      </c>
      <c r="AK317">
        <v>6</v>
      </c>
      <c r="AL317" t="s">
        <v>90</v>
      </c>
      <c r="AM317" t="s">
        <v>91</v>
      </c>
      <c r="AN317" t="s">
        <v>92</v>
      </c>
      <c r="AO317" t="s">
        <v>1534</v>
      </c>
      <c r="AP317" t="s">
        <v>1535</v>
      </c>
      <c r="AQ317" t="s">
        <v>74</v>
      </c>
      <c r="AR317" t="s">
        <v>1536</v>
      </c>
      <c r="AS317" t="s">
        <v>1537</v>
      </c>
      <c r="AT317" t="s">
        <v>5295</v>
      </c>
      <c r="AU317">
        <v>2023</v>
      </c>
      <c r="AV317">
        <v>899</v>
      </c>
      <c r="AW317" t="s">
        <v>74</v>
      </c>
      <c r="AX317" t="s">
        <v>74</v>
      </c>
      <c r="AY317" t="s">
        <v>74</v>
      </c>
      <c r="AZ317" t="s">
        <v>74</v>
      </c>
      <c r="BA317" t="s">
        <v>74</v>
      </c>
      <c r="BB317" t="s">
        <v>74</v>
      </c>
      <c r="BC317" t="s">
        <v>74</v>
      </c>
      <c r="BD317">
        <v>165662</v>
      </c>
      <c r="BE317" t="s">
        <v>5772</v>
      </c>
      <c r="BF317" t="str">
        <f>HYPERLINK("http://dx.doi.org/10.1016/j.scitotenv.2023.165662","http://dx.doi.org/10.1016/j.scitotenv.2023.165662")</f>
        <v>http://dx.doi.org/10.1016/j.scitotenv.2023.165662</v>
      </c>
      <c r="BG317" t="s">
        <v>74</v>
      </c>
      <c r="BH317" t="s">
        <v>74</v>
      </c>
      <c r="BI317">
        <v>7</v>
      </c>
      <c r="BJ317" t="s">
        <v>1539</v>
      </c>
      <c r="BK317" t="s">
        <v>100</v>
      </c>
      <c r="BL317" t="s">
        <v>1540</v>
      </c>
      <c r="BM317" t="s">
        <v>5773</v>
      </c>
      <c r="BN317">
        <v>37478930</v>
      </c>
      <c r="BO317" t="s">
        <v>74</v>
      </c>
      <c r="BP317" t="s">
        <v>74</v>
      </c>
      <c r="BQ317" t="s">
        <v>74</v>
      </c>
      <c r="BR317" t="s">
        <v>104</v>
      </c>
      <c r="BS317" t="s">
        <v>5774</v>
      </c>
      <c r="BT317" t="str">
        <f>HYPERLINK("https%3A%2F%2Fwww.webofscience.com%2Fwos%2Fwoscc%2Ffull-record%2FWOS:001046810600001","View Full Record in Web of Science")</f>
        <v>View Full Record in Web of Science</v>
      </c>
    </row>
    <row r="318" spans="1:72" x14ac:dyDescent="0.15">
      <c r="A318" t="s">
        <v>72</v>
      </c>
      <c r="B318" t="s">
        <v>5775</v>
      </c>
      <c r="C318" t="s">
        <v>74</v>
      </c>
      <c r="D318" t="s">
        <v>74</v>
      </c>
      <c r="E318" t="s">
        <v>74</v>
      </c>
      <c r="F318" t="s">
        <v>5776</v>
      </c>
      <c r="G318" t="s">
        <v>74</v>
      </c>
      <c r="H318" t="s">
        <v>74</v>
      </c>
      <c r="I318" t="s">
        <v>5777</v>
      </c>
      <c r="J318" t="s">
        <v>1587</v>
      </c>
      <c r="K318" t="s">
        <v>74</v>
      </c>
      <c r="L318" t="s">
        <v>74</v>
      </c>
      <c r="M318" t="s">
        <v>78</v>
      </c>
      <c r="N318" t="s">
        <v>79</v>
      </c>
      <c r="O318" t="s">
        <v>74</v>
      </c>
      <c r="P318" t="s">
        <v>74</v>
      </c>
      <c r="Q318" t="s">
        <v>74</v>
      </c>
      <c r="R318" t="s">
        <v>74</v>
      </c>
      <c r="S318" t="s">
        <v>74</v>
      </c>
      <c r="T318" t="s">
        <v>5778</v>
      </c>
      <c r="U318" t="s">
        <v>5779</v>
      </c>
      <c r="V318" t="s">
        <v>5780</v>
      </c>
      <c r="W318" t="s">
        <v>5781</v>
      </c>
      <c r="X318" t="s">
        <v>5782</v>
      </c>
      <c r="Y318" t="s">
        <v>5783</v>
      </c>
      <c r="Z318" t="s">
        <v>5784</v>
      </c>
      <c r="AA318" t="s">
        <v>5785</v>
      </c>
      <c r="AB318" t="s">
        <v>5786</v>
      </c>
      <c r="AC318" t="s">
        <v>5787</v>
      </c>
      <c r="AD318" t="s">
        <v>5788</v>
      </c>
      <c r="AE318" t="s">
        <v>5789</v>
      </c>
      <c r="AF318" t="s">
        <v>74</v>
      </c>
      <c r="AG318">
        <v>49</v>
      </c>
      <c r="AH318">
        <v>0</v>
      </c>
      <c r="AI318">
        <v>0</v>
      </c>
      <c r="AJ318">
        <v>6</v>
      </c>
      <c r="AK318">
        <v>6</v>
      </c>
      <c r="AL318" t="s">
        <v>90</v>
      </c>
      <c r="AM318" t="s">
        <v>91</v>
      </c>
      <c r="AN318" t="s">
        <v>92</v>
      </c>
      <c r="AO318" t="s">
        <v>1598</v>
      </c>
      <c r="AP318" t="s">
        <v>1599</v>
      </c>
      <c r="AQ318" t="s">
        <v>74</v>
      </c>
      <c r="AR318" t="s">
        <v>1600</v>
      </c>
      <c r="AS318" t="s">
        <v>1601</v>
      </c>
      <c r="AT318" t="s">
        <v>5295</v>
      </c>
      <c r="AU318">
        <v>2023</v>
      </c>
      <c r="AV318">
        <v>325</v>
      </c>
      <c r="AW318" t="s">
        <v>74</v>
      </c>
      <c r="AX318" t="s">
        <v>74</v>
      </c>
      <c r="AY318" t="s">
        <v>74</v>
      </c>
      <c r="AZ318" t="s">
        <v>74</v>
      </c>
      <c r="BA318" t="s">
        <v>74</v>
      </c>
      <c r="BB318" t="s">
        <v>74</v>
      </c>
      <c r="BC318" t="s">
        <v>74</v>
      </c>
      <c r="BD318">
        <v>124650</v>
      </c>
      <c r="BE318" t="s">
        <v>5790</v>
      </c>
      <c r="BF318" t="str">
        <f>HYPERLINK("http://dx.doi.org/10.1016/j.seppur.2023.124650","http://dx.doi.org/10.1016/j.seppur.2023.124650")</f>
        <v>http://dx.doi.org/10.1016/j.seppur.2023.124650</v>
      </c>
      <c r="BG318" t="s">
        <v>74</v>
      </c>
      <c r="BH318" t="s">
        <v>74</v>
      </c>
      <c r="BI318">
        <v>12</v>
      </c>
      <c r="BJ318" t="s">
        <v>1603</v>
      </c>
      <c r="BK318" t="s">
        <v>100</v>
      </c>
      <c r="BL318" t="s">
        <v>873</v>
      </c>
      <c r="BM318" t="s">
        <v>5791</v>
      </c>
      <c r="BN318" t="s">
        <v>74</v>
      </c>
      <c r="BO318" t="s">
        <v>74</v>
      </c>
      <c r="BP318" t="s">
        <v>74</v>
      </c>
      <c r="BQ318" t="s">
        <v>74</v>
      </c>
      <c r="BR318" t="s">
        <v>104</v>
      </c>
      <c r="BS318" t="s">
        <v>5792</v>
      </c>
      <c r="BT318" t="str">
        <f>HYPERLINK("https%3A%2F%2Fwww.webofscience.com%2Fwos%2Fwoscc%2Ffull-record%2FWOS:001059661100001","View Full Record in Web of Science")</f>
        <v>View Full Record in Web of Science</v>
      </c>
    </row>
    <row r="319" spans="1:72" x14ac:dyDescent="0.15">
      <c r="A319" t="s">
        <v>72</v>
      </c>
      <c r="B319" t="s">
        <v>5793</v>
      </c>
      <c r="C319" t="s">
        <v>74</v>
      </c>
      <c r="D319" t="s">
        <v>74</v>
      </c>
      <c r="E319" t="s">
        <v>74</v>
      </c>
      <c r="F319" t="s">
        <v>5794</v>
      </c>
      <c r="G319" t="s">
        <v>74</v>
      </c>
      <c r="H319" t="s">
        <v>74</v>
      </c>
      <c r="I319" t="s">
        <v>5795</v>
      </c>
      <c r="J319" t="s">
        <v>5796</v>
      </c>
      <c r="K319" t="s">
        <v>74</v>
      </c>
      <c r="L319" t="s">
        <v>74</v>
      </c>
      <c r="M319" t="s">
        <v>78</v>
      </c>
      <c r="N319" t="s">
        <v>79</v>
      </c>
      <c r="O319" t="s">
        <v>74</v>
      </c>
      <c r="P319" t="s">
        <v>74</v>
      </c>
      <c r="Q319" t="s">
        <v>74</v>
      </c>
      <c r="R319" t="s">
        <v>74</v>
      </c>
      <c r="S319" t="s">
        <v>74</v>
      </c>
      <c r="T319" t="s">
        <v>5797</v>
      </c>
      <c r="U319" t="s">
        <v>5798</v>
      </c>
      <c r="V319" t="s">
        <v>5799</v>
      </c>
      <c r="W319" t="s">
        <v>5800</v>
      </c>
      <c r="X319" t="s">
        <v>5801</v>
      </c>
      <c r="Y319" t="s">
        <v>5802</v>
      </c>
      <c r="Z319" t="s">
        <v>5803</v>
      </c>
      <c r="AA319" t="s">
        <v>74</v>
      </c>
      <c r="AB319" t="s">
        <v>74</v>
      </c>
      <c r="AC319" t="s">
        <v>5804</v>
      </c>
      <c r="AD319" t="s">
        <v>5805</v>
      </c>
      <c r="AE319" t="s">
        <v>5806</v>
      </c>
      <c r="AF319" t="s">
        <v>74</v>
      </c>
      <c r="AG319">
        <v>52</v>
      </c>
      <c r="AH319">
        <v>0</v>
      </c>
      <c r="AI319">
        <v>0</v>
      </c>
      <c r="AJ319">
        <v>7</v>
      </c>
      <c r="AK319">
        <v>7</v>
      </c>
      <c r="AL319" t="s">
        <v>90</v>
      </c>
      <c r="AM319" t="s">
        <v>91</v>
      </c>
      <c r="AN319" t="s">
        <v>92</v>
      </c>
      <c r="AO319" t="s">
        <v>5807</v>
      </c>
      <c r="AP319" t="s">
        <v>5808</v>
      </c>
      <c r="AQ319" t="s">
        <v>74</v>
      </c>
      <c r="AR319" t="s">
        <v>5809</v>
      </c>
      <c r="AS319" t="s">
        <v>5810</v>
      </c>
      <c r="AT319" t="s">
        <v>5295</v>
      </c>
      <c r="AU319">
        <v>2023</v>
      </c>
      <c r="AV319">
        <v>686</v>
      </c>
      <c r="AW319" t="s">
        <v>74</v>
      </c>
      <c r="AX319" t="s">
        <v>74</v>
      </c>
      <c r="AY319" t="s">
        <v>74</v>
      </c>
      <c r="AZ319" t="s">
        <v>74</v>
      </c>
      <c r="BA319" t="s">
        <v>74</v>
      </c>
      <c r="BB319" t="s">
        <v>74</v>
      </c>
      <c r="BC319" t="s">
        <v>74</v>
      </c>
      <c r="BD319">
        <v>121989</v>
      </c>
      <c r="BE319" t="s">
        <v>5811</v>
      </c>
      <c r="BF319" t="str">
        <f>HYPERLINK("http://dx.doi.org/10.1016/j.memsci.2023.121989","http://dx.doi.org/10.1016/j.memsci.2023.121989")</f>
        <v>http://dx.doi.org/10.1016/j.memsci.2023.121989</v>
      </c>
      <c r="BG319" t="s">
        <v>74</v>
      </c>
      <c r="BH319" t="s">
        <v>74</v>
      </c>
      <c r="BI319">
        <v>9</v>
      </c>
      <c r="BJ319" t="s">
        <v>5812</v>
      </c>
      <c r="BK319" t="s">
        <v>100</v>
      </c>
      <c r="BL319" t="s">
        <v>5813</v>
      </c>
      <c r="BM319" t="s">
        <v>5814</v>
      </c>
      <c r="BN319" t="s">
        <v>74</v>
      </c>
      <c r="BO319" t="s">
        <v>74</v>
      </c>
      <c r="BP319" t="s">
        <v>74</v>
      </c>
      <c r="BQ319" t="s">
        <v>74</v>
      </c>
      <c r="BR319" t="s">
        <v>104</v>
      </c>
      <c r="BS319" t="s">
        <v>5815</v>
      </c>
      <c r="BT319" t="str">
        <f>HYPERLINK("https%3A%2F%2Fwww.webofscience.com%2Fwos%2Fwoscc%2Ffull-record%2FWOS:001059093700001","View Full Record in Web of Science")</f>
        <v>View Full Record in Web of Science</v>
      </c>
    </row>
    <row r="320" spans="1:72" x14ac:dyDescent="0.15">
      <c r="A320" t="s">
        <v>72</v>
      </c>
      <c r="B320" t="s">
        <v>5816</v>
      </c>
      <c r="C320" t="s">
        <v>74</v>
      </c>
      <c r="D320" t="s">
        <v>74</v>
      </c>
      <c r="E320" t="s">
        <v>74</v>
      </c>
      <c r="F320" t="s">
        <v>5817</v>
      </c>
      <c r="G320" t="s">
        <v>74</v>
      </c>
      <c r="H320" t="s">
        <v>74</v>
      </c>
      <c r="I320" t="s">
        <v>5818</v>
      </c>
      <c r="J320" t="s">
        <v>5406</v>
      </c>
      <c r="K320" t="s">
        <v>74</v>
      </c>
      <c r="L320" t="s">
        <v>74</v>
      </c>
      <c r="M320" t="s">
        <v>78</v>
      </c>
      <c r="N320" t="s">
        <v>79</v>
      </c>
      <c r="O320" t="s">
        <v>74</v>
      </c>
      <c r="P320" t="s">
        <v>74</v>
      </c>
      <c r="Q320" t="s">
        <v>74</v>
      </c>
      <c r="R320" t="s">
        <v>74</v>
      </c>
      <c r="S320" t="s">
        <v>74</v>
      </c>
      <c r="T320" t="s">
        <v>5819</v>
      </c>
      <c r="U320" t="s">
        <v>5820</v>
      </c>
      <c r="V320" t="s">
        <v>5821</v>
      </c>
      <c r="W320" t="s">
        <v>5822</v>
      </c>
      <c r="X320" t="s">
        <v>5823</v>
      </c>
      <c r="Y320" t="s">
        <v>5824</v>
      </c>
      <c r="Z320" t="s">
        <v>5825</v>
      </c>
      <c r="AA320" t="s">
        <v>74</v>
      </c>
      <c r="AB320" t="s">
        <v>74</v>
      </c>
      <c r="AC320" t="s">
        <v>74</v>
      </c>
      <c r="AD320" t="s">
        <v>74</v>
      </c>
      <c r="AE320" t="s">
        <v>74</v>
      </c>
      <c r="AF320" t="s">
        <v>74</v>
      </c>
      <c r="AG320">
        <v>61</v>
      </c>
      <c r="AH320">
        <v>0</v>
      </c>
      <c r="AI320">
        <v>0</v>
      </c>
      <c r="AJ320">
        <v>0</v>
      </c>
      <c r="AK320">
        <v>0</v>
      </c>
      <c r="AL320" t="s">
        <v>120</v>
      </c>
      <c r="AM320" t="s">
        <v>121</v>
      </c>
      <c r="AN320" t="s">
        <v>122</v>
      </c>
      <c r="AO320" t="s">
        <v>5415</v>
      </c>
      <c r="AP320" t="s">
        <v>5416</v>
      </c>
      <c r="AQ320" t="s">
        <v>74</v>
      </c>
      <c r="AR320" t="s">
        <v>5406</v>
      </c>
      <c r="AS320" t="s">
        <v>5417</v>
      </c>
      <c r="AT320" t="s">
        <v>5295</v>
      </c>
      <c r="AU320">
        <v>2023</v>
      </c>
      <c r="AV320">
        <v>221</v>
      </c>
      <c r="AW320" t="s">
        <v>74</v>
      </c>
      <c r="AX320" t="s">
        <v>74</v>
      </c>
      <c r="AY320" t="s">
        <v>74</v>
      </c>
      <c r="AZ320" t="s">
        <v>74</v>
      </c>
      <c r="BA320" t="s">
        <v>74</v>
      </c>
      <c r="BB320" t="s">
        <v>74</v>
      </c>
      <c r="BC320" t="s">
        <v>74</v>
      </c>
      <c r="BD320">
        <v>113465</v>
      </c>
      <c r="BE320" t="s">
        <v>5826</v>
      </c>
      <c r="BF320" t="str">
        <f>HYPERLINK("http://dx.doi.org/10.1016/j.measurement.2023.113465","http://dx.doi.org/10.1016/j.measurement.2023.113465")</f>
        <v>http://dx.doi.org/10.1016/j.measurement.2023.113465</v>
      </c>
      <c r="BG320" t="s">
        <v>74</v>
      </c>
      <c r="BH320" t="s">
        <v>74</v>
      </c>
      <c r="BI320">
        <v>18</v>
      </c>
      <c r="BJ320" t="s">
        <v>5419</v>
      </c>
      <c r="BK320" t="s">
        <v>100</v>
      </c>
      <c r="BL320" t="s">
        <v>5420</v>
      </c>
      <c r="BM320" t="s">
        <v>5827</v>
      </c>
      <c r="BN320" t="s">
        <v>74</v>
      </c>
      <c r="BO320" t="s">
        <v>74</v>
      </c>
      <c r="BP320" t="s">
        <v>74</v>
      </c>
      <c r="BQ320" t="s">
        <v>74</v>
      </c>
      <c r="BR320" t="s">
        <v>104</v>
      </c>
      <c r="BS320" t="s">
        <v>5828</v>
      </c>
      <c r="BT320" t="str">
        <f>HYPERLINK("https%3A%2F%2Fwww.webofscience.com%2Fwos%2Fwoscc%2Ffull-record%2FWOS:001065613800001","View Full Record in Web of Science")</f>
        <v>View Full Record in Web of Science</v>
      </c>
    </row>
    <row r="321" spans="1:72" x14ac:dyDescent="0.15">
      <c r="A321" t="s">
        <v>72</v>
      </c>
      <c r="B321" t="s">
        <v>5829</v>
      </c>
      <c r="C321" t="s">
        <v>74</v>
      </c>
      <c r="D321" t="s">
        <v>74</v>
      </c>
      <c r="E321" t="s">
        <v>74</v>
      </c>
      <c r="F321" t="s">
        <v>5830</v>
      </c>
      <c r="G321" t="s">
        <v>74</v>
      </c>
      <c r="H321" t="s">
        <v>74</v>
      </c>
      <c r="I321" t="s">
        <v>5831</v>
      </c>
      <c r="J321" t="s">
        <v>5570</v>
      </c>
      <c r="K321" t="s">
        <v>74</v>
      </c>
      <c r="L321" t="s">
        <v>74</v>
      </c>
      <c r="M321" t="s">
        <v>78</v>
      </c>
      <c r="N321" t="s">
        <v>79</v>
      </c>
      <c r="O321" t="s">
        <v>74</v>
      </c>
      <c r="P321" t="s">
        <v>74</v>
      </c>
      <c r="Q321" t="s">
        <v>74</v>
      </c>
      <c r="R321" t="s">
        <v>74</v>
      </c>
      <c r="S321" t="s">
        <v>74</v>
      </c>
      <c r="T321" t="s">
        <v>5832</v>
      </c>
      <c r="U321" t="s">
        <v>5833</v>
      </c>
      <c r="V321" t="s">
        <v>5834</v>
      </c>
      <c r="W321" t="s">
        <v>5835</v>
      </c>
      <c r="X321" t="s">
        <v>5836</v>
      </c>
      <c r="Y321" t="s">
        <v>5837</v>
      </c>
      <c r="Z321" t="s">
        <v>5838</v>
      </c>
      <c r="AA321" t="s">
        <v>5839</v>
      </c>
      <c r="AB321" t="s">
        <v>5840</v>
      </c>
      <c r="AC321" t="s">
        <v>5841</v>
      </c>
      <c r="AD321" t="s">
        <v>5842</v>
      </c>
      <c r="AE321" t="s">
        <v>5843</v>
      </c>
      <c r="AF321" t="s">
        <v>74</v>
      </c>
      <c r="AG321">
        <v>37</v>
      </c>
      <c r="AH321">
        <v>0</v>
      </c>
      <c r="AI321">
        <v>0</v>
      </c>
      <c r="AJ321">
        <v>3</v>
      </c>
      <c r="AK321">
        <v>3</v>
      </c>
      <c r="AL321" t="s">
        <v>955</v>
      </c>
      <c r="AM321" t="s">
        <v>956</v>
      </c>
      <c r="AN321" t="s">
        <v>957</v>
      </c>
      <c r="AO321" t="s">
        <v>5580</v>
      </c>
      <c r="AP321" t="s">
        <v>5581</v>
      </c>
      <c r="AQ321" t="s">
        <v>74</v>
      </c>
      <c r="AR321" t="s">
        <v>5570</v>
      </c>
      <c r="AS321" t="s">
        <v>5582</v>
      </c>
      <c r="AT321" t="s">
        <v>5295</v>
      </c>
      <c r="AU321">
        <v>2023</v>
      </c>
      <c r="AV321">
        <v>532</v>
      </c>
      <c r="AW321" t="s">
        <v>74</v>
      </c>
      <c r="AX321" t="s">
        <v>74</v>
      </c>
      <c r="AY321" t="s">
        <v>74</v>
      </c>
      <c r="AZ321" t="s">
        <v>74</v>
      </c>
      <c r="BA321" t="s">
        <v>74</v>
      </c>
      <c r="BB321" t="s">
        <v>74</v>
      </c>
      <c r="BC321" t="s">
        <v>74</v>
      </c>
      <c r="BD321">
        <v>205075</v>
      </c>
      <c r="BE321" t="s">
        <v>5844</v>
      </c>
      <c r="BF321" t="str">
        <f>HYPERLINK("http://dx.doi.org/10.1016/j.wear.2023.205075","http://dx.doi.org/10.1016/j.wear.2023.205075")</f>
        <v>http://dx.doi.org/10.1016/j.wear.2023.205075</v>
      </c>
      <c r="BG321" t="s">
        <v>74</v>
      </c>
      <c r="BH321" t="s">
        <v>74</v>
      </c>
      <c r="BI321">
        <v>11</v>
      </c>
      <c r="BJ321" t="s">
        <v>5584</v>
      </c>
      <c r="BK321" t="s">
        <v>100</v>
      </c>
      <c r="BL321" t="s">
        <v>156</v>
      </c>
      <c r="BM321" t="s">
        <v>5845</v>
      </c>
      <c r="BN321" t="s">
        <v>74</v>
      </c>
      <c r="BO321" t="s">
        <v>295</v>
      </c>
      <c r="BP321" t="s">
        <v>74</v>
      </c>
      <c r="BQ321" t="s">
        <v>74</v>
      </c>
      <c r="BR321" t="s">
        <v>104</v>
      </c>
      <c r="BS321" t="s">
        <v>5846</v>
      </c>
      <c r="BT321" t="str">
        <f>HYPERLINK("https%3A%2F%2Fwww.webofscience.com%2Fwos%2Fwoscc%2Ffull-record%2FWOS:001058077500001","View Full Record in Web of Science")</f>
        <v>View Full Record in Web of Science</v>
      </c>
    </row>
    <row r="322" spans="1:72" x14ac:dyDescent="0.15">
      <c r="A322" t="s">
        <v>72</v>
      </c>
      <c r="B322" t="s">
        <v>5847</v>
      </c>
      <c r="C322" t="s">
        <v>74</v>
      </c>
      <c r="D322" t="s">
        <v>74</v>
      </c>
      <c r="E322" t="s">
        <v>74</v>
      </c>
      <c r="F322" t="s">
        <v>5848</v>
      </c>
      <c r="G322" t="s">
        <v>74</v>
      </c>
      <c r="H322" t="s">
        <v>74</v>
      </c>
      <c r="I322" t="s">
        <v>5849</v>
      </c>
      <c r="J322" t="s">
        <v>5616</v>
      </c>
      <c r="K322" t="s">
        <v>74</v>
      </c>
      <c r="L322" t="s">
        <v>74</v>
      </c>
      <c r="M322" t="s">
        <v>78</v>
      </c>
      <c r="N322" t="s">
        <v>79</v>
      </c>
      <c r="O322" t="s">
        <v>74</v>
      </c>
      <c r="P322" t="s">
        <v>74</v>
      </c>
      <c r="Q322" t="s">
        <v>74</v>
      </c>
      <c r="R322" t="s">
        <v>74</v>
      </c>
      <c r="S322" t="s">
        <v>74</v>
      </c>
      <c r="T322" t="s">
        <v>5850</v>
      </c>
      <c r="U322" t="s">
        <v>74</v>
      </c>
      <c r="V322" t="s">
        <v>5851</v>
      </c>
      <c r="W322" t="s">
        <v>5852</v>
      </c>
      <c r="X322" t="s">
        <v>5853</v>
      </c>
      <c r="Y322" t="s">
        <v>5854</v>
      </c>
      <c r="Z322" t="s">
        <v>5855</v>
      </c>
      <c r="AA322" t="s">
        <v>5856</v>
      </c>
      <c r="AB322" t="s">
        <v>5857</v>
      </c>
      <c r="AC322" t="s">
        <v>5858</v>
      </c>
      <c r="AD322" t="s">
        <v>5859</v>
      </c>
      <c r="AE322" t="s">
        <v>5860</v>
      </c>
      <c r="AF322" t="s">
        <v>74</v>
      </c>
      <c r="AG322">
        <v>32</v>
      </c>
      <c r="AH322">
        <v>0</v>
      </c>
      <c r="AI322">
        <v>0</v>
      </c>
      <c r="AJ322">
        <v>9</v>
      </c>
      <c r="AK322">
        <v>9</v>
      </c>
      <c r="AL322" t="s">
        <v>90</v>
      </c>
      <c r="AM322" t="s">
        <v>91</v>
      </c>
      <c r="AN322" t="s">
        <v>92</v>
      </c>
      <c r="AO322" t="s">
        <v>5627</v>
      </c>
      <c r="AP322" t="s">
        <v>5628</v>
      </c>
      <c r="AQ322" t="s">
        <v>74</v>
      </c>
      <c r="AR322" t="s">
        <v>5629</v>
      </c>
      <c r="AS322" t="s">
        <v>5630</v>
      </c>
      <c r="AT322" t="s">
        <v>5295</v>
      </c>
      <c r="AU322">
        <v>2023</v>
      </c>
      <c r="AV322">
        <v>204</v>
      </c>
      <c r="AW322" t="s">
        <v>74</v>
      </c>
      <c r="AX322" t="s">
        <v>373</v>
      </c>
      <c r="AY322" t="s">
        <v>74</v>
      </c>
      <c r="AZ322" t="s">
        <v>74</v>
      </c>
      <c r="BA322" t="s">
        <v>74</v>
      </c>
      <c r="BB322" t="s">
        <v>74</v>
      </c>
      <c r="BC322" t="s">
        <v>74</v>
      </c>
      <c r="BD322">
        <v>117361</v>
      </c>
      <c r="BE322" t="s">
        <v>5861</v>
      </c>
      <c r="BF322" t="str">
        <f>HYPERLINK("http://dx.doi.org/10.1016/j.indcrop.2023.117361","http://dx.doi.org/10.1016/j.indcrop.2023.117361")</f>
        <v>http://dx.doi.org/10.1016/j.indcrop.2023.117361</v>
      </c>
      <c r="BG322" t="s">
        <v>74</v>
      </c>
      <c r="BH322" t="s">
        <v>74</v>
      </c>
      <c r="BI322">
        <v>9</v>
      </c>
      <c r="BJ322" t="s">
        <v>5632</v>
      </c>
      <c r="BK322" t="s">
        <v>100</v>
      </c>
      <c r="BL322" t="s">
        <v>3447</v>
      </c>
      <c r="BM322" t="s">
        <v>5862</v>
      </c>
      <c r="BN322" t="s">
        <v>74</v>
      </c>
      <c r="BO322" t="s">
        <v>74</v>
      </c>
      <c r="BP322" t="s">
        <v>74</v>
      </c>
      <c r="BQ322" t="s">
        <v>74</v>
      </c>
      <c r="BR322" t="s">
        <v>104</v>
      </c>
      <c r="BS322" t="s">
        <v>5863</v>
      </c>
      <c r="BT322" t="str">
        <f>HYPERLINK("https%3A%2F%2Fwww.webofscience.com%2Fwos%2Fwoscc%2Ffull-record%2FWOS:001059507000001","View Full Record in Web of Science")</f>
        <v>View Full Record in Web of Science</v>
      </c>
    </row>
    <row r="323" spans="1:72" x14ac:dyDescent="0.15">
      <c r="A323" t="s">
        <v>72</v>
      </c>
      <c r="B323" t="s">
        <v>5864</v>
      </c>
      <c r="C323" t="s">
        <v>74</v>
      </c>
      <c r="D323" t="s">
        <v>74</v>
      </c>
      <c r="E323" t="s">
        <v>74</v>
      </c>
      <c r="F323" t="s">
        <v>5865</v>
      </c>
      <c r="G323" t="s">
        <v>74</v>
      </c>
      <c r="H323" t="s">
        <v>74</v>
      </c>
      <c r="I323" t="s">
        <v>5866</v>
      </c>
      <c r="J323" t="s">
        <v>5867</v>
      </c>
      <c r="K323" t="s">
        <v>74</v>
      </c>
      <c r="L323" t="s">
        <v>74</v>
      </c>
      <c r="M323" t="s">
        <v>78</v>
      </c>
      <c r="N323" t="s">
        <v>79</v>
      </c>
      <c r="O323" t="s">
        <v>74</v>
      </c>
      <c r="P323" t="s">
        <v>74</v>
      </c>
      <c r="Q323" t="s">
        <v>74</v>
      </c>
      <c r="R323" t="s">
        <v>74</v>
      </c>
      <c r="S323" t="s">
        <v>74</v>
      </c>
      <c r="T323" t="s">
        <v>5868</v>
      </c>
      <c r="U323" t="s">
        <v>5869</v>
      </c>
      <c r="V323" t="s">
        <v>5870</v>
      </c>
      <c r="W323" t="s">
        <v>5871</v>
      </c>
      <c r="X323" t="s">
        <v>5872</v>
      </c>
      <c r="Y323" t="s">
        <v>5873</v>
      </c>
      <c r="Z323" t="s">
        <v>5874</v>
      </c>
      <c r="AA323" t="s">
        <v>74</v>
      </c>
      <c r="AB323" t="s">
        <v>5875</v>
      </c>
      <c r="AC323" t="s">
        <v>5876</v>
      </c>
      <c r="AD323" t="s">
        <v>5877</v>
      </c>
      <c r="AE323" t="s">
        <v>5878</v>
      </c>
      <c r="AF323" t="s">
        <v>74</v>
      </c>
      <c r="AG323">
        <v>42</v>
      </c>
      <c r="AH323">
        <v>0</v>
      </c>
      <c r="AI323">
        <v>0</v>
      </c>
      <c r="AJ323">
        <v>1</v>
      </c>
      <c r="AK323">
        <v>1</v>
      </c>
      <c r="AL323" t="s">
        <v>90</v>
      </c>
      <c r="AM323" t="s">
        <v>91</v>
      </c>
      <c r="AN323" t="s">
        <v>92</v>
      </c>
      <c r="AO323" t="s">
        <v>5879</v>
      </c>
      <c r="AP323" t="s">
        <v>5880</v>
      </c>
      <c r="AQ323" t="s">
        <v>74</v>
      </c>
      <c r="AR323" t="s">
        <v>5867</v>
      </c>
      <c r="AS323" t="s">
        <v>5881</v>
      </c>
      <c r="AT323" t="s">
        <v>5295</v>
      </c>
      <c r="AU323">
        <v>2023</v>
      </c>
      <c r="AV323">
        <v>885</v>
      </c>
      <c r="AW323" t="s">
        <v>74</v>
      </c>
      <c r="AX323" t="s">
        <v>74</v>
      </c>
      <c r="AY323" t="s">
        <v>74</v>
      </c>
      <c r="AZ323" t="s">
        <v>74</v>
      </c>
      <c r="BA323" t="s">
        <v>74</v>
      </c>
      <c r="BB323" t="s">
        <v>74</v>
      </c>
      <c r="BC323" t="s">
        <v>74</v>
      </c>
      <c r="BD323">
        <v>147690</v>
      </c>
      <c r="BE323" t="s">
        <v>5882</v>
      </c>
      <c r="BF323" t="str">
        <f>HYPERLINK("http://dx.doi.org/10.1016/j.gene.2023.147690","http://dx.doi.org/10.1016/j.gene.2023.147690")</f>
        <v>http://dx.doi.org/10.1016/j.gene.2023.147690</v>
      </c>
      <c r="BG323" t="s">
        <v>74</v>
      </c>
      <c r="BH323" t="s">
        <v>74</v>
      </c>
      <c r="BI323">
        <v>8</v>
      </c>
      <c r="BJ323" t="s">
        <v>2862</v>
      </c>
      <c r="BK323" t="s">
        <v>100</v>
      </c>
      <c r="BL323" t="s">
        <v>2862</v>
      </c>
      <c r="BM323" t="s">
        <v>5883</v>
      </c>
      <c r="BN323">
        <v>37544338</v>
      </c>
      <c r="BO323" t="s">
        <v>295</v>
      </c>
      <c r="BP323" t="s">
        <v>74</v>
      </c>
      <c r="BQ323" t="s">
        <v>74</v>
      </c>
      <c r="BR323" t="s">
        <v>104</v>
      </c>
      <c r="BS323" t="s">
        <v>5884</v>
      </c>
      <c r="BT323" t="str">
        <f>HYPERLINK("https%3A%2F%2Fwww.webofscience.com%2Fwos%2Fwoscc%2Ffull-record%2FWOS:001063040300001","View Full Record in Web of Science")</f>
        <v>View Full Record in Web of Science</v>
      </c>
    </row>
    <row r="324" spans="1:72" x14ac:dyDescent="0.15">
      <c r="A324" t="s">
        <v>72</v>
      </c>
      <c r="B324" t="s">
        <v>5885</v>
      </c>
      <c r="C324" t="s">
        <v>74</v>
      </c>
      <c r="D324" t="s">
        <v>74</v>
      </c>
      <c r="E324" t="s">
        <v>74</v>
      </c>
      <c r="F324" t="s">
        <v>5886</v>
      </c>
      <c r="G324" t="s">
        <v>74</v>
      </c>
      <c r="H324" t="s">
        <v>74</v>
      </c>
      <c r="I324" t="s">
        <v>5887</v>
      </c>
      <c r="J324" t="s">
        <v>5727</v>
      </c>
      <c r="K324" t="s">
        <v>74</v>
      </c>
      <c r="L324" t="s">
        <v>74</v>
      </c>
      <c r="M324" t="s">
        <v>78</v>
      </c>
      <c r="N324" t="s">
        <v>241</v>
      </c>
      <c r="O324" t="s">
        <v>74</v>
      </c>
      <c r="P324" t="s">
        <v>74</v>
      </c>
      <c r="Q324" t="s">
        <v>74</v>
      </c>
      <c r="R324" t="s">
        <v>74</v>
      </c>
      <c r="S324" t="s">
        <v>74</v>
      </c>
      <c r="T324" t="s">
        <v>5888</v>
      </c>
      <c r="U324" t="s">
        <v>5889</v>
      </c>
      <c r="V324" t="s">
        <v>5890</v>
      </c>
      <c r="W324" t="s">
        <v>5891</v>
      </c>
      <c r="X324" t="s">
        <v>5892</v>
      </c>
      <c r="Y324" t="s">
        <v>5893</v>
      </c>
      <c r="Z324" t="s">
        <v>5894</v>
      </c>
      <c r="AA324" t="s">
        <v>74</v>
      </c>
      <c r="AB324" t="s">
        <v>74</v>
      </c>
      <c r="AC324" t="s">
        <v>5895</v>
      </c>
      <c r="AD324" t="s">
        <v>5896</v>
      </c>
      <c r="AE324" t="s">
        <v>5897</v>
      </c>
      <c r="AF324" t="s">
        <v>74</v>
      </c>
      <c r="AG324">
        <v>143</v>
      </c>
      <c r="AH324">
        <v>0</v>
      </c>
      <c r="AI324">
        <v>0</v>
      </c>
      <c r="AJ324">
        <v>0</v>
      </c>
      <c r="AK324">
        <v>0</v>
      </c>
      <c r="AL324" t="s">
        <v>955</v>
      </c>
      <c r="AM324" t="s">
        <v>956</v>
      </c>
      <c r="AN324" t="s">
        <v>957</v>
      </c>
      <c r="AO324" t="s">
        <v>5738</v>
      </c>
      <c r="AP324" t="s">
        <v>5739</v>
      </c>
      <c r="AQ324" t="s">
        <v>74</v>
      </c>
      <c r="AR324" t="s">
        <v>5740</v>
      </c>
      <c r="AS324" t="s">
        <v>5741</v>
      </c>
      <c r="AT324" t="s">
        <v>5295</v>
      </c>
      <c r="AU324">
        <v>2023</v>
      </c>
      <c r="AV324">
        <v>495</v>
      </c>
      <c r="AW324" t="s">
        <v>74</v>
      </c>
      <c r="AX324" t="s">
        <v>74</v>
      </c>
      <c r="AY324" t="s">
        <v>74</v>
      </c>
      <c r="AZ324" t="s">
        <v>74</v>
      </c>
      <c r="BA324" t="s">
        <v>74</v>
      </c>
      <c r="BB324" t="s">
        <v>74</v>
      </c>
      <c r="BC324" t="s">
        <v>74</v>
      </c>
      <c r="BD324">
        <v>215385</v>
      </c>
      <c r="BE324" t="s">
        <v>5898</v>
      </c>
      <c r="BF324" t="str">
        <f>HYPERLINK("http://dx.doi.org/10.1016/j.ccr.2023.215385","http://dx.doi.org/10.1016/j.ccr.2023.215385")</f>
        <v>http://dx.doi.org/10.1016/j.ccr.2023.215385</v>
      </c>
      <c r="BG324" t="s">
        <v>74</v>
      </c>
      <c r="BH324" t="s">
        <v>74</v>
      </c>
      <c r="BI324">
        <v>25</v>
      </c>
      <c r="BJ324" t="s">
        <v>5743</v>
      </c>
      <c r="BK324" t="s">
        <v>100</v>
      </c>
      <c r="BL324" t="s">
        <v>395</v>
      </c>
      <c r="BM324" t="s">
        <v>5899</v>
      </c>
      <c r="BN324" t="s">
        <v>74</v>
      </c>
      <c r="BO324" t="s">
        <v>74</v>
      </c>
      <c r="BP324" t="s">
        <v>74</v>
      </c>
      <c r="BQ324" t="s">
        <v>74</v>
      </c>
      <c r="BR324" t="s">
        <v>104</v>
      </c>
      <c r="BS324" t="s">
        <v>5900</v>
      </c>
      <c r="BT324" t="str">
        <f>HYPERLINK("https%3A%2F%2Fwww.webofscience.com%2Fwos%2Fwoscc%2Ffull-record%2FWOS:001066777000001","View Full Record in Web of Science")</f>
        <v>View Full Record in Web of Science</v>
      </c>
    </row>
    <row r="325" spans="1:72" x14ac:dyDescent="0.15">
      <c r="A325" t="s">
        <v>72</v>
      </c>
      <c r="B325" t="s">
        <v>5901</v>
      </c>
      <c r="C325" t="s">
        <v>74</v>
      </c>
      <c r="D325" t="s">
        <v>74</v>
      </c>
      <c r="E325" t="s">
        <v>74</v>
      </c>
      <c r="F325" t="s">
        <v>5902</v>
      </c>
      <c r="G325" t="s">
        <v>74</v>
      </c>
      <c r="H325" t="s">
        <v>74</v>
      </c>
      <c r="I325" t="s">
        <v>5903</v>
      </c>
      <c r="J325" t="s">
        <v>1587</v>
      </c>
      <c r="K325" t="s">
        <v>74</v>
      </c>
      <c r="L325" t="s">
        <v>74</v>
      </c>
      <c r="M325" t="s">
        <v>78</v>
      </c>
      <c r="N325" t="s">
        <v>79</v>
      </c>
      <c r="O325" t="s">
        <v>74</v>
      </c>
      <c r="P325" t="s">
        <v>74</v>
      </c>
      <c r="Q325" t="s">
        <v>74</v>
      </c>
      <c r="R325" t="s">
        <v>74</v>
      </c>
      <c r="S325" t="s">
        <v>74</v>
      </c>
      <c r="T325" t="s">
        <v>5904</v>
      </c>
      <c r="U325" t="s">
        <v>5905</v>
      </c>
      <c r="V325" t="s">
        <v>5906</v>
      </c>
      <c r="W325" t="s">
        <v>5907</v>
      </c>
      <c r="X325" t="s">
        <v>5908</v>
      </c>
      <c r="Y325" t="s">
        <v>5909</v>
      </c>
      <c r="Z325" t="s">
        <v>5910</v>
      </c>
      <c r="AA325" t="s">
        <v>74</v>
      </c>
      <c r="AB325" t="s">
        <v>5911</v>
      </c>
      <c r="AC325" t="s">
        <v>5912</v>
      </c>
      <c r="AD325" t="s">
        <v>5913</v>
      </c>
      <c r="AE325" t="s">
        <v>5914</v>
      </c>
      <c r="AF325" t="s">
        <v>74</v>
      </c>
      <c r="AG325">
        <v>60</v>
      </c>
      <c r="AH325">
        <v>0</v>
      </c>
      <c r="AI325">
        <v>0</v>
      </c>
      <c r="AJ325">
        <v>34</v>
      </c>
      <c r="AK325">
        <v>34</v>
      </c>
      <c r="AL325" t="s">
        <v>90</v>
      </c>
      <c r="AM325" t="s">
        <v>91</v>
      </c>
      <c r="AN325" t="s">
        <v>92</v>
      </c>
      <c r="AO325" t="s">
        <v>1598</v>
      </c>
      <c r="AP325" t="s">
        <v>1599</v>
      </c>
      <c r="AQ325" t="s">
        <v>74</v>
      </c>
      <c r="AR325" t="s">
        <v>1600</v>
      </c>
      <c r="AS325" t="s">
        <v>1601</v>
      </c>
      <c r="AT325" t="s">
        <v>5295</v>
      </c>
      <c r="AU325">
        <v>2023</v>
      </c>
      <c r="AV325">
        <v>325</v>
      </c>
      <c r="AW325" t="s">
        <v>74</v>
      </c>
      <c r="AX325" t="s">
        <v>74</v>
      </c>
      <c r="AY325" t="s">
        <v>74</v>
      </c>
      <c r="AZ325" t="s">
        <v>74</v>
      </c>
      <c r="BA325" t="s">
        <v>74</v>
      </c>
      <c r="BB325" t="s">
        <v>74</v>
      </c>
      <c r="BC325" t="s">
        <v>74</v>
      </c>
      <c r="BD325">
        <v>124546</v>
      </c>
      <c r="BE325" t="s">
        <v>5915</v>
      </c>
      <c r="BF325" t="str">
        <f>HYPERLINK("http://dx.doi.org/10.1016/j.seppur.2023.124546","http://dx.doi.org/10.1016/j.seppur.2023.124546")</f>
        <v>http://dx.doi.org/10.1016/j.seppur.2023.124546</v>
      </c>
      <c r="BG325" t="s">
        <v>74</v>
      </c>
      <c r="BH325" t="s">
        <v>74</v>
      </c>
      <c r="BI325">
        <v>9</v>
      </c>
      <c r="BJ325" t="s">
        <v>1603</v>
      </c>
      <c r="BK325" t="s">
        <v>100</v>
      </c>
      <c r="BL325" t="s">
        <v>873</v>
      </c>
      <c r="BM325" t="s">
        <v>5916</v>
      </c>
      <c r="BN325" t="s">
        <v>74</v>
      </c>
      <c r="BO325" t="s">
        <v>74</v>
      </c>
      <c r="BP325" t="s">
        <v>74</v>
      </c>
      <c r="BQ325" t="s">
        <v>74</v>
      </c>
      <c r="BR325" t="s">
        <v>104</v>
      </c>
      <c r="BS325" t="s">
        <v>5917</v>
      </c>
      <c r="BT325" t="str">
        <f>HYPERLINK("https%3A%2F%2Fwww.webofscience.com%2Fwos%2Fwoscc%2Ffull-record%2FWOS:001050390500001","View Full Record in Web of Science")</f>
        <v>View Full Record in Web of Science</v>
      </c>
    </row>
    <row r="326" spans="1:72" x14ac:dyDescent="0.15">
      <c r="A326" t="s">
        <v>72</v>
      </c>
      <c r="B326" t="s">
        <v>5918</v>
      </c>
      <c r="C326" t="s">
        <v>74</v>
      </c>
      <c r="D326" t="s">
        <v>74</v>
      </c>
      <c r="E326" t="s">
        <v>74</v>
      </c>
      <c r="F326" t="s">
        <v>5919</v>
      </c>
      <c r="G326" t="s">
        <v>74</v>
      </c>
      <c r="H326" t="s">
        <v>74</v>
      </c>
      <c r="I326" t="s">
        <v>5920</v>
      </c>
      <c r="J326" t="s">
        <v>5727</v>
      </c>
      <c r="K326" t="s">
        <v>74</v>
      </c>
      <c r="L326" t="s">
        <v>74</v>
      </c>
      <c r="M326" t="s">
        <v>78</v>
      </c>
      <c r="N326" t="s">
        <v>241</v>
      </c>
      <c r="O326" t="s">
        <v>74</v>
      </c>
      <c r="P326" t="s">
        <v>74</v>
      </c>
      <c r="Q326" t="s">
        <v>74</v>
      </c>
      <c r="R326" t="s">
        <v>74</v>
      </c>
      <c r="S326" t="s">
        <v>74</v>
      </c>
      <c r="T326" t="s">
        <v>5921</v>
      </c>
      <c r="U326" t="s">
        <v>5922</v>
      </c>
      <c r="V326" t="s">
        <v>5923</v>
      </c>
      <c r="W326" t="s">
        <v>5924</v>
      </c>
      <c r="X326" t="s">
        <v>5925</v>
      </c>
      <c r="Y326" t="s">
        <v>5926</v>
      </c>
      <c r="Z326" t="s">
        <v>5927</v>
      </c>
      <c r="AA326" t="s">
        <v>74</v>
      </c>
      <c r="AB326" t="s">
        <v>5928</v>
      </c>
      <c r="AC326" t="s">
        <v>5929</v>
      </c>
      <c r="AD326" t="s">
        <v>5930</v>
      </c>
      <c r="AE326" t="s">
        <v>5931</v>
      </c>
      <c r="AF326" t="s">
        <v>74</v>
      </c>
      <c r="AG326">
        <v>196</v>
      </c>
      <c r="AH326">
        <v>0</v>
      </c>
      <c r="AI326">
        <v>0</v>
      </c>
      <c r="AJ326">
        <v>7</v>
      </c>
      <c r="AK326">
        <v>7</v>
      </c>
      <c r="AL326" t="s">
        <v>955</v>
      </c>
      <c r="AM326" t="s">
        <v>956</v>
      </c>
      <c r="AN326" t="s">
        <v>957</v>
      </c>
      <c r="AO326" t="s">
        <v>5738</v>
      </c>
      <c r="AP326" t="s">
        <v>5739</v>
      </c>
      <c r="AQ326" t="s">
        <v>74</v>
      </c>
      <c r="AR326" t="s">
        <v>5740</v>
      </c>
      <c r="AS326" t="s">
        <v>5741</v>
      </c>
      <c r="AT326" t="s">
        <v>5295</v>
      </c>
      <c r="AU326">
        <v>2023</v>
      </c>
      <c r="AV326">
        <v>495</v>
      </c>
      <c r="AW326" t="s">
        <v>74</v>
      </c>
      <c r="AX326" t="s">
        <v>74</v>
      </c>
      <c r="AY326" t="s">
        <v>74</v>
      </c>
      <c r="AZ326" t="s">
        <v>74</v>
      </c>
      <c r="BA326" t="s">
        <v>74</v>
      </c>
      <c r="BB326" t="s">
        <v>74</v>
      </c>
      <c r="BC326" t="s">
        <v>74</v>
      </c>
      <c r="BD326">
        <v>215369</v>
      </c>
      <c r="BE326" t="s">
        <v>5932</v>
      </c>
      <c r="BF326" t="str">
        <f>HYPERLINK("http://dx.doi.org/10.1016/j.ccr.2023.215369","http://dx.doi.org/10.1016/j.ccr.2023.215369")</f>
        <v>http://dx.doi.org/10.1016/j.ccr.2023.215369</v>
      </c>
      <c r="BG326" t="s">
        <v>74</v>
      </c>
      <c r="BH326" t="s">
        <v>74</v>
      </c>
      <c r="BI326">
        <v>26</v>
      </c>
      <c r="BJ326" t="s">
        <v>5743</v>
      </c>
      <c r="BK326" t="s">
        <v>100</v>
      </c>
      <c r="BL326" t="s">
        <v>395</v>
      </c>
      <c r="BM326" t="s">
        <v>5933</v>
      </c>
      <c r="BN326" t="s">
        <v>74</v>
      </c>
      <c r="BO326" t="s">
        <v>74</v>
      </c>
      <c r="BP326" t="s">
        <v>74</v>
      </c>
      <c r="BQ326" t="s">
        <v>74</v>
      </c>
      <c r="BR326" t="s">
        <v>104</v>
      </c>
      <c r="BS326" t="s">
        <v>5934</v>
      </c>
      <c r="BT326" t="str">
        <f>HYPERLINK("https%3A%2F%2Fwww.webofscience.com%2Fwos%2Fwoscc%2Ffull-record%2FWOS:001062283800001","View Full Record in Web of Science")</f>
        <v>View Full Record in Web of Science</v>
      </c>
    </row>
    <row r="327" spans="1:72" x14ac:dyDescent="0.15">
      <c r="A327" t="s">
        <v>72</v>
      </c>
      <c r="B327" t="s">
        <v>5935</v>
      </c>
      <c r="C327" t="s">
        <v>74</v>
      </c>
      <c r="D327" t="s">
        <v>74</v>
      </c>
      <c r="E327" t="s">
        <v>74</v>
      </c>
      <c r="F327" t="s">
        <v>5936</v>
      </c>
      <c r="G327" t="s">
        <v>74</v>
      </c>
      <c r="H327" t="s">
        <v>74</v>
      </c>
      <c r="I327" t="s">
        <v>5937</v>
      </c>
      <c r="J327" t="s">
        <v>1524</v>
      </c>
      <c r="K327" t="s">
        <v>74</v>
      </c>
      <c r="L327" t="s">
        <v>74</v>
      </c>
      <c r="M327" t="s">
        <v>78</v>
      </c>
      <c r="N327" t="s">
        <v>79</v>
      </c>
      <c r="O327" t="s">
        <v>74</v>
      </c>
      <c r="P327" t="s">
        <v>74</v>
      </c>
      <c r="Q327" t="s">
        <v>74</v>
      </c>
      <c r="R327" t="s">
        <v>74</v>
      </c>
      <c r="S327" t="s">
        <v>74</v>
      </c>
      <c r="T327" t="s">
        <v>5938</v>
      </c>
      <c r="U327" t="s">
        <v>5939</v>
      </c>
      <c r="V327" t="s">
        <v>5940</v>
      </c>
      <c r="W327" t="s">
        <v>5941</v>
      </c>
      <c r="X327" t="s">
        <v>5942</v>
      </c>
      <c r="Y327" t="s">
        <v>5943</v>
      </c>
      <c r="Z327" t="s">
        <v>5944</v>
      </c>
      <c r="AA327" t="s">
        <v>5945</v>
      </c>
      <c r="AB327" t="s">
        <v>5946</v>
      </c>
      <c r="AC327" t="s">
        <v>5947</v>
      </c>
      <c r="AD327" t="s">
        <v>5947</v>
      </c>
      <c r="AE327" t="s">
        <v>5948</v>
      </c>
      <c r="AF327" t="s">
        <v>74</v>
      </c>
      <c r="AG327">
        <v>69</v>
      </c>
      <c r="AH327">
        <v>0</v>
      </c>
      <c r="AI327">
        <v>0</v>
      </c>
      <c r="AJ327">
        <v>21</v>
      </c>
      <c r="AK327">
        <v>21</v>
      </c>
      <c r="AL327" t="s">
        <v>90</v>
      </c>
      <c r="AM327" t="s">
        <v>91</v>
      </c>
      <c r="AN327" t="s">
        <v>92</v>
      </c>
      <c r="AO327" t="s">
        <v>1534</v>
      </c>
      <c r="AP327" t="s">
        <v>1535</v>
      </c>
      <c r="AQ327" t="s">
        <v>74</v>
      </c>
      <c r="AR327" t="s">
        <v>1536</v>
      </c>
      <c r="AS327" t="s">
        <v>1537</v>
      </c>
      <c r="AT327" t="s">
        <v>5295</v>
      </c>
      <c r="AU327">
        <v>2023</v>
      </c>
      <c r="AV327">
        <v>899</v>
      </c>
      <c r="AW327" t="s">
        <v>74</v>
      </c>
      <c r="AX327" t="s">
        <v>74</v>
      </c>
      <c r="AY327" t="s">
        <v>74</v>
      </c>
      <c r="AZ327" t="s">
        <v>74</v>
      </c>
      <c r="BA327" t="s">
        <v>74</v>
      </c>
      <c r="BB327" t="s">
        <v>74</v>
      </c>
      <c r="BC327" t="s">
        <v>74</v>
      </c>
      <c r="BD327">
        <v>165679</v>
      </c>
      <c r="BE327" t="s">
        <v>5949</v>
      </c>
      <c r="BF327" t="str">
        <f>HYPERLINK("http://dx.doi.org/10.1016/j.scitotenv.2023.165679","http://dx.doi.org/10.1016/j.scitotenv.2023.165679")</f>
        <v>http://dx.doi.org/10.1016/j.scitotenv.2023.165679</v>
      </c>
      <c r="BG327" t="s">
        <v>74</v>
      </c>
      <c r="BH327" t="s">
        <v>74</v>
      </c>
      <c r="BI327">
        <v>10</v>
      </c>
      <c r="BJ327" t="s">
        <v>1539</v>
      </c>
      <c r="BK327" t="s">
        <v>100</v>
      </c>
      <c r="BL327" t="s">
        <v>1540</v>
      </c>
      <c r="BM327" t="s">
        <v>5950</v>
      </c>
      <c r="BN327">
        <v>37481086</v>
      </c>
      <c r="BO327" t="s">
        <v>74</v>
      </c>
      <c r="BP327" t="s">
        <v>74</v>
      </c>
      <c r="BQ327" t="s">
        <v>74</v>
      </c>
      <c r="BR327" t="s">
        <v>104</v>
      </c>
      <c r="BS327" t="s">
        <v>5951</v>
      </c>
      <c r="BT327" t="str">
        <f>HYPERLINK("https%3A%2F%2Fwww.webofscience.com%2Fwos%2Fwoscc%2Ffull-record%2FWOS:001055003900001","View Full Record in Web of Science")</f>
        <v>View Full Record in Web of Science</v>
      </c>
    </row>
    <row r="328" spans="1:72" x14ac:dyDescent="0.15">
      <c r="A328" t="s">
        <v>72</v>
      </c>
      <c r="B328" t="s">
        <v>5952</v>
      </c>
      <c r="C328" t="s">
        <v>74</v>
      </c>
      <c r="D328" t="s">
        <v>74</v>
      </c>
      <c r="E328" t="s">
        <v>74</v>
      </c>
      <c r="F328" t="s">
        <v>5953</v>
      </c>
      <c r="G328" t="s">
        <v>74</v>
      </c>
      <c r="H328" t="s">
        <v>74</v>
      </c>
      <c r="I328" t="s">
        <v>5954</v>
      </c>
      <c r="J328" t="s">
        <v>1793</v>
      </c>
      <c r="K328" t="s">
        <v>74</v>
      </c>
      <c r="L328" t="s">
        <v>74</v>
      </c>
      <c r="M328" t="s">
        <v>78</v>
      </c>
      <c r="N328" t="s">
        <v>79</v>
      </c>
      <c r="O328" t="s">
        <v>74</v>
      </c>
      <c r="P328" t="s">
        <v>74</v>
      </c>
      <c r="Q328" t="s">
        <v>74</v>
      </c>
      <c r="R328" t="s">
        <v>74</v>
      </c>
      <c r="S328" t="s">
        <v>74</v>
      </c>
      <c r="T328" t="s">
        <v>5955</v>
      </c>
      <c r="U328" t="s">
        <v>5956</v>
      </c>
      <c r="V328" t="s">
        <v>5957</v>
      </c>
      <c r="W328" t="s">
        <v>5958</v>
      </c>
      <c r="X328" t="s">
        <v>5959</v>
      </c>
      <c r="Y328" t="s">
        <v>5960</v>
      </c>
      <c r="Z328" t="s">
        <v>5961</v>
      </c>
      <c r="AA328" t="s">
        <v>74</v>
      </c>
      <c r="AB328" t="s">
        <v>5962</v>
      </c>
      <c r="AC328" t="s">
        <v>5963</v>
      </c>
      <c r="AD328" t="s">
        <v>5964</v>
      </c>
      <c r="AE328" t="s">
        <v>5965</v>
      </c>
      <c r="AF328" t="s">
        <v>74</v>
      </c>
      <c r="AG328">
        <v>31</v>
      </c>
      <c r="AH328">
        <v>0</v>
      </c>
      <c r="AI328">
        <v>0</v>
      </c>
      <c r="AJ328">
        <v>12</v>
      </c>
      <c r="AK328">
        <v>12</v>
      </c>
      <c r="AL328" t="s">
        <v>173</v>
      </c>
      <c r="AM328" t="s">
        <v>121</v>
      </c>
      <c r="AN328" t="s">
        <v>174</v>
      </c>
      <c r="AO328" t="s">
        <v>1805</v>
      </c>
      <c r="AP328" t="s">
        <v>1806</v>
      </c>
      <c r="AQ328" t="s">
        <v>74</v>
      </c>
      <c r="AR328" t="s">
        <v>1807</v>
      </c>
      <c r="AS328" t="s">
        <v>1808</v>
      </c>
      <c r="AT328" t="s">
        <v>5295</v>
      </c>
      <c r="AU328">
        <v>2023</v>
      </c>
      <c r="AV328">
        <v>301</v>
      </c>
      <c r="AW328" t="s">
        <v>74</v>
      </c>
      <c r="AX328" t="s">
        <v>74</v>
      </c>
      <c r="AY328" t="s">
        <v>74</v>
      </c>
      <c r="AZ328" t="s">
        <v>74</v>
      </c>
      <c r="BA328" t="s">
        <v>74</v>
      </c>
      <c r="BB328" t="s">
        <v>74</v>
      </c>
      <c r="BC328" t="s">
        <v>74</v>
      </c>
      <c r="BD328">
        <v>122982</v>
      </c>
      <c r="BE328" t="s">
        <v>5966</v>
      </c>
      <c r="BF328" t="str">
        <f>HYPERLINK("http://dx.doi.org/10.1016/j.saa.2023.122982","http://dx.doi.org/10.1016/j.saa.2023.122982")</f>
        <v>http://dx.doi.org/10.1016/j.saa.2023.122982</v>
      </c>
      <c r="BG328" t="s">
        <v>74</v>
      </c>
      <c r="BH328" t="s">
        <v>74</v>
      </c>
      <c r="BI328">
        <v>7</v>
      </c>
      <c r="BJ328" t="s">
        <v>1810</v>
      </c>
      <c r="BK328" t="s">
        <v>100</v>
      </c>
      <c r="BL328" t="s">
        <v>1810</v>
      </c>
      <c r="BM328" t="s">
        <v>5967</v>
      </c>
      <c r="BN328">
        <v>37315502</v>
      </c>
      <c r="BO328" t="s">
        <v>74</v>
      </c>
      <c r="BP328" t="s">
        <v>74</v>
      </c>
      <c r="BQ328" t="s">
        <v>74</v>
      </c>
      <c r="BR328" t="s">
        <v>104</v>
      </c>
      <c r="BS328" t="s">
        <v>5968</v>
      </c>
      <c r="BT328" t="str">
        <f>HYPERLINK("https%3A%2F%2Fwww.webofscience.com%2Fwos%2Fwoscc%2Ffull-record%2FWOS:001058276500001","View Full Record in Web of Science")</f>
        <v>View Full Record in Web of Science</v>
      </c>
    </row>
    <row r="329" spans="1:72" x14ac:dyDescent="0.15">
      <c r="A329" t="s">
        <v>72</v>
      </c>
      <c r="B329" t="s">
        <v>5969</v>
      </c>
      <c r="C329" t="s">
        <v>74</v>
      </c>
      <c r="D329" t="s">
        <v>74</v>
      </c>
      <c r="E329" t="s">
        <v>74</v>
      </c>
      <c r="F329" t="s">
        <v>5970</v>
      </c>
      <c r="G329" t="s">
        <v>74</v>
      </c>
      <c r="H329" t="s">
        <v>74</v>
      </c>
      <c r="I329" t="s">
        <v>5971</v>
      </c>
      <c r="J329" t="s">
        <v>3061</v>
      </c>
      <c r="K329" t="s">
        <v>74</v>
      </c>
      <c r="L329" t="s">
        <v>74</v>
      </c>
      <c r="M329" t="s">
        <v>78</v>
      </c>
      <c r="N329" t="s">
        <v>79</v>
      </c>
      <c r="O329" t="s">
        <v>74</v>
      </c>
      <c r="P329" t="s">
        <v>74</v>
      </c>
      <c r="Q329" t="s">
        <v>74</v>
      </c>
      <c r="R329" t="s">
        <v>74</v>
      </c>
      <c r="S329" t="s">
        <v>74</v>
      </c>
      <c r="T329" t="s">
        <v>5972</v>
      </c>
      <c r="U329" t="s">
        <v>5973</v>
      </c>
      <c r="V329" t="s">
        <v>5974</v>
      </c>
      <c r="W329" t="s">
        <v>5975</v>
      </c>
      <c r="X329" t="s">
        <v>5976</v>
      </c>
      <c r="Y329" t="s">
        <v>5977</v>
      </c>
      <c r="Z329" t="s">
        <v>5978</v>
      </c>
      <c r="AA329" t="s">
        <v>74</v>
      </c>
      <c r="AB329" t="s">
        <v>74</v>
      </c>
      <c r="AC329" t="s">
        <v>5979</v>
      </c>
      <c r="AD329" t="s">
        <v>5980</v>
      </c>
      <c r="AE329" t="s">
        <v>5981</v>
      </c>
      <c r="AF329" t="s">
        <v>74</v>
      </c>
      <c r="AG329">
        <v>36</v>
      </c>
      <c r="AH329">
        <v>0</v>
      </c>
      <c r="AI329">
        <v>0</v>
      </c>
      <c r="AJ329">
        <v>0</v>
      </c>
      <c r="AK329">
        <v>0</v>
      </c>
      <c r="AL329" t="s">
        <v>120</v>
      </c>
      <c r="AM329" t="s">
        <v>121</v>
      </c>
      <c r="AN329" t="s">
        <v>122</v>
      </c>
      <c r="AO329" t="s">
        <v>3072</v>
      </c>
      <c r="AP329" t="s">
        <v>3073</v>
      </c>
      <c r="AQ329" t="s">
        <v>74</v>
      </c>
      <c r="AR329" t="s">
        <v>3074</v>
      </c>
      <c r="AS329" t="s">
        <v>3075</v>
      </c>
      <c r="AT329" t="s">
        <v>5295</v>
      </c>
      <c r="AU329">
        <v>2023</v>
      </c>
      <c r="AV329">
        <v>350</v>
      </c>
      <c r="AW329" t="s">
        <v>74</v>
      </c>
      <c r="AX329" t="s">
        <v>74</v>
      </c>
      <c r="AY329" t="s">
        <v>74</v>
      </c>
      <c r="AZ329" t="s">
        <v>74</v>
      </c>
      <c r="BA329" t="s">
        <v>74</v>
      </c>
      <c r="BB329" t="s">
        <v>74</v>
      </c>
      <c r="BC329" t="s">
        <v>74</v>
      </c>
      <c r="BD329">
        <v>121754</v>
      </c>
      <c r="BE329" t="s">
        <v>5982</v>
      </c>
      <c r="BF329" t="str">
        <f>HYPERLINK("http://dx.doi.org/10.1016/j.apenergy.2023.121754","http://dx.doi.org/10.1016/j.apenergy.2023.121754")</f>
        <v>http://dx.doi.org/10.1016/j.apenergy.2023.121754</v>
      </c>
      <c r="BG329" t="s">
        <v>74</v>
      </c>
      <c r="BH329" t="s">
        <v>74</v>
      </c>
      <c r="BI329">
        <v>13</v>
      </c>
      <c r="BJ329" t="s">
        <v>276</v>
      </c>
      <c r="BK329" t="s">
        <v>100</v>
      </c>
      <c r="BL329" t="s">
        <v>277</v>
      </c>
      <c r="BM329" t="s">
        <v>5983</v>
      </c>
      <c r="BN329" t="s">
        <v>74</v>
      </c>
      <c r="BO329" t="s">
        <v>74</v>
      </c>
      <c r="BP329" t="s">
        <v>74</v>
      </c>
      <c r="BQ329" t="s">
        <v>74</v>
      </c>
      <c r="BR329" t="s">
        <v>104</v>
      </c>
      <c r="BS329" t="s">
        <v>5984</v>
      </c>
      <c r="BT329" t="str">
        <f>HYPERLINK("https%3A%2F%2Fwww.webofscience.com%2Fwos%2Fwoscc%2Ffull-record%2FWOS:001066090300001","View Full Record in Web of Science")</f>
        <v>View Full Record in Web of Science</v>
      </c>
    </row>
    <row r="330" spans="1:72" x14ac:dyDescent="0.15">
      <c r="A330" t="s">
        <v>72</v>
      </c>
      <c r="B330" t="s">
        <v>5985</v>
      </c>
      <c r="C330" t="s">
        <v>74</v>
      </c>
      <c r="D330" t="s">
        <v>74</v>
      </c>
      <c r="E330" t="s">
        <v>74</v>
      </c>
      <c r="F330" t="s">
        <v>5986</v>
      </c>
      <c r="G330" t="s">
        <v>74</v>
      </c>
      <c r="H330" t="s">
        <v>74</v>
      </c>
      <c r="I330" t="s">
        <v>5987</v>
      </c>
      <c r="J330" t="s">
        <v>1438</v>
      </c>
      <c r="K330" t="s">
        <v>74</v>
      </c>
      <c r="L330" t="s">
        <v>74</v>
      </c>
      <c r="M330" t="s">
        <v>78</v>
      </c>
      <c r="N330" t="s">
        <v>79</v>
      </c>
      <c r="O330" t="s">
        <v>74</v>
      </c>
      <c r="P330" t="s">
        <v>74</v>
      </c>
      <c r="Q330" t="s">
        <v>74</v>
      </c>
      <c r="R330" t="s">
        <v>74</v>
      </c>
      <c r="S330" t="s">
        <v>74</v>
      </c>
      <c r="T330" t="s">
        <v>5988</v>
      </c>
      <c r="U330" t="s">
        <v>5989</v>
      </c>
      <c r="V330" t="s">
        <v>5990</v>
      </c>
      <c r="W330" t="s">
        <v>5991</v>
      </c>
      <c r="X330" t="s">
        <v>5992</v>
      </c>
      <c r="Y330" t="s">
        <v>5993</v>
      </c>
      <c r="Z330" t="s">
        <v>5994</v>
      </c>
      <c r="AA330" t="s">
        <v>74</v>
      </c>
      <c r="AB330" t="s">
        <v>74</v>
      </c>
      <c r="AC330" t="s">
        <v>74</v>
      </c>
      <c r="AD330" t="s">
        <v>74</v>
      </c>
      <c r="AE330" t="s">
        <v>74</v>
      </c>
      <c r="AF330" t="s">
        <v>74</v>
      </c>
      <c r="AG330">
        <v>59</v>
      </c>
      <c r="AH330">
        <v>0</v>
      </c>
      <c r="AI330">
        <v>0</v>
      </c>
      <c r="AJ330">
        <v>2</v>
      </c>
      <c r="AK330">
        <v>2</v>
      </c>
      <c r="AL330" t="s">
        <v>90</v>
      </c>
      <c r="AM330" t="s">
        <v>91</v>
      </c>
      <c r="AN330" t="s">
        <v>92</v>
      </c>
      <c r="AO330" t="s">
        <v>1448</v>
      </c>
      <c r="AP330" t="s">
        <v>1449</v>
      </c>
      <c r="AQ330" t="s">
        <v>74</v>
      </c>
      <c r="AR330" t="s">
        <v>1438</v>
      </c>
      <c r="AS330" t="s">
        <v>1450</v>
      </c>
      <c r="AT330" t="s">
        <v>5295</v>
      </c>
      <c r="AU330">
        <v>2023</v>
      </c>
      <c r="AV330">
        <v>576</v>
      </c>
      <c r="AW330" t="s">
        <v>74</v>
      </c>
      <c r="AX330" t="s">
        <v>74</v>
      </c>
      <c r="AY330" t="s">
        <v>74</v>
      </c>
      <c r="AZ330" t="s">
        <v>74</v>
      </c>
      <c r="BA330" t="s">
        <v>74</v>
      </c>
      <c r="BB330" t="s">
        <v>74</v>
      </c>
      <c r="BC330" t="s">
        <v>74</v>
      </c>
      <c r="BD330">
        <v>739896</v>
      </c>
      <c r="BE330" t="s">
        <v>5995</v>
      </c>
      <c r="BF330" t="str">
        <f>HYPERLINK("http://dx.doi.org/10.1016/j.aquaculture.2023.739896","http://dx.doi.org/10.1016/j.aquaculture.2023.739896")</f>
        <v>http://dx.doi.org/10.1016/j.aquaculture.2023.739896</v>
      </c>
      <c r="BG330" t="s">
        <v>74</v>
      </c>
      <c r="BH330" t="s">
        <v>74</v>
      </c>
      <c r="BI330">
        <v>9</v>
      </c>
      <c r="BJ330" t="s">
        <v>1452</v>
      </c>
      <c r="BK330" t="s">
        <v>100</v>
      </c>
      <c r="BL330" t="s">
        <v>1452</v>
      </c>
      <c r="BM330" t="s">
        <v>5996</v>
      </c>
      <c r="BN330" t="s">
        <v>74</v>
      </c>
      <c r="BO330" t="s">
        <v>74</v>
      </c>
      <c r="BP330" t="s">
        <v>74</v>
      </c>
      <c r="BQ330" t="s">
        <v>74</v>
      </c>
      <c r="BR330" t="s">
        <v>104</v>
      </c>
      <c r="BS330" t="s">
        <v>5997</v>
      </c>
      <c r="BT330" t="str">
        <f>HYPERLINK("https%3A%2F%2Fwww.webofscience.com%2Fwos%2Fwoscc%2Ffull-record%2FWOS:001045877900001","View Full Record in Web of Science")</f>
        <v>View Full Record in Web of Science</v>
      </c>
    </row>
    <row r="331" spans="1:72" x14ac:dyDescent="0.15">
      <c r="A331" t="s">
        <v>72</v>
      </c>
      <c r="B331" t="s">
        <v>5998</v>
      </c>
      <c r="C331" t="s">
        <v>74</v>
      </c>
      <c r="D331" t="s">
        <v>74</v>
      </c>
      <c r="E331" t="s">
        <v>74</v>
      </c>
      <c r="F331" t="s">
        <v>5999</v>
      </c>
      <c r="G331" t="s">
        <v>74</v>
      </c>
      <c r="H331" t="s">
        <v>74</v>
      </c>
      <c r="I331" t="s">
        <v>6000</v>
      </c>
      <c r="J331" t="s">
        <v>1950</v>
      </c>
      <c r="K331" t="s">
        <v>74</v>
      </c>
      <c r="L331" t="s">
        <v>74</v>
      </c>
      <c r="M331" t="s">
        <v>78</v>
      </c>
      <c r="N331" t="s">
        <v>79</v>
      </c>
      <c r="O331" t="s">
        <v>74</v>
      </c>
      <c r="P331" t="s">
        <v>74</v>
      </c>
      <c r="Q331" t="s">
        <v>74</v>
      </c>
      <c r="R331" t="s">
        <v>74</v>
      </c>
      <c r="S331" t="s">
        <v>74</v>
      </c>
      <c r="T331" t="s">
        <v>6001</v>
      </c>
      <c r="U331" t="s">
        <v>1950</v>
      </c>
      <c r="V331" t="s">
        <v>6002</v>
      </c>
      <c r="W331" t="s">
        <v>6003</v>
      </c>
      <c r="X331" t="s">
        <v>6004</v>
      </c>
      <c r="Y331" t="s">
        <v>6005</v>
      </c>
      <c r="Z331" t="s">
        <v>6006</v>
      </c>
      <c r="AA331" t="s">
        <v>74</v>
      </c>
      <c r="AB331" t="s">
        <v>74</v>
      </c>
      <c r="AC331" t="s">
        <v>6007</v>
      </c>
      <c r="AD331" t="s">
        <v>6008</v>
      </c>
      <c r="AE331" t="s">
        <v>6009</v>
      </c>
      <c r="AF331" t="s">
        <v>74</v>
      </c>
      <c r="AG331">
        <v>46</v>
      </c>
      <c r="AH331">
        <v>0</v>
      </c>
      <c r="AI331">
        <v>0</v>
      </c>
      <c r="AJ331">
        <v>1</v>
      </c>
      <c r="AK331">
        <v>1</v>
      </c>
      <c r="AL331" t="s">
        <v>173</v>
      </c>
      <c r="AM331" t="s">
        <v>121</v>
      </c>
      <c r="AN331" t="s">
        <v>174</v>
      </c>
      <c r="AO331" t="s">
        <v>1963</v>
      </c>
      <c r="AP331" t="s">
        <v>1964</v>
      </c>
      <c r="AQ331" t="s">
        <v>74</v>
      </c>
      <c r="AR331" t="s">
        <v>1950</v>
      </c>
      <c r="AS331" t="s">
        <v>1965</v>
      </c>
      <c r="AT331" t="s">
        <v>5295</v>
      </c>
      <c r="AU331">
        <v>2023</v>
      </c>
      <c r="AV331">
        <v>283</v>
      </c>
      <c r="AW331" t="s">
        <v>74</v>
      </c>
      <c r="AX331" t="s">
        <v>74</v>
      </c>
      <c r="AY331" t="s">
        <v>74</v>
      </c>
      <c r="AZ331" t="s">
        <v>74</v>
      </c>
      <c r="BA331" t="s">
        <v>74</v>
      </c>
      <c r="BB331" t="s">
        <v>74</v>
      </c>
      <c r="BC331" t="s">
        <v>74</v>
      </c>
      <c r="BD331">
        <v>128341</v>
      </c>
      <c r="BE331" t="s">
        <v>6010</v>
      </c>
      <c r="BF331" t="str">
        <f>HYPERLINK("http://dx.doi.org/10.1016/j.energy.2023.128341","http://dx.doi.org/10.1016/j.energy.2023.128341")</f>
        <v>http://dx.doi.org/10.1016/j.energy.2023.128341</v>
      </c>
      <c r="BG331" t="s">
        <v>74</v>
      </c>
      <c r="BH331" t="s">
        <v>74</v>
      </c>
      <c r="BI331">
        <v>12</v>
      </c>
      <c r="BJ331" t="s">
        <v>1967</v>
      </c>
      <c r="BK331" t="s">
        <v>100</v>
      </c>
      <c r="BL331" t="s">
        <v>1967</v>
      </c>
      <c r="BM331" t="s">
        <v>6011</v>
      </c>
      <c r="BN331" t="s">
        <v>74</v>
      </c>
      <c r="BO331" t="s">
        <v>74</v>
      </c>
      <c r="BP331" t="s">
        <v>74</v>
      </c>
      <c r="BQ331" t="s">
        <v>74</v>
      </c>
      <c r="BR331" t="s">
        <v>104</v>
      </c>
      <c r="BS331" t="s">
        <v>6012</v>
      </c>
      <c r="BT331" t="str">
        <f>HYPERLINK("https%3A%2F%2Fwww.webofscience.com%2Fwos%2Fwoscc%2Ffull-record%2FWOS:001052281200001","View Full Record in Web of Science")</f>
        <v>View Full Record in Web of Science</v>
      </c>
    </row>
    <row r="332" spans="1:72" x14ac:dyDescent="0.15">
      <c r="A332" t="s">
        <v>72</v>
      </c>
      <c r="B332" t="s">
        <v>6013</v>
      </c>
      <c r="C332" t="s">
        <v>74</v>
      </c>
      <c r="D332" t="s">
        <v>74</v>
      </c>
      <c r="E332" t="s">
        <v>74</v>
      </c>
      <c r="F332" t="s">
        <v>6014</v>
      </c>
      <c r="G332" t="s">
        <v>74</v>
      </c>
      <c r="H332" t="s">
        <v>74</v>
      </c>
      <c r="I332" t="s">
        <v>6015</v>
      </c>
      <c r="J332" t="s">
        <v>5443</v>
      </c>
      <c r="K332" t="s">
        <v>74</v>
      </c>
      <c r="L332" t="s">
        <v>74</v>
      </c>
      <c r="M332" t="s">
        <v>78</v>
      </c>
      <c r="N332" t="s">
        <v>79</v>
      </c>
      <c r="O332" t="s">
        <v>74</v>
      </c>
      <c r="P332" t="s">
        <v>74</v>
      </c>
      <c r="Q332" t="s">
        <v>74</v>
      </c>
      <c r="R332" t="s">
        <v>74</v>
      </c>
      <c r="S332" t="s">
        <v>74</v>
      </c>
      <c r="T332" t="s">
        <v>6016</v>
      </c>
      <c r="U332" t="s">
        <v>6017</v>
      </c>
      <c r="V332" t="s">
        <v>6018</v>
      </c>
      <c r="W332" t="s">
        <v>6019</v>
      </c>
      <c r="X332" t="s">
        <v>6020</v>
      </c>
      <c r="Y332" t="s">
        <v>6021</v>
      </c>
      <c r="Z332" t="s">
        <v>6022</v>
      </c>
      <c r="AA332" t="s">
        <v>74</v>
      </c>
      <c r="AB332" t="s">
        <v>74</v>
      </c>
      <c r="AC332" t="s">
        <v>74</v>
      </c>
      <c r="AD332" t="s">
        <v>74</v>
      </c>
      <c r="AE332" t="s">
        <v>74</v>
      </c>
      <c r="AF332" t="s">
        <v>74</v>
      </c>
      <c r="AG332">
        <v>39</v>
      </c>
      <c r="AH332">
        <v>0</v>
      </c>
      <c r="AI332">
        <v>0</v>
      </c>
      <c r="AJ332">
        <v>1</v>
      </c>
      <c r="AK332">
        <v>1</v>
      </c>
      <c r="AL332" t="s">
        <v>120</v>
      </c>
      <c r="AM332" t="s">
        <v>121</v>
      </c>
      <c r="AN332" t="s">
        <v>122</v>
      </c>
      <c r="AO332" t="s">
        <v>5451</v>
      </c>
      <c r="AP332" t="s">
        <v>5452</v>
      </c>
      <c r="AQ332" t="s">
        <v>74</v>
      </c>
      <c r="AR332" t="s">
        <v>5453</v>
      </c>
      <c r="AS332" t="s">
        <v>5454</v>
      </c>
      <c r="AT332" t="s">
        <v>5295</v>
      </c>
      <c r="AU332">
        <v>2023</v>
      </c>
      <c r="AV332">
        <v>167</v>
      </c>
      <c r="AW332" t="s">
        <v>74</v>
      </c>
      <c r="AX332" t="s">
        <v>74</v>
      </c>
      <c r="AY332" t="s">
        <v>74</v>
      </c>
      <c r="AZ332" t="s">
        <v>74</v>
      </c>
      <c r="BA332" t="s">
        <v>74</v>
      </c>
      <c r="BB332" t="s">
        <v>74</v>
      </c>
      <c r="BC332" t="s">
        <v>74</v>
      </c>
      <c r="BD332">
        <v>107757</v>
      </c>
      <c r="BE332" t="s">
        <v>6023</v>
      </c>
      <c r="BF332" t="str">
        <f>HYPERLINK("http://dx.doi.org/10.1016/j.mssp.2023.107757","http://dx.doi.org/10.1016/j.mssp.2023.107757")</f>
        <v>http://dx.doi.org/10.1016/j.mssp.2023.107757</v>
      </c>
      <c r="BG332" t="s">
        <v>74</v>
      </c>
      <c r="BH332" t="s">
        <v>74</v>
      </c>
      <c r="BI332">
        <v>10</v>
      </c>
      <c r="BJ332" t="s">
        <v>5456</v>
      </c>
      <c r="BK332" t="s">
        <v>100</v>
      </c>
      <c r="BL332" t="s">
        <v>5457</v>
      </c>
      <c r="BM332" t="s">
        <v>6024</v>
      </c>
      <c r="BN332" t="s">
        <v>74</v>
      </c>
      <c r="BO332" t="s">
        <v>74</v>
      </c>
      <c r="BP332" t="s">
        <v>74</v>
      </c>
      <c r="BQ332" t="s">
        <v>74</v>
      </c>
      <c r="BR332" t="s">
        <v>104</v>
      </c>
      <c r="BS332" t="s">
        <v>6025</v>
      </c>
      <c r="BT332" t="str">
        <f>HYPERLINK("https%3A%2F%2Fwww.webofscience.com%2Fwos%2Fwoscc%2Ffull-record%2FWOS:001052263300001","View Full Record in Web of Science")</f>
        <v>View Full Record in Web of Science</v>
      </c>
    </row>
    <row r="333" spans="1:72" x14ac:dyDescent="0.15">
      <c r="A333" t="s">
        <v>72</v>
      </c>
      <c r="B333" t="s">
        <v>6026</v>
      </c>
      <c r="C333" t="s">
        <v>74</v>
      </c>
      <c r="D333" t="s">
        <v>74</v>
      </c>
      <c r="E333" t="s">
        <v>74</v>
      </c>
      <c r="F333" t="s">
        <v>6027</v>
      </c>
      <c r="G333" t="s">
        <v>74</v>
      </c>
      <c r="H333" t="s">
        <v>74</v>
      </c>
      <c r="I333" t="s">
        <v>6028</v>
      </c>
      <c r="J333" t="s">
        <v>1950</v>
      </c>
      <c r="K333" t="s">
        <v>74</v>
      </c>
      <c r="L333" t="s">
        <v>74</v>
      </c>
      <c r="M333" t="s">
        <v>78</v>
      </c>
      <c r="N333" t="s">
        <v>79</v>
      </c>
      <c r="O333" t="s">
        <v>74</v>
      </c>
      <c r="P333" t="s">
        <v>74</v>
      </c>
      <c r="Q333" t="s">
        <v>74</v>
      </c>
      <c r="R333" t="s">
        <v>74</v>
      </c>
      <c r="S333" t="s">
        <v>74</v>
      </c>
      <c r="T333" t="s">
        <v>6029</v>
      </c>
      <c r="U333" t="s">
        <v>6030</v>
      </c>
      <c r="V333" t="s">
        <v>6031</v>
      </c>
      <c r="W333" t="s">
        <v>6032</v>
      </c>
      <c r="X333" t="s">
        <v>6033</v>
      </c>
      <c r="Y333" t="s">
        <v>6034</v>
      </c>
      <c r="Z333" t="s">
        <v>6035</v>
      </c>
      <c r="AA333" t="s">
        <v>6036</v>
      </c>
      <c r="AB333" t="s">
        <v>6037</v>
      </c>
      <c r="AC333" t="s">
        <v>6038</v>
      </c>
      <c r="AD333" t="s">
        <v>6039</v>
      </c>
      <c r="AE333" t="s">
        <v>6040</v>
      </c>
      <c r="AF333" t="s">
        <v>74</v>
      </c>
      <c r="AG333">
        <v>95</v>
      </c>
      <c r="AH333">
        <v>1</v>
      </c>
      <c r="AI333">
        <v>1</v>
      </c>
      <c r="AJ333">
        <v>5</v>
      </c>
      <c r="AK333">
        <v>5</v>
      </c>
      <c r="AL333" t="s">
        <v>173</v>
      </c>
      <c r="AM333" t="s">
        <v>121</v>
      </c>
      <c r="AN333" t="s">
        <v>174</v>
      </c>
      <c r="AO333" t="s">
        <v>1963</v>
      </c>
      <c r="AP333" t="s">
        <v>1964</v>
      </c>
      <c r="AQ333" t="s">
        <v>74</v>
      </c>
      <c r="AR333" t="s">
        <v>1950</v>
      </c>
      <c r="AS333" t="s">
        <v>1965</v>
      </c>
      <c r="AT333" t="s">
        <v>5295</v>
      </c>
      <c r="AU333">
        <v>2023</v>
      </c>
      <c r="AV333">
        <v>283</v>
      </c>
      <c r="AW333" t="s">
        <v>74</v>
      </c>
      <c r="AX333" t="s">
        <v>74</v>
      </c>
      <c r="AY333" t="s">
        <v>74</v>
      </c>
      <c r="AZ333" t="s">
        <v>74</v>
      </c>
      <c r="BA333" t="s">
        <v>74</v>
      </c>
      <c r="BB333" t="s">
        <v>74</v>
      </c>
      <c r="BC333" t="s">
        <v>74</v>
      </c>
      <c r="BD333">
        <v>128476</v>
      </c>
      <c r="BE333" t="s">
        <v>6041</v>
      </c>
      <c r="BF333" t="str">
        <f>HYPERLINK("http://dx.doi.org/10.1016/j.energy.2023.128476","http://dx.doi.org/10.1016/j.energy.2023.128476")</f>
        <v>http://dx.doi.org/10.1016/j.energy.2023.128476</v>
      </c>
      <c r="BG333" t="s">
        <v>74</v>
      </c>
      <c r="BH333" t="s">
        <v>74</v>
      </c>
      <c r="BI333">
        <v>16</v>
      </c>
      <c r="BJ333" t="s">
        <v>1967</v>
      </c>
      <c r="BK333" t="s">
        <v>100</v>
      </c>
      <c r="BL333" t="s">
        <v>1967</v>
      </c>
      <c r="BM333" t="s">
        <v>6042</v>
      </c>
      <c r="BN333" t="s">
        <v>74</v>
      </c>
      <c r="BO333" t="s">
        <v>295</v>
      </c>
      <c r="BP333" t="s">
        <v>74</v>
      </c>
      <c r="BQ333" t="s">
        <v>74</v>
      </c>
      <c r="BR333" t="s">
        <v>104</v>
      </c>
      <c r="BS333" t="s">
        <v>6043</v>
      </c>
      <c r="BT333" t="str">
        <f>HYPERLINK("https%3A%2F%2Fwww.webofscience.com%2Fwos%2Fwoscc%2Ffull-record%2FWOS:001048856700001","View Full Record in Web of Science")</f>
        <v>View Full Record in Web of Science</v>
      </c>
    </row>
    <row r="334" spans="1:72" x14ac:dyDescent="0.15">
      <c r="A334" t="s">
        <v>72</v>
      </c>
      <c r="B334" t="s">
        <v>6044</v>
      </c>
      <c r="C334" t="s">
        <v>74</v>
      </c>
      <c r="D334" t="s">
        <v>74</v>
      </c>
      <c r="E334" t="s">
        <v>74</v>
      </c>
      <c r="F334" t="s">
        <v>6045</v>
      </c>
      <c r="G334" t="s">
        <v>74</v>
      </c>
      <c r="H334" t="s">
        <v>74</v>
      </c>
      <c r="I334" t="s">
        <v>6046</v>
      </c>
      <c r="J334" t="s">
        <v>3061</v>
      </c>
      <c r="K334" t="s">
        <v>74</v>
      </c>
      <c r="L334" t="s">
        <v>74</v>
      </c>
      <c r="M334" t="s">
        <v>78</v>
      </c>
      <c r="N334" t="s">
        <v>79</v>
      </c>
      <c r="O334" t="s">
        <v>74</v>
      </c>
      <c r="P334" t="s">
        <v>74</v>
      </c>
      <c r="Q334" t="s">
        <v>74</v>
      </c>
      <c r="R334" t="s">
        <v>74</v>
      </c>
      <c r="S334" t="s">
        <v>74</v>
      </c>
      <c r="T334" t="s">
        <v>6047</v>
      </c>
      <c r="U334" t="s">
        <v>6048</v>
      </c>
      <c r="V334" t="s">
        <v>6049</v>
      </c>
      <c r="W334" t="s">
        <v>6050</v>
      </c>
      <c r="X334" t="s">
        <v>4635</v>
      </c>
      <c r="Y334" t="s">
        <v>6051</v>
      </c>
      <c r="Z334" t="s">
        <v>6052</v>
      </c>
      <c r="AA334" t="s">
        <v>74</v>
      </c>
      <c r="AB334" t="s">
        <v>74</v>
      </c>
      <c r="AC334" t="s">
        <v>6053</v>
      </c>
      <c r="AD334" t="s">
        <v>6054</v>
      </c>
      <c r="AE334" t="s">
        <v>6055</v>
      </c>
      <c r="AF334" t="s">
        <v>74</v>
      </c>
      <c r="AG334">
        <v>55</v>
      </c>
      <c r="AH334">
        <v>0</v>
      </c>
      <c r="AI334">
        <v>0</v>
      </c>
      <c r="AJ334">
        <v>4</v>
      </c>
      <c r="AK334">
        <v>4</v>
      </c>
      <c r="AL334" t="s">
        <v>120</v>
      </c>
      <c r="AM334" t="s">
        <v>121</v>
      </c>
      <c r="AN334" t="s">
        <v>122</v>
      </c>
      <c r="AO334" t="s">
        <v>3072</v>
      </c>
      <c r="AP334" t="s">
        <v>3073</v>
      </c>
      <c r="AQ334" t="s">
        <v>74</v>
      </c>
      <c r="AR334" t="s">
        <v>3074</v>
      </c>
      <c r="AS334" t="s">
        <v>3075</v>
      </c>
      <c r="AT334" t="s">
        <v>5295</v>
      </c>
      <c r="AU334">
        <v>2023</v>
      </c>
      <c r="AV334">
        <v>350</v>
      </c>
      <c r="AW334" t="s">
        <v>74</v>
      </c>
      <c r="AX334" t="s">
        <v>74</v>
      </c>
      <c r="AY334" t="s">
        <v>74</v>
      </c>
      <c r="AZ334" t="s">
        <v>74</v>
      </c>
      <c r="BA334" t="s">
        <v>74</v>
      </c>
      <c r="BB334" t="s">
        <v>74</v>
      </c>
      <c r="BC334" t="s">
        <v>74</v>
      </c>
      <c r="BD334">
        <v>121604</v>
      </c>
      <c r="BE334" t="s">
        <v>6056</v>
      </c>
      <c r="BF334" t="str">
        <f>HYPERLINK("http://dx.doi.org/10.1016/j.apenergy.2023.121604","http://dx.doi.org/10.1016/j.apenergy.2023.121604")</f>
        <v>http://dx.doi.org/10.1016/j.apenergy.2023.121604</v>
      </c>
      <c r="BG334" t="s">
        <v>74</v>
      </c>
      <c r="BH334" t="s">
        <v>74</v>
      </c>
      <c r="BI334">
        <v>25</v>
      </c>
      <c r="BJ334" t="s">
        <v>276</v>
      </c>
      <c r="BK334" t="s">
        <v>100</v>
      </c>
      <c r="BL334" t="s">
        <v>277</v>
      </c>
      <c r="BM334" t="s">
        <v>6057</v>
      </c>
      <c r="BN334" t="s">
        <v>74</v>
      </c>
      <c r="BO334" t="s">
        <v>74</v>
      </c>
      <c r="BP334" t="s">
        <v>74</v>
      </c>
      <c r="BQ334" t="s">
        <v>74</v>
      </c>
      <c r="BR334" t="s">
        <v>104</v>
      </c>
      <c r="BS334" t="s">
        <v>6058</v>
      </c>
      <c r="BT334" t="str">
        <f>HYPERLINK("https%3A%2F%2Fwww.webofscience.com%2Fwos%2Fwoscc%2Ffull-record%2FWOS:001060390000001","View Full Record in Web of Science")</f>
        <v>View Full Record in Web of Science</v>
      </c>
    </row>
    <row r="335" spans="1:72" x14ac:dyDescent="0.15">
      <c r="A335" t="s">
        <v>72</v>
      </c>
      <c r="B335" t="s">
        <v>6059</v>
      </c>
      <c r="C335" t="s">
        <v>74</v>
      </c>
      <c r="D335" t="s">
        <v>74</v>
      </c>
      <c r="E335" t="s">
        <v>74</v>
      </c>
      <c r="F335" t="s">
        <v>6060</v>
      </c>
      <c r="G335" t="s">
        <v>74</v>
      </c>
      <c r="H335" t="s">
        <v>74</v>
      </c>
      <c r="I335" t="s">
        <v>6061</v>
      </c>
      <c r="J335" t="s">
        <v>1524</v>
      </c>
      <c r="K335" t="s">
        <v>74</v>
      </c>
      <c r="L335" t="s">
        <v>74</v>
      </c>
      <c r="M335" t="s">
        <v>78</v>
      </c>
      <c r="N335" t="s">
        <v>79</v>
      </c>
      <c r="O335" t="s">
        <v>74</v>
      </c>
      <c r="P335" t="s">
        <v>74</v>
      </c>
      <c r="Q335" t="s">
        <v>74</v>
      </c>
      <c r="R335" t="s">
        <v>74</v>
      </c>
      <c r="S335" t="s">
        <v>74</v>
      </c>
      <c r="T335" t="s">
        <v>6062</v>
      </c>
      <c r="U335" t="s">
        <v>6063</v>
      </c>
      <c r="V335" t="s">
        <v>6064</v>
      </c>
      <c r="W335" t="s">
        <v>6065</v>
      </c>
      <c r="X335" t="s">
        <v>6066</v>
      </c>
      <c r="Y335" t="s">
        <v>6067</v>
      </c>
      <c r="Z335" t="s">
        <v>6068</v>
      </c>
      <c r="AA335" t="s">
        <v>6069</v>
      </c>
      <c r="AB335" t="s">
        <v>6070</v>
      </c>
      <c r="AC335" t="s">
        <v>6071</v>
      </c>
      <c r="AD335" t="s">
        <v>6072</v>
      </c>
      <c r="AE335" t="s">
        <v>6073</v>
      </c>
      <c r="AF335" t="s">
        <v>74</v>
      </c>
      <c r="AG335">
        <v>36</v>
      </c>
      <c r="AH335">
        <v>0</v>
      </c>
      <c r="AI335">
        <v>0</v>
      </c>
      <c r="AJ335">
        <v>1</v>
      </c>
      <c r="AK335">
        <v>1</v>
      </c>
      <c r="AL335" t="s">
        <v>90</v>
      </c>
      <c r="AM335" t="s">
        <v>91</v>
      </c>
      <c r="AN335" t="s">
        <v>92</v>
      </c>
      <c r="AO335" t="s">
        <v>1534</v>
      </c>
      <c r="AP335" t="s">
        <v>1535</v>
      </c>
      <c r="AQ335" t="s">
        <v>74</v>
      </c>
      <c r="AR335" t="s">
        <v>1536</v>
      </c>
      <c r="AS335" t="s">
        <v>1537</v>
      </c>
      <c r="AT335" t="s">
        <v>6074</v>
      </c>
      <c r="AU335">
        <v>2023</v>
      </c>
      <c r="AV335">
        <v>898</v>
      </c>
      <c r="AW335" t="s">
        <v>74</v>
      </c>
      <c r="AX335" t="s">
        <v>74</v>
      </c>
      <c r="AY335" t="s">
        <v>74</v>
      </c>
      <c r="AZ335" t="s">
        <v>74</v>
      </c>
      <c r="BA335" t="s">
        <v>74</v>
      </c>
      <c r="BB335" t="s">
        <v>74</v>
      </c>
      <c r="BC335" t="s">
        <v>74</v>
      </c>
      <c r="BD335">
        <v>165465</v>
      </c>
      <c r="BE335" t="s">
        <v>6075</v>
      </c>
      <c r="BF335" t="str">
        <f>HYPERLINK("http://dx.doi.org/10.1016/j.scitotenv.2023.165465","http://dx.doi.org/10.1016/j.scitotenv.2023.165465")</f>
        <v>http://dx.doi.org/10.1016/j.scitotenv.2023.165465</v>
      </c>
      <c r="BG335" t="s">
        <v>74</v>
      </c>
      <c r="BH335" t="s">
        <v>74</v>
      </c>
      <c r="BI335">
        <v>11</v>
      </c>
      <c r="BJ335" t="s">
        <v>1539</v>
      </c>
      <c r="BK335" t="s">
        <v>100</v>
      </c>
      <c r="BL335" t="s">
        <v>1540</v>
      </c>
      <c r="BM335" t="s">
        <v>6076</v>
      </c>
      <c r="BN335">
        <v>37451461</v>
      </c>
      <c r="BO335" t="s">
        <v>74</v>
      </c>
      <c r="BP335" t="s">
        <v>74</v>
      </c>
      <c r="BQ335" t="s">
        <v>74</v>
      </c>
      <c r="BR335" t="s">
        <v>104</v>
      </c>
      <c r="BS335" t="s">
        <v>6077</v>
      </c>
      <c r="BT335" t="str">
        <f>HYPERLINK("https%3A%2F%2Fwww.webofscience.com%2Fwos%2Fwoscc%2Ffull-record%2FWOS:001047374900001","View Full Record in Web of Science")</f>
        <v>View Full Record in Web of Science</v>
      </c>
    </row>
    <row r="336" spans="1:72" x14ac:dyDescent="0.15">
      <c r="A336" t="s">
        <v>72</v>
      </c>
      <c r="B336" t="s">
        <v>6078</v>
      </c>
      <c r="C336" t="s">
        <v>74</v>
      </c>
      <c r="D336" t="s">
        <v>74</v>
      </c>
      <c r="E336" t="s">
        <v>74</v>
      </c>
      <c r="F336" t="s">
        <v>6079</v>
      </c>
      <c r="G336" t="s">
        <v>74</v>
      </c>
      <c r="H336" t="s">
        <v>74</v>
      </c>
      <c r="I336" t="s">
        <v>6080</v>
      </c>
      <c r="J336" t="s">
        <v>2101</v>
      </c>
      <c r="K336" t="s">
        <v>74</v>
      </c>
      <c r="L336" t="s">
        <v>74</v>
      </c>
      <c r="M336" t="s">
        <v>78</v>
      </c>
      <c r="N336" t="s">
        <v>79</v>
      </c>
      <c r="O336" t="s">
        <v>74</v>
      </c>
      <c r="P336" t="s">
        <v>74</v>
      </c>
      <c r="Q336" t="s">
        <v>74</v>
      </c>
      <c r="R336" t="s">
        <v>74</v>
      </c>
      <c r="S336" t="s">
        <v>74</v>
      </c>
      <c r="T336" t="s">
        <v>6081</v>
      </c>
      <c r="U336" t="s">
        <v>6082</v>
      </c>
      <c r="V336" t="s">
        <v>6083</v>
      </c>
      <c r="W336" t="s">
        <v>6084</v>
      </c>
      <c r="X336" t="s">
        <v>6085</v>
      </c>
      <c r="Y336" t="s">
        <v>6086</v>
      </c>
      <c r="Z336" t="s">
        <v>6087</v>
      </c>
      <c r="AA336" t="s">
        <v>74</v>
      </c>
      <c r="AB336" t="s">
        <v>74</v>
      </c>
      <c r="AC336" t="s">
        <v>6088</v>
      </c>
      <c r="AD336" t="s">
        <v>6089</v>
      </c>
      <c r="AE336" t="s">
        <v>6090</v>
      </c>
      <c r="AF336" t="s">
        <v>74</v>
      </c>
      <c r="AG336">
        <v>66</v>
      </c>
      <c r="AH336">
        <v>0</v>
      </c>
      <c r="AI336">
        <v>0</v>
      </c>
      <c r="AJ336">
        <v>3</v>
      </c>
      <c r="AK336">
        <v>3</v>
      </c>
      <c r="AL336" t="s">
        <v>955</v>
      </c>
      <c r="AM336" t="s">
        <v>956</v>
      </c>
      <c r="AN336" t="s">
        <v>957</v>
      </c>
      <c r="AO336" t="s">
        <v>2112</v>
      </c>
      <c r="AP336" t="s">
        <v>2113</v>
      </c>
      <c r="AQ336" t="s">
        <v>74</v>
      </c>
      <c r="AR336" t="s">
        <v>2114</v>
      </c>
      <c r="AS336" t="s">
        <v>2115</v>
      </c>
      <c r="AT336" t="s">
        <v>6074</v>
      </c>
      <c r="AU336">
        <v>2023</v>
      </c>
      <c r="AV336">
        <v>963</v>
      </c>
      <c r="AW336" t="s">
        <v>74</v>
      </c>
      <c r="AX336" t="s">
        <v>74</v>
      </c>
      <c r="AY336" t="s">
        <v>74</v>
      </c>
      <c r="AZ336" t="s">
        <v>74</v>
      </c>
      <c r="BA336" t="s">
        <v>74</v>
      </c>
      <c r="BB336" t="s">
        <v>74</v>
      </c>
      <c r="BC336" t="s">
        <v>74</v>
      </c>
      <c r="BD336">
        <v>171245</v>
      </c>
      <c r="BE336" t="s">
        <v>6091</v>
      </c>
      <c r="BF336" t="str">
        <f>HYPERLINK("http://dx.doi.org/10.1016/j.jallcom.2023.171245","http://dx.doi.org/10.1016/j.jallcom.2023.171245")</f>
        <v>http://dx.doi.org/10.1016/j.jallcom.2023.171245</v>
      </c>
      <c r="BG336" t="s">
        <v>74</v>
      </c>
      <c r="BH336" t="s">
        <v>74</v>
      </c>
      <c r="BI336">
        <v>11</v>
      </c>
      <c r="BJ336" t="s">
        <v>2118</v>
      </c>
      <c r="BK336" t="s">
        <v>100</v>
      </c>
      <c r="BL336" t="s">
        <v>2119</v>
      </c>
      <c r="BM336" t="s">
        <v>6092</v>
      </c>
      <c r="BN336" t="s">
        <v>74</v>
      </c>
      <c r="BO336" t="s">
        <v>74</v>
      </c>
      <c r="BP336" t="s">
        <v>74</v>
      </c>
      <c r="BQ336" t="s">
        <v>74</v>
      </c>
      <c r="BR336" t="s">
        <v>104</v>
      </c>
      <c r="BS336" t="s">
        <v>6093</v>
      </c>
      <c r="BT336" t="str">
        <f>HYPERLINK("https%3A%2F%2Fwww.webofscience.com%2Fwos%2Fwoscc%2Ffull-record%2FWOS:001040305200001","View Full Record in Web of Science")</f>
        <v>View Full Record in Web of Science</v>
      </c>
    </row>
    <row r="337" spans="1:72" x14ac:dyDescent="0.15">
      <c r="A337" t="s">
        <v>72</v>
      </c>
      <c r="B337" t="s">
        <v>6094</v>
      </c>
      <c r="C337" t="s">
        <v>74</v>
      </c>
      <c r="D337" t="s">
        <v>74</v>
      </c>
      <c r="E337" t="s">
        <v>74</v>
      </c>
      <c r="F337" t="s">
        <v>6095</v>
      </c>
      <c r="G337" t="s">
        <v>74</v>
      </c>
      <c r="H337" t="s">
        <v>74</v>
      </c>
      <c r="I337" t="s">
        <v>6096</v>
      </c>
      <c r="J337" t="s">
        <v>1524</v>
      </c>
      <c r="K337" t="s">
        <v>74</v>
      </c>
      <c r="L337" t="s">
        <v>74</v>
      </c>
      <c r="M337" t="s">
        <v>78</v>
      </c>
      <c r="N337" t="s">
        <v>79</v>
      </c>
      <c r="O337" t="s">
        <v>74</v>
      </c>
      <c r="P337" t="s">
        <v>74</v>
      </c>
      <c r="Q337" t="s">
        <v>74</v>
      </c>
      <c r="R337" t="s">
        <v>74</v>
      </c>
      <c r="S337" t="s">
        <v>74</v>
      </c>
      <c r="T337" t="s">
        <v>6097</v>
      </c>
      <c r="U337" t="s">
        <v>6098</v>
      </c>
      <c r="V337" t="s">
        <v>6099</v>
      </c>
      <c r="W337" t="s">
        <v>6100</v>
      </c>
      <c r="X337" t="s">
        <v>3308</v>
      </c>
      <c r="Y337" t="s">
        <v>6101</v>
      </c>
      <c r="Z337" t="s">
        <v>6102</v>
      </c>
      <c r="AA337" t="s">
        <v>74</v>
      </c>
      <c r="AB337" t="s">
        <v>74</v>
      </c>
      <c r="AC337" t="s">
        <v>6103</v>
      </c>
      <c r="AD337" t="s">
        <v>2166</v>
      </c>
      <c r="AE337" t="s">
        <v>6104</v>
      </c>
      <c r="AF337" t="s">
        <v>74</v>
      </c>
      <c r="AG337">
        <v>70</v>
      </c>
      <c r="AH337">
        <v>0</v>
      </c>
      <c r="AI337">
        <v>0</v>
      </c>
      <c r="AJ337">
        <v>29</v>
      </c>
      <c r="AK337">
        <v>29</v>
      </c>
      <c r="AL337" t="s">
        <v>90</v>
      </c>
      <c r="AM337" t="s">
        <v>91</v>
      </c>
      <c r="AN337" t="s">
        <v>92</v>
      </c>
      <c r="AO337" t="s">
        <v>1534</v>
      </c>
      <c r="AP337" t="s">
        <v>1535</v>
      </c>
      <c r="AQ337" t="s">
        <v>74</v>
      </c>
      <c r="AR337" t="s">
        <v>1536</v>
      </c>
      <c r="AS337" t="s">
        <v>1537</v>
      </c>
      <c r="AT337" t="s">
        <v>6074</v>
      </c>
      <c r="AU337">
        <v>2023</v>
      </c>
      <c r="AV337">
        <v>898</v>
      </c>
      <c r="AW337" t="s">
        <v>74</v>
      </c>
      <c r="AX337" t="s">
        <v>74</v>
      </c>
      <c r="AY337" t="s">
        <v>74</v>
      </c>
      <c r="AZ337" t="s">
        <v>74</v>
      </c>
      <c r="BA337" t="s">
        <v>74</v>
      </c>
      <c r="BB337" t="s">
        <v>74</v>
      </c>
      <c r="BC337" t="s">
        <v>74</v>
      </c>
      <c r="BD337">
        <v>165561</v>
      </c>
      <c r="BE337" t="s">
        <v>6105</v>
      </c>
      <c r="BF337" t="str">
        <f>HYPERLINK("http://dx.doi.org/10.1016/j.scitotenv.2023.165561","http://dx.doi.org/10.1016/j.scitotenv.2023.165561")</f>
        <v>http://dx.doi.org/10.1016/j.scitotenv.2023.165561</v>
      </c>
      <c r="BG337" t="s">
        <v>74</v>
      </c>
      <c r="BH337" t="s">
        <v>74</v>
      </c>
      <c r="BI337">
        <v>11</v>
      </c>
      <c r="BJ337" t="s">
        <v>1539</v>
      </c>
      <c r="BK337" t="s">
        <v>100</v>
      </c>
      <c r="BL337" t="s">
        <v>1540</v>
      </c>
      <c r="BM337" t="s">
        <v>6106</v>
      </c>
      <c r="BN337">
        <v>37474072</v>
      </c>
      <c r="BO337" t="s">
        <v>74</v>
      </c>
      <c r="BP337" t="s">
        <v>74</v>
      </c>
      <c r="BQ337" t="s">
        <v>74</v>
      </c>
      <c r="BR337" t="s">
        <v>104</v>
      </c>
      <c r="BS337" t="s">
        <v>6107</v>
      </c>
      <c r="BT337" t="str">
        <f>HYPERLINK("https%3A%2F%2Fwww.webofscience.com%2Fwos%2Fwoscc%2Ffull-record%2FWOS:001047278900001","View Full Record in Web of Science")</f>
        <v>View Full Record in Web of Science</v>
      </c>
    </row>
    <row r="338" spans="1:72" x14ac:dyDescent="0.15">
      <c r="A338" t="s">
        <v>72</v>
      </c>
      <c r="B338" t="s">
        <v>6108</v>
      </c>
      <c r="C338" t="s">
        <v>74</v>
      </c>
      <c r="D338" t="s">
        <v>74</v>
      </c>
      <c r="E338" t="s">
        <v>74</v>
      </c>
      <c r="F338" t="s">
        <v>6109</v>
      </c>
      <c r="G338" t="s">
        <v>74</v>
      </c>
      <c r="H338" t="s">
        <v>74</v>
      </c>
      <c r="I338" t="s">
        <v>6110</v>
      </c>
      <c r="J338" t="s">
        <v>2287</v>
      </c>
      <c r="K338" t="s">
        <v>74</v>
      </c>
      <c r="L338" t="s">
        <v>74</v>
      </c>
      <c r="M338" t="s">
        <v>78</v>
      </c>
      <c r="N338" t="s">
        <v>79</v>
      </c>
      <c r="O338" t="s">
        <v>74</v>
      </c>
      <c r="P338" t="s">
        <v>74</v>
      </c>
      <c r="Q338" t="s">
        <v>74</v>
      </c>
      <c r="R338" t="s">
        <v>74</v>
      </c>
      <c r="S338" t="s">
        <v>74</v>
      </c>
      <c r="T338" t="s">
        <v>6111</v>
      </c>
      <c r="U338" t="s">
        <v>6112</v>
      </c>
      <c r="V338" t="s">
        <v>6113</v>
      </c>
      <c r="W338" t="s">
        <v>6114</v>
      </c>
      <c r="X338" t="s">
        <v>6115</v>
      </c>
      <c r="Y338" t="s">
        <v>6116</v>
      </c>
      <c r="Z338" t="s">
        <v>6117</v>
      </c>
      <c r="AA338" t="s">
        <v>74</v>
      </c>
      <c r="AB338" t="s">
        <v>74</v>
      </c>
      <c r="AC338" t="s">
        <v>6118</v>
      </c>
      <c r="AD338" t="s">
        <v>6119</v>
      </c>
      <c r="AE338" t="s">
        <v>6120</v>
      </c>
      <c r="AF338" t="s">
        <v>74</v>
      </c>
      <c r="AG338">
        <v>37</v>
      </c>
      <c r="AH338">
        <v>0</v>
      </c>
      <c r="AI338">
        <v>0</v>
      </c>
      <c r="AJ338">
        <v>0</v>
      </c>
      <c r="AK338">
        <v>0</v>
      </c>
      <c r="AL338" t="s">
        <v>554</v>
      </c>
      <c r="AM338" t="s">
        <v>555</v>
      </c>
      <c r="AN338" t="s">
        <v>556</v>
      </c>
      <c r="AO338" t="s">
        <v>2296</v>
      </c>
      <c r="AP338" t="s">
        <v>2297</v>
      </c>
      <c r="AQ338" t="s">
        <v>74</v>
      </c>
      <c r="AR338" t="s">
        <v>2298</v>
      </c>
      <c r="AS338" t="s">
        <v>2299</v>
      </c>
      <c r="AT338" t="s">
        <v>6074</v>
      </c>
      <c r="AU338">
        <v>2023</v>
      </c>
      <c r="AV338">
        <v>564</v>
      </c>
      <c r="AW338" t="s">
        <v>74</v>
      </c>
      <c r="AX338" t="s">
        <v>74</v>
      </c>
      <c r="AY338" t="s">
        <v>74</v>
      </c>
      <c r="AZ338" t="s">
        <v>74</v>
      </c>
      <c r="BA338" t="s">
        <v>74</v>
      </c>
      <c r="BB338" t="s">
        <v>74</v>
      </c>
      <c r="BC338" t="s">
        <v>74</v>
      </c>
      <c r="BD338">
        <v>117864</v>
      </c>
      <c r="BE338" t="s">
        <v>6121</v>
      </c>
      <c r="BF338" t="str">
        <f>HYPERLINK("http://dx.doi.org/10.1016/j.jsv.2023.117864","http://dx.doi.org/10.1016/j.jsv.2023.117864")</f>
        <v>http://dx.doi.org/10.1016/j.jsv.2023.117864</v>
      </c>
      <c r="BG338" t="s">
        <v>74</v>
      </c>
      <c r="BH338" t="s">
        <v>74</v>
      </c>
      <c r="BI338">
        <v>14</v>
      </c>
      <c r="BJ338" t="s">
        <v>2302</v>
      </c>
      <c r="BK338" t="s">
        <v>100</v>
      </c>
      <c r="BL338" t="s">
        <v>2303</v>
      </c>
      <c r="BM338" t="s">
        <v>6122</v>
      </c>
      <c r="BN338" t="s">
        <v>74</v>
      </c>
      <c r="BO338" t="s">
        <v>74</v>
      </c>
      <c r="BP338" t="s">
        <v>74</v>
      </c>
      <c r="BQ338" t="s">
        <v>74</v>
      </c>
      <c r="BR338" t="s">
        <v>104</v>
      </c>
      <c r="BS338" t="s">
        <v>6123</v>
      </c>
      <c r="BT338" t="str">
        <f>HYPERLINK("https%3A%2F%2Fwww.webofscience.com%2Fwos%2Fwoscc%2Ffull-record%2FWOS:001057369600001","View Full Record in Web of Science")</f>
        <v>View Full Record in Web of Science</v>
      </c>
    </row>
    <row r="339" spans="1:72" x14ac:dyDescent="0.15">
      <c r="A339" t="s">
        <v>72</v>
      </c>
      <c r="B339" t="s">
        <v>6124</v>
      </c>
      <c r="C339" t="s">
        <v>74</v>
      </c>
      <c r="D339" t="s">
        <v>74</v>
      </c>
      <c r="E339" t="s">
        <v>74</v>
      </c>
      <c r="F339" t="s">
        <v>6125</v>
      </c>
      <c r="G339" t="s">
        <v>74</v>
      </c>
      <c r="H339" t="s">
        <v>74</v>
      </c>
      <c r="I339" t="s">
        <v>6126</v>
      </c>
      <c r="J339" t="s">
        <v>2101</v>
      </c>
      <c r="K339" t="s">
        <v>74</v>
      </c>
      <c r="L339" t="s">
        <v>74</v>
      </c>
      <c r="M339" t="s">
        <v>78</v>
      </c>
      <c r="N339" t="s">
        <v>79</v>
      </c>
      <c r="O339" t="s">
        <v>74</v>
      </c>
      <c r="P339" t="s">
        <v>74</v>
      </c>
      <c r="Q339" t="s">
        <v>74</v>
      </c>
      <c r="R339" t="s">
        <v>74</v>
      </c>
      <c r="S339" t="s">
        <v>74</v>
      </c>
      <c r="T339" t="s">
        <v>6127</v>
      </c>
      <c r="U339" t="s">
        <v>6128</v>
      </c>
      <c r="V339" t="s">
        <v>6129</v>
      </c>
      <c r="W339" t="s">
        <v>6130</v>
      </c>
      <c r="X339" t="s">
        <v>6131</v>
      </c>
      <c r="Y339" t="s">
        <v>6132</v>
      </c>
      <c r="Z339" t="s">
        <v>6133</v>
      </c>
      <c r="AA339" t="s">
        <v>6134</v>
      </c>
      <c r="AB339" t="s">
        <v>6135</v>
      </c>
      <c r="AC339" t="s">
        <v>6136</v>
      </c>
      <c r="AD339" t="s">
        <v>6137</v>
      </c>
      <c r="AE339" t="s">
        <v>6138</v>
      </c>
      <c r="AF339" t="s">
        <v>74</v>
      </c>
      <c r="AG339">
        <v>32</v>
      </c>
      <c r="AH339">
        <v>0</v>
      </c>
      <c r="AI339">
        <v>0</v>
      </c>
      <c r="AJ339">
        <v>5</v>
      </c>
      <c r="AK339">
        <v>5</v>
      </c>
      <c r="AL339" t="s">
        <v>955</v>
      </c>
      <c r="AM339" t="s">
        <v>956</v>
      </c>
      <c r="AN339" t="s">
        <v>957</v>
      </c>
      <c r="AO339" t="s">
        <v>2112</v>
      </c>
      <c r="AP339" t="s">
        <v>2113</v>
      </c>
      <c r="AQ339" t="s">
        <v>74</v>
      </c>
      <c r="AR339" t="s">
        <v>2114</v>
      </c>
      <c r="AS339" t="s">
        <v>2115</v>
      </c>
      <c r="AT339" t="s">
        <v>6074</v>
      </c>
      <c r="AU339">
        <v>2023</v>
      </c>
      <c r="AV339">
        <v>963</v>
      </c>
      <c r="AW339" t="s">
        <v>74</v>
      </c>
      <c r="AX339" t="s">
        <v>74</v>
      </c>
      <c r="AY339" t="s">
        <v>74</v>
      </c>
      <c r="AZ339" t="s">
        <v>74</v>
      </c>
      <c r="BA339" t="s">
        <v>74</v>
      </c>
      <c r="BB339" t="s">
        <v>74</v>
      </c>
      <c r="BC339" t="s">
        <v>74</v>
      </c>
      <c r="BD339">
        <v>171196</v>
      </c>
      <c r="BE339" t="s">
        <v>6139</v>
      </c>
      <c r="BF339" t="str">
        <f>HYPERLINK("http://dx.doi.org/10.1016/j.jallcom.2023.171196","http://dx.doi.org/10.1016/j.jallcom.2023.171196")</f>
        <v>http://dx.doi.org/10.1016/j.jallcom.2023.171196</v>
      </c>
      <c r="BG339" t="s">
        <v>74</v>
      </c>
      <c r="BH339" t="s">
        <v>74</v>
      </c>
      <c r="BI339">
        <v>7</v>
      </c>
      <c r="BJ339" t="s">
        <v>2118</v>
      </c>
      <c r="BK339" t="s">
        <v>100</v>
      </c>
      <c r="BL339" t="s">
        <v>2119</v>
      </c>
      <c r="BM339" t="s">
        <v>6140</v>
      </c>
      <c r="BN339" t="s">
        <v>74</v>
      </c>
      <c r="BO339" t="s">
        <v>74</v>
      </c>
      <c r="BP339" t="s">
        <v>74</v>
      </c>
      <c r="BQ339" t="s">
        <v>74</v>
      </c>
      <c r="BR339" t="s">
        <v>104</v>
      </c>
      <c r="BS339" t="s">
        <v>6141</v>
      </c>
      <c r="BT339" t="str">
        <f>HYPERLINK("https%3A%2F%2Fwww.webofscience.com%2Fwos%2Fwoscc%2Ffull-record%2FWOS:001048350800001","View Full Record in Web of Science")</f>
        <v>View Full Record in Web of Science</v>
      </c>
    </row>
    <row r="340" spans="1:72" x14ac:dyDescent="0.15">
      <c r="A340" t="s">
        <v>72</v>
      </c>
      <c r="B340" t="s">
        <v>6142</v>
      </c>
      <c r="C340" t="s">
        <v>74</v>
      </c>
      <c r="D340" t="s">
        <v>74</v>
      </c>
      <c r="E340" t="s">
        <v>74</v>
      </c>
      <c r="F340" t="s">
        <v>6143</v>
      </c>
      <c r="G340" t="s">
        <v>74</v>
      </c>
      <c r="H340" t="s">
        <v>74</v>
      </c>
      <c r="I340" t="s">
        <v>6144</v>
      </c>
      <c r="J340" t="s">
        <v>1524</v>
      </c>
      <c r="K340" t="s">
        <v>74</v>
      </c>
      <c r="L340" t="s">
        <v>74</v>
      </c>
      <c r="M340" t="s">
        <v>78</v>
      </c>
      <c r="N340" t="s">
        <v>79</v>
      </c>
      <c r="O340" t="s">
        <v>74</v>
      </c>
      <c r="P340" t="s">
        <v>74</v>
      </c>
      <c r="Q340" t="s">
        <v>74</v>
      </c>
      <c r="R340" t="s">
        <v>74</v>
      </c>
      <c r="S340" t="s">
        <v>74</v>
      </c>
      <c r="T340" t="s">
        <v>6145</v>
      </c>
      <c r="U340" t="s">
        <v>6146</v>
      </c>
      <c r="V340" t="s">
        <v>6147</v>
      </c>
      <c r="W340" t="s">
        <v>6148</v>
      </c>
      <c r="X340" t="s">
        <v>6149</v>
      </c>
      <c r="Y340" t="s">
        <v>6150</v>
      </c>
      <c r="Z340" t="s">
        <v>6151</v>
      </c>
      <c r="AA340" t="s">
        <v>74</v>
      </c>
      <c r="AB340" t="s">
        <v>74</v>
      </c>
      <c r="AC340" t="s">
        <v>6152</v>
      </c>
      <c r="AD340" t="s">
        <v>6153</v>
      </c>
      <c r="AE340" t="s">
        <v>6154</v>
      </c>
      <c r="AF340" t="s">
        <v>74</v>
      </c>
      <c r="AG340">
        <v>40</v>
      </c>
      <c r="AH340">
        <v>0</v>
      </c>
      <c r="AI340">
        <v>0</v>
      </c>
      <c r="AJ340">
        <v>4</v>
      </c>
      <c r="AK340">
        <v>4</v>
      </c>
      <c r="AL340" t="s">
        <v>90</v>
      </c>
      <c r="AM340" t="s">
        <v>91</v>
      </c>
      <c r="AN340" t="s">
        <v>92</v>
      </c>
      <c r="AO340" t="s">
        <v>1534</v>
      </c>
      <c r="AP340" t="s">
        <v>1535</v>
      </c>
      <c r="AQ340" t="s">
        <v>74</v>
      </c>
      <c r="AR340" t="s">
        <v>1536</v>
      </c>
      <c r="AS340" t="s">
        <v>1537</v>
      </c>
      <c r="AT340" t="s">
        <v>6074</v>
      </c>
      <c r="AU340">
        <v>2023</v>
      </c>
      <c r="AV340">
        <v>898</v>
      </c>
      <c r="AW340" t="s">
        <v>74</v>
      </c>
      <c r="AX340" t="s">
        <v>74</v>
      </c>
      <c r="AY340" t="s">
        <v>74</v>
      </c>
      <c r="AZ340" t="s">
        <v>74</v>
      </c>
      <c r="BA340" t="s">
        <v>74</v>
      </c>
      <c r="BB340" t="s">
        <v>74</v>
      </c>
      <c r="BC340" t="s">
        <v>74</v>
      </c>
      <c r="BD340">
        <v>165376</v>
      </c>
      <c r="BE340" t="s">
        <v>6155</v>
      </c>
      <c r="BF340" t="str">
        <f>HYPERLINK("http://dx.doi.org/10.1016/j.scitotenv.2023.165376","http://dx.doi.org/10.1016/j.scitotenv.2023.165376")</f>
        <v>http://dx.doi.org/10.1016/j.scitotenv.2023.165376</v>
      </c>
      <c r="BG340" t="s">
        <v>74</v>
      </c>
      <c r="BH340" t="s">
        <v>74</v>
      </c>
      <c r="BI340">
        <v>11</v>
      </c>
      <c r="BJ340" t="s">
        <v>1539</v>
      </c>
      <c r="BK340" t="s">
        <v>100</v>
      </c>
      <c r="BL340" t="s">
        <v>1540</v>
      </c>
      <c r="BM340" t="s">
        <v>6156</v>
      </c>
      <c r="BN340">
        <v>37422240</v>
      </c>
      <c r="BO340" t="s">
        <v>295</v>
      </c>
      <c r="BP340" t="s">
        <v>74</v>
      </c>
      <c r="BQ340" t="s">
        <v>74</v>
      </c>
      <c r="BR340" t="s">
        <v>104</v>
      </c>
      <c r="BS340" t="s">
        <v>6157</v>
      </c>
      <c r="BT340" t="str">
        <f>HYPERLINK("https%3A%2F%2Fwww.webofscience.com%2Fwos%2Fwoscc%2Ffull-record%2FWOS:001041492800001","View Full Record in Web of Science")</f>
        <v>View Full Record in Web of Science</v>
      </c>
    </row>
    <row r="341" spans="1:72" x14ac:dyDescent="0.15">
      <c r="A341" t="s">
        <v>72</v>
      </c>
      <c r="B341" t="s">
        <v>6158</v>
      </c>
      <c r="C341" t="s">
        <v>74</v>
      </c>
      <c r="D341" t="s">
        <v>74</v>
      </c>
      <c r="E341" t="s">
        <v>74</v>
      </c>
      <c r="F341" t="s">
        <v>6159</v>
      </c>
      <c r="G341" t="s">
        <v>74</v>
      </c>
      <c r="H341" t="s">
        <v>74</v>
      </c>
      <c r="I341" t="s">
        <v>6160</v>
      </c>
      <c r="J341" t="s">
        <v>1524</v>
      </c>
      <c r="K341" t="s">
        <v>74</v>
      </c>
      <c r="L341" t="s">
        <v>74</v>
      </c>
      <c r="M341" t="s">
        <v>78</v>
      </c>
      <c r="N341" t="s">
        <v>79</v>
      </c>
      <c r="O341" t="s">
        <v>74</v>
      </c>
      <c r="P341" t="s">
        <v>74</v>
      </c>
      <c r="Q341" t="s">
        <v>74</v>
      </c>
      <c r="R341" t="s">
        <v>74</v>
      </c>
      <c r="S341" t="s">
        <v>74</v>
      </c>
      <c r="T341" t="s">
        <v>6161</v>
      </c>
      <c r="U341" t="s">
        <v>6162</v>
      </c>
      <c r="V341" t="s">
        <v>6163</v>
      </c>
      <c r="W341" t="s">
        <v>6164</v>
      </c>
      <c r="X341" t="s">
        <v>6165</v>
      </c>
      <c r="Y341" t="s">
        <v>6166</v>
      </c>
      <c r="Z341" t="s">
        <v>6167</v>
      </c>
      <c r="AA341" t="s">
        <v>74</v>
      </c>
      <c r="AB341" t="s">
        <v>74</v>
      </c>
      <c r="AC341" t="s">
        <v>74</v>
      </c>
      <c r="AD341" t="s">
        <v>74</v>
      </c>
      <c r="AE341" t="s">
        <v>74</v>
      </c>
      <c r="AF341" t="s">
        <v>74</v>
      </c>
      <c r="AG341">
        <v>135</v>
      </c>
      <c r="AH341">
        <v>0</v>
      </c>
      <c r="AI341">
        <v>0</v>
      </c>
      <c r="AJ341">
        <v>9</v>
      </c>
      <c r="AK341">
        <v>9</v>
      </c>
      <c r="AL341" t="s">
        <v>90</v>
      </c>
      <c r="AM341" t="s">
        <v>91</v>
      </c>
      <c r="AN341" t="s">
        <v>92</v>
      </c>
      <c r="AO341" t="s">
        <v>1534</v>
      </c>
      <c r="AP341" t="s">
        <v>1535</v>
      </c>
      <c r="AQ341" t="s">
        <v>74</v>
      </c>
      <c r="AR341" t="s">
        <v>1536</v>
      </c>
      <c r="AS341" t="s">
        <v>1537</v>
      </c>
      <c r="AT341" t="s">
        <v>6074</v>
      </c>
      <c r="AU341">
        <v>2023</v>
      </c>
      <c r="AV341">
        <v>898</v>
      </c>
      <c r="AW341" t="s">
        <v>74</v>
      </c>
      <c r="AX341" t="s">
        <v>74</v>
      </c>
      <c r="AY341" t="s">
        <v>74</v>
      </c>
      <c r="AZ341" t="s">
        <v>74</v>
      </c>
      <c r="BA341" t="s">
        <v>74</v>
      </c>
      <c r="BB341" t="s">
        <v>74</v>
      </c>
      <c r="BC341" t="s">
        <v>74</v>
      </c>
      <c r="BD341">
        <v>165460</v>
      </c>
      <c r="BE341" t="s">
        <v>6168</v>
      </c>
      <c r="BF341" t="str">
        <f>HYPERLINK("http://dx.doi.org/10.1016/j.scitotenv.2023.165460","http://dx.doi.org/10.1016/j.scitotenv.2023.165460")</f>
        <v>http://dx.doi.org/10.1016/j.scitotenv.2023.165460</v>
      </c>
      <c r="BG341" t="s">
        <v>74</v>
      </c>
      <c r="BH341" t="s">
        <v>74</v>
      </c>
      <c r="BI341">
        <v>16</v>
      </c>
      <c r="BJ341" t="s">
        <v>1539</v>
      </c>
      <c r="BK341" t="s">
        <v>100</v>
      </c>
      <c r="BL341" t="s">
        <v>1540</v>
      </c>
      <c r="BM341" t="s">
        <v>6169</v>
      </c>
      <c r="BN341">
        <v>37454851</v>
      </c>
      <c r="BO341" t="s">
        <v>74</v>
      </c>
      <c r="BP341" t="s">
        <v>74</v>
      </c>
      <c r="BQ341" t="s">
        <v>74</v>
      </c>
      <c r="BR341" t="s">
        <v>104</v>
      </c>
      <c r="BS341" t="s">
        <v>6170</v>
      </c>
      <c r="BT341" t="str">
        <f>HYPERLINK("https%3A%2F%2Fwww.webofscience.com%2Fwos%2Fwoscc%2Ffull-record%2FWOS:001046798200001","View Full Record in Web of Science")</f>
        <v>View Full Record in Web of Science</v>
      </c>
    </row>
    <row r="342" spans="1:72" x14ac:dyDescent="0.15">
      <c r="A342" t="s">
        <v>72</v>
      </c>
      <c r="B342" t="s">
        <v>6171</v>
      </c>
      <c r="C342" t="s">
        <v>74</v>
      </c>
      <c r="D342" t="s">
        <v>74</v>
      </c>
      <c r="E342" t="s">
        <v>74</v>
      </c>
      <c r="F342" t="s">
        <v>6172</v>
      </c>
      <c r="G342" t="s">
        <v>74</v>
      </c>
      <c r="H342" t="s">
        <v>74</v>
      </c>
      <c r="I342" t="s">
        <v>6173</v>
      </c>
      <c r="J342" t="s">
        <v>1524</v>
      </c>
      <c r="K342" t="s">
        <v>74</v>
      </c>
      <c r="L342" t="s">
        <v>74</v>
      </c>
      <c r="M342" t="s">
        <v>78</v>
      </c>
      <c r="N342" t="s">
        <v>79</v>
      </c>
      <c r="O342" t="s">
        <v>74</v>
      </c>
      <c r="P342" t="s">
        <v>74</v>
      </c>
      <c r="Q342" t="s">
        <v>74</v>
      </c>
      <c r="R342" t="s">
        <v>74</v>
      </c>
      <c r="S342" t="s">
        <v>74</v>
      </c>
      <c r="T342" t="s">
        <v>6174</v>
      </c>
      <c r="U342" t="s">
        <v>6175</v>
      </c>
      <c r="V342" t="s">
        <v>6176</v>
      </c>
      <c r="W342" t="s">
        <v>6177</v>
      </c>
      <c r="X342" t="s">
        <v>6178</v>
      </c>
      <c r="Y342" t="s">
        <v>6179</v>
      </c>
      <c r="Z342" t="s">
        <v>6180</v>
      </c>
      <c r="AA342" t="s">
        <v>6181</v>
      </c>
      <c r="AB342" t="s">
        <v>74</v>
      </c>
      <c r="AC342" t="s">
        <v>6182</v>
      </c>
      <c r="AD342" t="s">
        <v>6183</v>
      </c>
      <c r="AE342" t="s">
        <v>6184</v>
      </c>
      <c r="AF342" t="s">
        <v>74</v>
      </c>
      <c r="AG342">
        <v>117</v>
      </c>
      <c r="AH342">
        <v>0</v>
      </c>
      <c r="AI342">
        <v>0</v>
      </c>
      <c r="AJ342">
        <v>13</v>
      </c>
      <c r="AK342">
        <v>13</v>
      </c>
      <c r="AL342" t="s">
        <v>90</v>
      </c>
      <c r="AM342" t="s">
        <v>91</v>
      </c>
      <c r="AN342" t="s">
        <v>92</v>
      </c>
      <c r="AO342" t="s">
        <v>1534</v>
      </c>
      <c r="AP342" t="s">
        <v>1535</v>
      </c>
      <c r="AQ342" t="s">
        <v>74</v>
      </c>
      <c r="AR342" t="s">
        <v>1536</v>
      </c>
      <c r="AS342" t="s">
        <v>1537</v>
      </c>
      <c r="AT342" t="s">
        <v>6074</v>
      </c>
      <c r="AU342">
        <v>2023</v>
      </c>
      <c r="AV342">
        <v>898</v>
      </c>
      <c r="AW342" t="s">
        <v>74</v>
      </c>
      <c r="AX342" t="s">
        <v>74</v>
      </c>
      <c r="AY342" t="s">
        <v>74</v>
      </c>
      <c r="AZ342" t="s">
        <v>74</v>
      </c>
      <c r="BA342" t="s">
        <v>74</v>
      </c>
      <c r="BB342" t="s">
        <v>74</v>
      </c>
      <c r="BC342" t="s">
        <v>74</v>
      </c>
      <c r="BD342">
        <v>165532</v>
      </c>
      <c r="BE342" t="s">
        <v>6185</v>
      </c>
      <c r="BF342" t="str">
        <f>HYPERLINK("http://dx.doi.org/10.1016/j.scitotenv.2023.165532","http://dx.doi.org/10.1016/j.scitotenv.2023.165532")</f>
        <v>http://dx.doi.org/10.1016/j.scitotenv.2023.165532</v>
      </c>
      <c r="BG342" t="s">
        <v>74</v>
      </c>
      <c r="BH342" t="s">
        <v>74</v>
      </c>
      <c r="BI342">
        <v>15</v>
      </c>
      <c r="BJ342" t="s">
        <v>1539</v>
      </c>
      <c r="BK342" t="s">
        <v>100</v>
      </c>
      <c r="BL342" t="s">
        <v>1540</v>
      </c>
      <c r="BM342" t="s">
        <v>6186</v>
      </c>
      <c r="BN342">
        <v>37454857</v>
      </c>
      <c r="BO342" t="s">
        <v>74</v>
      </c>
      <c r="BP342" t="s">
        <v>74</v>
      </c>
      <c r="BQ342" t="s">
        <v>74</v>
      </c>
      <c r="BR342" t="s">
        <v>104</v>
      </c>
      <c r="BS342" t="s">
        <v>6187</v>
      </c>
      <c r="BT342" t="str">
        <f>HYPERLINK("https%3A%2F%2Fwww.webofscience.com%2Fwos%2Fwoscc%2Ffull-record%2FWOS:001054625100001","View Full Record in Web of Science")</f>
        <v>View Full Record in Web of Science</v>
      </c>
    </row>
    <row r="343" spans="1:72" x14ac:dyDescent="0.15">
      <c r="A343" t="s">
        <v>72</v>
      </c>
      <c r="B343" t="s">
        <v>6188</v>
      </c>
      <c r="C343" t="s">
        <v>74</v>
      </c>
      <c r="D343" t="s">
        <v>74</v>
      </c>
      <c r="E343" t="s">
        <v>74</v>
      </c>
      <c r="F343" t="s">
        <v>6189</v>
      </c>
      <c r="G343" t="s">
        <v>74</v>
      </c>
      <c r="H343" t="s">
        <v>74</v>
      </c>
      <c r="I343" t="s">
        <v>6190</v>
      </c>
      <c r="J343" t="s">
        <v>1524</v>
      </c>
      <c r="K343" t="s">
        <v>74</v>
      </c>
      <c r="L343" t="s">
        <v>74</v>
      </c>
      <c r="M343" t="s">
        <v>78</v>
      </c>
      <c r="N343" t="s">
        <v>79</v>
      </c>
      <c r="O343" t="s">
        <v>74</v>
      </c>
      <c r="P343" t="s">
        <v>74</v>
      </c>
      <c r="Q343" t="s">
        <v>74</v>
      </c>
      <c r="R343" t="s">
        <v>74</v>
      </c>
      <c r="S343" t="s">
        <v>74</v>
      </c>
      <c r="T343" t="s">
        <v>6191</v>
      </c>
      <c r="U343" t="s">
        <v>6192</v>
      </c>
      <c r="V343" t="s">
        <v>6193</v>
      </c>
      <c r="W343" t="s">
        <v>6194</v>
      </c>
      <c r="X343" t="s">
        <v>6195</v>
      </c>
      <c r="Y343" t="s">
        <v>6196</v>
      </c>
      <c r="Z343" t="s">
        <v>6197</v>
      </c>
      <c r="AA343" t="s">
        <v>74</v>
      </c>
      <c r="AB343" t="s">
        <v>74</v>
      </c>
      <c r="AC343" t="s">
        <v>6198</v>
      </c>
      <c r="AD343" t="s">
        <v>6199</v>
      </c>
      <c r="AE343" t="s">
        <v>6200</v>
      </c>
      <c r="AF343" t="s">
        <v>74</v>
      </c>
      <c r="AG343">
        <v>46</v>
      </c>
      <c r="AH343">
        <v>0</v>
      </c>
      <c r="AI343">
        <v>0</v>
      </c>
      <c r="AJ343">
        <v>20</v>
      </c>
      <c r="AK343">
        <v>20</v>
      </c>
      <c r="AL343" t="s">
        <v>90</v>
      </c>
      <c r="AM343" t="s">
        <v>91</v>
      </c>
      <c r="AN343" t="s">
        <v>92</v>
      </c>
      <c r="AO343" t="s">
        <v>1534</v>
      </c>
      <c r="AP343" t="s">
        <v>1535</v>
      </c>
      <c r="AQ343" t="s">
        <v>74</v>
      </c>
      <c r="AR343" t="s">
        <v>1536</v>
      </c>
      <c r="AS343" t="s">
        <v>1537</v>
      </c>
      <c r="AT343" t="s">
        <v>6074</v>
      </c>
      <c r="AU343">
        <v>2023</v>
      </c>
      <c r="AV343">
        <v>898</v>
      </c>
      <c r="AW343" t="s">
        <v>74</v>
      </c>
      <c r="AX343" t="s">
        <v>74</v>
      </c>
      <c r="AY343" t="s">
        <v>74</v>
      </c>
      <c r="AZ343" t="s">
        <v>74</v>
      </c>
      <c r="BA343" t="s">
        <v>74</v>
      </c>
      <c r="BB343" t="s">
        <v>74</v>
      </c>
      <c r="BC343" t="s">
        <v>74</v>
      </c>
      <c r="BD343">
        <v>165417</v>
      </c>
      <c r="BE343" t="s">
        <v>6201</v>
      </c>
      <c r="BF343" t="str">
        <f>HYPERLINK("http://dx.doi.org/10.1016/j.scitotenv.2023.165417","http://dx.doi.org/10.1016/j.scitotenv.2023.165417")</f>
        <v>http://dx.doi.org/10.1016/j.scitotenv.2023.165417</v>
      </c>
      <c r="BG343" t="s">
        <v>74</v>
      </c>
      <c r="BH343" t="s">
        <v>74</v>
      </c>
      <c r="BI343">
        <v>9</v>
      </c>
      <c r="BJ343" t="s">
        <v>1539</v>
      </c>
      <c r="BK343" t="s">
        <v>100</v>
      </c>
      <c r="BL343" t="s">
        <v>1540</v>
      </c>
      <c r="BM343" t="s">
        <v>6202</v>
      </c>
      <c r="BN343">
        <v>37429479</v>
      </c>
      <c r="BO343" t="s">
        <v>74</v>
      </c>
      <c r="BP343" t="s">
        <v>74</v>
      </c>
      <c r="BQ343" t="s">
        <v>74</v>
      </c>
      <c r="BR343" t="s">
        <v>104</v>
      </c>
      <c r="BS343" t="s">
        <v>6203</v>
      </c>
      <c r="BT343" t="str">
        <f>HYPERLINK("https%3A%2F%2Fwww.webofscience.com%2Fwos%2Fwoscc%2Ffull-record%2FWOS:001044980300001","View Full Record in Web of Science")</f>
        <v>View Full Record in Web of Science</v>
      </c>
    </row>
    <row r="344" spans="1:72" x14ac:dyDescent="0.15">
      <c r="A344" t="s">
        <v>72</v>
      </c>
      <c r="B344" t="s">
        <v>6204</v>
      </c>
      <c r="C344" t="s">
        <v>74</v>
      </c>
      <c r="D344" t="s">
        <v>74</v>
      </c>
      <c r="E344" t="s">
        <v>74</v>
      </c>
      <c r="F344" t="s">
        <v>6205</v>
      </c>
      <c r="G344" t="s">
        <v>74</v>
      </c>
      <c r="H344" t="s">
        <v>74</v>
      </c>
      <c r="I344" t="s">
        <v>6206</v>
      </c>
      <c r="J344" t="s">
        <v>1524</v>
      </c>
      <c r="K344" t="s">
        <v>74</v>
      </c>
      <c r="L344" t="s">
        <v>74</v>
      </c>
      <c r="M344" t="s">
        <v>78</v>
      </c>
      <c r="N344" t="s">
        <v>79</v>
      </c>
      <c r="O344" t="s">
        <v>74</v>
      </c>
      <c r="P344" t="s">
        <v>74</v>
      </c>
      <c r="Q344" t="s">
        <v>74</v>
      </c>
      <c r="R344" t="s">
        <v>74</v>
      </c>
      <c r="S344" t="s">
        <v>74</v>
      </c>
      <c r="T344" t="s">
        <v>6207</v>
      </c>
      <c r="U344" t="s">
        <v>6208</v>
      </c>
      <c r="V344" t="s">
        <v>6209</v>
      </c>
      <c r="W344" t="s">
        <v>6210</v>
      </c>
      <c r="X344" t="s">
        <v>6211</v>
      </c>
      <c r="Y344" t="s">
        <v>6212</v>
      </c>
      <c r="Z344" t="s">
        <v>6213</v>
      </c>
      <c r="AA344" t="s">
        <v>74</v>
      </c>
      <c r="AB344" t="s">
        <v>74</v>
      </c>
      <c r="AC344" t="s">
        <v>6214</v>
      </c>
      <c r="AD344" t="s">
        <v>6215</v>
      </c>
      <c r="AE344" t="s">
        <v>6216</v>
      </c>
      <c r="AF344" t="s">
        <v>74</v>
      </c>
      <c r="AG344">
        <v>94</v>
      </c>
      <c r="AH344">
        <v>0</v>
      </c>
      <c r="AI344">
        <v>0</v>
      </c>
      <c r="AJ344">
        <v>16</v>
      </c>
      <c r="AK344">
        <v>16</v>
      </c>
      <c r="AL344" t="s">
        <v>90</v>
      </c>
      <c r="AM344" t="s">
        <v>91</v>
      </c>
      <c r="AN344" t="s">
        <v>92</v>
      </c>
      <c r="AO344" t="s">
        <v>1534</v>
      </c>
      <c r="AP344" t="s">
        <v>1535</v>
      </c>
      <c r="AQ344" t="s">
        <v>74</v>
      </c>
      <c r="AR344" t="s">
        <v>1536</v>
      </c>
      <c r="AS344" t="s">
        <v>1537</v>
      </c>
      <c r="AT344" t="s">
        <v>6074</v>
      </c>
      <c r="AU344">
        <v>2023</v>
      </c>
      <c r="AV344">
        <v>898</v>
      </c>
      <c r="AW344" t="s">
        <v>74</v>
      </c>
      <c r="AX344" t="s">
        <v>74</v>
      </c>
      <c r="AY344" t="s">
        <v>74</v>
      </c>
      <c r="AZ344" t="s">
        <v>74</v>
      </c>
      <c r="BA344" t="s">
        <v>74</v>
      </c>
      <c r="BB344" t="s">
        <v>74</v>
      </c>
      <c r="BC344" t="s">
        <v>74</v>
      </c>
      <c r="BD344">
        <v>165567</v>
      </c>
      <c r="BE344" t="s">
        <v>6217</v>
      </c>
      <c r="BF344" t="str">
        <f>HYPERLINK("http://dx.doi.org/10.1016/j.scitotenv.2023.165567","http://dx.doi.org/10.1016/j.scitotenv.2023.165567")</f>
        <v>http://dx.doi.org/10.1016/j.scitotenv.2023.165567</v>
      </c>
      <c r="BG344" t="s">
        <v>74</v>
      </c>
      <c r="BH344" t="s">
        <v>74</v>
      </c>
      <c r="BI344">
        <v>12</v>
      </c>
      <c r="BJ344" t="s">
        <v>1539</v>
      </c>
      <c r="BK344" t="s">
        <v>100</v>
      </c>
      <c r="BL344" t="s">
        <v>1540</v>
      </c>
      <c r="BM344" t="s">
        <v>6218</v>
      </c>
      <c r="BN344">
        <v>37459987</v>
      </c>
      <c r="BO344" t="s">
        <v>74</v>
      </c>
      <c r="BP344" t="s">
        <v>74</v>
      </c>
      <c r="BQ344" t="s">
        <v>74</v>
      </c>
      <c r="BR344" t="s">
        <v>104</v>
      </c>
      <c r="BS344" t="s">
        <v>6219</v>
      </c>
      <c r="BT344" t="str">
        <f>HYPERLINK("https%3A%2F%2Fwww.webofscience.com%2Fwos%2Fwoscc%2Ffull-record%2FWOS:001047190900001","View Full Record in Web of Science")</f>
        <v>View Full Record in Web of Science</v>
      </c>
    </row>
    <row r="345" spans="1:72" x14ac:dyDescent="0.15">
      <c r="A345" t="s">
        <v>72</v>
      </c>
      <c r="B345" t="s">
        <v>6220</v>
      </c>
      <c r="C345" t="s">
        <v>74</v>
      </c>
      <c r="D345" t="s">
        <v>74</v>
      </c>
      <c r="E345" t="s">
        <v>74</v>
      </c>
      <c r="F345" t="s">
        <v>6221</v>
      </c>
      <c r="G345" t="s">
        <v>74</v>
      </c>
      <c r="H345" t="s">
        <v>74</v>
      </c>
      <c r="I345" t="s">
        <v>6222</v>
      </c>
      <c r="J345" t="s">
        <v>1524</v>
      </c>
      <c r="K345" t="s">
        <v>74</v>
      </c>
      <c r="L345" t="s">
        <v>74</v>
      </c>
      <c r="M345" t="s">
        <v>78</v>
      </c>
      <c r="N345" t="s">
        <v>79</v>
      </c>
      <c r="O345" t="s">
        <v>74</v>
      </c>
      <c r="P345" t="s">
        <v>74</v>
      </c>
      <c r="Q345" t="s">
        <v>74</v>
      </c>
      <c r="R345" t="s">
        <v>74</v>
      </c>
      <c r="S345" t="s">
        <v>74</v>
      </c>
      <c r="T345" t="s">
        <v>6223</v>
      </c>
      <c r="U345" t="s">
        <v>6224</v>
      </c>
      <c r="V345" t="s">
        <v>6225</v>
      </c>
      <c r="W345" t="s">
        <v>6226</v>
      </c>
      <c r="X345" t="s">
        <v>6227</v>
      </c>
      <c r="Y345" t="s">
        <v>6228</v>
      </c>
      <c r="Z345" t="s">
        <v>6229</v>
      </c>
      <c r="AA345" t="s">
        <v>74</v>
      </c>
      <c r="AB345" t="s">
        <v>74</v>
      </c>
      <c r="AC345" t="s">
        <v>6230</v>
      </c>
      <c r="AD345" t="s">
        <v>6231</v>
      </c>
      <c r="AE345" t="s">
        <v>6232</v>
      </c>
      <c r="AF345" t="s">
        <v>74</v>
      </c>
      <c r="AG345">
        <v>63</v>
      </c>
      <c r="AH345">
        <v>0</v>
      </c>
      <c r="AI345">
        <v>0</v>
      </c>
      <c r="AJ345">
        <v>13</v>
      </c>
      <c r="AK345">
        <v>13</v>
      </c>
      <c r="AL345" t="s">
        <v>90</v>
      </c>
      <c r="AM345" t="s">
        <v>91</v>
      </c>
      <c r="AN345" t="s">
        <v>92</v>
      </c>
      <c r="AO345" t="s">
        <v>1534</v>
      </c>
      <c r="AP345" t="s">
        <v>1535</v>
      </c>
      <c r="AQ345" t="s">
        <v>74</v>
      </c>
      <c r="AR345" t="s">
        <v>1536</v>
      </c>
      <c r="AS345" t="s">
        <v>1537</v>
      </c>
      <c r="AT345" t="s">
        <v>6074</v>
      </c>
      <c r="AU345">
        <v>2023</v>
      </c>
      <c r="AV345">
        <v>898</v>
      </c>
      <c r="AW345" t="s">
        <v>74</v>
      </c>
      <c r="AX345" t="s">
        <v>74</v>
      </c>
      <c r="AY345" t="s">
        <v>74</v>
      </c>
      <c r="AZ345" t="s">
        <v>74</v>
      </c>
      <c r="BA345" t="s">
        <v>74</v>
      </c>
      <c r="BB345" t="s">
        <v>74</v>
      </c>
      <c r="BC345" t="s">
        <v>74</v>
      </c>
      <c r="BD345">
        <v>165531</v>
      </c>
      <c r="BE345" t="s">
        <v>6233</v>
      </c>
      <c r="BF345" t="str">
        <f>HYPERLINK("http://dx.doi.org/10.1016/j.scitotenv.2023.165531","http://dx.doi.org/10.1016/j.scitotenv.2023.165531")</f>
        <v>http://dx.doi.org/10.1016/j.scitotenv.2023.165531</v>
      </c>
      <c r="BG345" t="s">
        <v>74</v>
      </c>
      <c r="BH345" t="s">
        <v>74</v>
      </c>
      <c r="BI345">
        <v>9</v>
      </c>
      <c r="BJ345" t="s">
        <v>1539</v>
      </c>
      <c r="BK345" t="s">
        <v>100</v>
      </c>
      <c r="BL345" t="s">
        <v>1540</v>
      </c>
      <c r="BM345" t="s">
        <v>6234</v>
      </c>
      <c r="BN345">
        <v>37454855</v>
      </c>
      <c r="BO345" t="s">
        <v>74</v>
      </c>
      <c r="BP345" t="s">
        <v>74</v>
      </c>
      <c r="BQ345" t="s">
        <v>74</v>
      </c>
      <c r="BR345" t="s">
        <v>104</v>
      </c>
      <c r="BS345" t="s">
        <v>6235</v>
      </c>
      <c r="BT345" t="str">
        <f>HYPERLINK("https%3A%2F%2Fwww.webofscience.com%2Fwos%2Fwoscc%2Ffull-record%2FWOS:001046552600001","View Full Record in Web of Science")</f>
        <v>View Full Record in Web of Science</v>
      </c>
    </row>
    <row r="346" spans="1:72" x14ac:dyDescent="0.15">
      <c r="A346" t="s">
        <v>72</v>
      </c>
      <c r="B346" t="s">
        <v>6236</v>
      </c>
      <c r="C346" t="s">
        <v>74</v>
      </c>
      <c r="D346" t="s">
        <v>74</v>
      </c>
      <c r="E346" t="s">
        <v>74</v>
      </c>
      <c r="F346" t="s">
        <v>6237</v>
      </c>
      <c r="G346" t="s">
        <v>74</v>
      </c>
      <c r="H346" t="s">
        <v>74</v>
      </c>
      <c r="I346" t="s">
        <v>6238</v>
      </c>
      <c r="J346" t="s">
        <v>1524</v>
      </c>
      <c r="K346" t="s">
        <v>74</v>
      </c>
      <c r="L346" t="s">
        <v>74</v>
      </c>
      <c r="M346" t="s">
        <v>78</v>
      </c>
      <c r="N346" t="s">
        <v>79</v>
      </c>
      <c r="O346" t="s">
        <v>74</v>
      </c>
      <c r="P346" t="s">
        <v>74</v>
      </c>
      <c r="Q346" t="s">
        <v>74</v>
      </c>
      <c r="R346" t="s">
        <v>74</v>
      </c>
      <c r="S346" t="s">
        <v>74</v>
      </c>
      <c r="T346" t="s">
        <v>6239</v>
      </c>
      <c r="U346" t="s">
        <v>6240</v>
      </c>
      <c r="V346" t="s">
        <v>6241</v>
      </c>
      <c r="W346" t="s">
        <v>6242</v>
      </c>
      <c r="X346" t="s">
        <v>6243</v>
      </c>
      <c r="Y346" t="s">
        <v>6244</v>
      </c>
      <c r="Z346" t="s">
        <v>6245</v>
      </c>
      <c r="AA346" t="s">
        <v>74</v>
      </c>
      <c r="AB346" t="s">
        <v>74</v>
      </c>
      <c r="AC346" t="s">
        <v>6246</v>
      </c>
      <c r="AD346" t="s">
        <v>252</v>
      </c>
      <c r="AE346" t="s">
        <v>6247</v>
      </c>
      <c r="AF346" t="s">
        <v>74</v>
      </c>
      <c r="AG346">
        <v>67</v>
      </c>
      <c r="AH346">
        <v>0</v>
      </c>
      <c r="AI346">
        <v>0</v>
      </c>
      <c r="AJ346">
        <v>10</v>
      </c>
      <c r="AK346">
        <v>10</v>
      </c>
      <c r="AL346" t="s">
        <v>90</v>
      </c>
      <c r="AM346" t="s">
        <v>91</v>
      </c>
      <c r="AN346" t="s">
        <v>92</v>
      </c>
      <c r="AO346" t="s">
        <v>1534</v>
      </c>
      <c r="AP346" t="s">
        <v>1535</v>
      </c>
      <c r="AQ346" t="s">
        <v>74</v>
      </c>
      <c r="AR346" t="s">
        <v>1536</v>
      </c>
      <c r="AS346" t="s">
        <v>1537</v>
      </c>
      <c r="AT346" t="s">
        <v>6074</v>
      </c>
      <c r="AU346">
        <v>2023</v>
      </c>
      <c r="AV346">
        <v>898</v>
      </c>
      <c r="AW346" t="s">
        <v>74</v>
      </c>
      <c r="AX346" t="s">
        <v>74</v>
      </c>
      <c r="AY346" t="s">
        <v>74</v>
      </c>
      <c r="AZ346" t="s">
        <v>74</v>
      </c>
      <c r="BA346" t="s">
        <v>74</v>
      </c>
      <c r="BB346" t="s">
        <v>74</v>
      </c>
      <c r="BC346" t="s">
        <v>74</v>
      </c>
      <c r="BD346">
        <v>165538</v>
      </c>
      <c r="BE346" t="s">
        <v>6248</v>
      </c>
      <c r="BF346" t="str">
        <f>HYPERLINK("http://dx.doi.org/10.1016/j.scitotenv.2023.165538","http://dx.doi.org/10.1016/j.scitotenv.2023.165538")</f>
        <v>http://dx.doi.org/10.1016/j.scitotenv.2023.165538</v>
      </c>
      <c r="BG346" t="s">
        <v>74</v>
      </c>
      <c r="BH346" t="s">
        <v>74</v>
      </c>
      <c r="BI346">
        <v>9</v>
      </c>
      <c r="BJ346" t="s">
        <v>1539</v>
      </c>
      <c r="BK346" t="s">
        <v>100</v>
      </c>
      <c r="BL346" t="s">
        <v>1540</v>
      </c>
      <c r="BM346" t="s">
        <v>6249</v>
      </c>
      <c r="BN346">
        <v>37454833</v>
      </c>
      <c r="BO346" t="s">
        <v>74</v>
      </c>
      <c r="BP346" t="s">
        <v>74</v>
      </c>
      <c r="BQ346" t="s">
        <v>74</v>
      </c>
      <c r="BR346" t="s">
        <v>104</v>
      </c>
      <c r="BS346" t="s">
        <v>6250</v>
      </c>
      <c r="BT346" t="str">
        <f>HYPERLINK("https%3A%2F%2Fwww.webofscience.com%2Fwos%2Fwoscc%2Ffull-record%2FWOS:001046560800001","View Full Record in Web of Science")</f>
        <v>View Full Record in Web of Science</v>
      </c>
    </row>
    <row r="347" spans="1:72" x14ac:dyDescent="0.15">
      <c r="A347" t="s">
        <v>72</v>
      </c>
      <c r="B347" t="s">
        <v>6251</v>
      </c>
      <c r="C347" t="s">
        <v>74</v>
      </c>
      <c r="D347" t="s">
        <v>74</v>
      </c>
      <c r="E347" t="s">
        <v>74</v>
      </c>
      <c r="F347" t="s">
        <v>6252</v>
      </c>
      <c r="G347" t="s">
        <v>74</v>
      </c>
      <c r="H347" t="s">
        <v>74</v>
      </c>
      <c r="I347" t="s">
        <v>6253</v>
      </c>
      <c r="J347" t="s">
        <v>5796</v>
      </c>
      <c r="K347" t="s">
        <v>74</v>
      </c>
      <c r="L347" t="s">
        <v>74</v>
      </c>
      <c r="M347" t="s">
        <v>78</v>
      </c>
      <c r="N347" t="s">
        <v>79</v>
      </c>
      <c r="O347" t="s">
        <v>74</v>
      </c>
      <c r="P347" t="s">
        <v>74</v>
      </c>
      <c r="Q347" t="s">
        <v>74</v>
      </c>
      <c r="R347" t="s">
        <v>74</v>
      </c>
      <c r="S347" t="s">
        <v>74</v>
      </c>
      <c r="T347" t="s">
        <v>6254</v>
      </c>
      <c r="U347" t="s">
        <v>6255</v>
      </c>
      <c r="V347" t="s">
        <v>6256</v>
      </c>
      <c r="W347" t="s">
        <v>6257</v>
      </c>
      <c r="X347" t="s">
        <v>6258</v>
      </c>
      <c r="Y347" t="s">
        <v>6259</v>
      </c>
      <c r="Z347" t="s">
        <v>6260</v>
      </c>
      <c r="AA347" t="s">
        <v>74</v>
      </c>
      <c r="AB347" t="s">
        <v>74</v>
      </c>
      <c r="AC347" t="s">
        <v>6261</v>
      </c>
      <c r="AD347" t="s">
        <v>6262</v>
      </c>
      <c r="AE347" t="s">
        <v>6263</v>
      </c>
      <c r="AF347" t="s">
        <v>74</v>
      </c>
      <c r="AG347">
        <v>73</v>
      </c>
      <c r="AH347">
        <v>0</v>
      </c>
      <c r="AI347">
        <v>0</v>
      </c>
      <c r="AJ347">
        <v>12</v>
      </c>
      <c r="AK347">
        <v>12</v>
      </c>
      <c r="AL347" t="s">
        <v>90</v>
      </c>
      <c r="AM347" t="s">
        <v>91</v>
      </c>
      <c r="AN347" t="s">
        <v>92</v>
      </c>
      <c r="AO347" t="s">
        <v>5807</v>
      </c>
      <c r="AP347" t="s">
        <v>5808</v>
      </c>
      <c r="AQ347" t="s">
        <v>74</v>
      </c>
      <c r="AR347" t="s">
        <v>5809</v>
      </c>
      <c r="AS347" t="s">
        <v>5810</v>
      </c>
      <c r="AT347" t="s">
        <v>6264</v>
      </c>
      <c r="AU347">
        <v>2023</v>
      </c>
      <c r="AV347">
        <v>685</v>
      </c>
      <c r="AW347" t="s">
        <v>74</v>
      </c>
      <c r="AX347" t="s">
        <v>74</v>
      </c>
      <c r="AY347" t="s">
        <v>74</v>
      </c>
      <c r="AZ347" t="s">
        <v>74</v>
      </c>
      <c r="BA347" t="s">
        <v>74</v>
      </c>
      <c r="BB347" t="s">
        <v>74</v>
      </c>
      <c r="BC347" t="s">
        <v>74</v>
      </c>
      <c r="BD347">
        <v>121969</v>
      </c>
      <c r="BE347" t="s">
        <v>6265</v>
      </c>
      <c r="BF347" t="str">
        <f>HYPERLINK("http://dx.doi.org/10.1016/j.memsci.2023.121969","http://dx.doi.org/10.1016/j.memsci.2023.121969")</f>
        <v>http://dx.doi.org/10.1016/j.memsci.2023.121969</v>
      </c>
      <c r="BG347" t="s">
        <v>74</v>
      </c>
      <c r="BH347" t="s">
        <v>74</v>
      </c>
      <c r="BI347">
        <v>12</v>
      </c>
      <c r="BJ347" t="s">
        <v>5812</v>
      </c>
      <c r="BK347" t="s">
        <v>100</v>
      </c>
      <c r="BL347" t="s">
        <v>5813</v>
      </c>
      <c r="BM347" t="s">
        <v>6266</v>
      </c>
      <c r="BN347" t="s">
        <v>74</v>
      </c>
      <c r="BO347" t="s">
        <v>74</v>
      </c>
      <c r="BP347" t="s">
        <v>74</v>
      </c>
      <c r="BQ347" t="s">
        <v>74</v>
      </c>
      <c r="BR347" t="s">
        <v>104</v>
      </c>
      <c r="BS347" t="s">
        <v>6267</v>
      </c>
      <c r="BT347" t="str">
        <f>HYPERLINK("https%3A%2F%2Fwww.webofscience.com%2Fwos%2Fwoscc%2Ffull-record%2FWOS:001052553600001","View Full Record in Web of Science")</f>
        <v>View Full Record in Web of Science</v>
      </c>
    </row>
    <row r="348" spans="1:72" x14ac:dyDescent="0.15">
      <c r="A348" t="s">
        <v>72</v>
      </c>
      <c r="B348" t="s">
        <v>6268</v>
      </c>
      <c r="C348" t="s">
        <v>74</v>
      </c>
      <c r="D348" t="s">
        <v>74</v>
      </c>
      <c r="E348" t="s">
        <v>74</v>
      </c>
      <c r="F348" t="s">
        <v>6269</v>
      </c>
      <c r="G348" t="s">
        <v>74</v>
      </c>
      <c r="H348" t="s">
        <v>74</v>
      </c>
      <c r="I348" t="s">
        <v>6270</v>
      </c>
      <c r="J348" t="s">
        <v>5796</v>
      </c>
      <c r="K348" t="s">
        <v>74</v>
      </c>
      <c r="L348" t="s">
        <v>74</v>
      </c>
      <c r="M348" t="s">
        <v>78</v>
      </c>
      <c r="N348" t="s">
        <v>79</v>
      </c>
      <c r="O348" t="s">
        <v>74</v>
      </c>
      <c r="P348" t="s">
        <v>74</v>
      </c>
      <c r="Q348" t="s">
        <v>74</v>
      </c>
      <c r="R348" t="s">
        <v>74</v>
      </c>
      <c r="S348" t="s">
        <v>74</v>
      </c>
      <c r="T348" t="s">
        <v>6271</v>
      </c>
      <c r="U348" t="s">
        <v>6272</v>
      </c>
      <c r="V348" t="s">
        <v>6273</v>
      </c>
      <c r="W348" t="s">
        <v>6274</v>
      </c>
      <c r="X348" t="s">
        <v>6275</v>
      </c>
      <c r="Y348" t="s">
        <v>6276</v>
      </c>
      <c r="Z348" t="s">
        <v>6277</v>
      </c>
      <c r="AA348" t="s">
        <v>74</v>
      </c>
      <c r="AB348" t="s">
        <v>6278</v>
      </c>
      <c r="AC348" t="s">
        <v>6279</v>
      </c>
      <c r="AD348" t="s">
        <v>6280</v>
      </c>
      <c r="AE348" t="s">
        <v>6281</v>
      </c>
      <c r="AF348" t="s">
        <v>74</v>
      </c>
      <c r="AG348">
        <v>31</v>
      </c>
      <c r="AH348">
        <v>0</v>
      </c>
      <c r="AI348">
        <v>0</v>
      </c>
      <c r="AJ348">
        <v>14</v>
      </c>
      <c r="AK348">
        <v>14</v>
      </c>
      <c r="AL348" t="s">
        <v>90</v>
      </c>
      <c r="AM348" t="s">
        <v>91</v>
      </c>
      <c r="AN348" t="s">
        <v>92</v>
      </c>
      <c r="AO348" t="s">
        <v>5807</v>
      </c>
      <c r="AP348" t="s">
        <v>5808</v>
      </c>
      <c r="AQ348" t="s">
        <v>74</v>
      </c>
      <c r="AR348" t="s">
        <v>5809</v>
      </c>
      <c r="AS348" t="s">
        <v>5810</v>
      </c>
      <c r="AT348" t="s">
        <v>6264</v>
      </c>
      <c r="AU348">
        <v>2023</v>
      </c>
      <c r="AV348">
        <v>685</v>
      </c>
      <c r="AW348" t="s">
        <v>74</v>
      </c>
      <c r="AX348" t="s">
        <v>74</v>
      </c>
      <c r="AY348" t="s">
        <v>74</v>
      </c>
      <c r="AZ348" t="s">
        <v>74</v>
      </c>
      <c r="BA348" t="s">
        <v>74</v>
      </c>
      <c r="BB348" t="s">
        <v>74</v>
      </c>
      <c r="BC348" t="s">
        <v>74</v>
      </c>
      <c r="BD348">
        <v>121905</v>
      </c>
      <c r="BE348" t="s">
        <v>6282</v>
      </c>
      <c r="BF348" t="str">
        <f>HYPERLINK("http://dx.doi.org/10.1016/j.memsci.2023.121905","http://dx.doi.org/10.1016/j.memsci.2023.121905")</f>
        <v>http://dx.doi.org/10.1016/j.memsci.2023.121905</v>
      </c>
      <c r="BG348" t="s">
        <v>74</v>
      </c>
      <c r="BH348" t="s">
        <v>74</v>
      </c>
      <c r="BI348">
        <v>11</v>
      </c>
      <c r="BJ348" t="s">
        <v>5812</v>
      </c>
      <c r="BK348" t="s">
        <v>100</v>
      </c>
      <c r="BL348" t="s">
        <v>5813</v>
      </c>
      <c r="BM348" t="s">
        <v>6283</v>
      </c>
      <c r="BN348" t="s">
        <v>74</v>
      </c>
      <c r="BO348" t="s">
        <v>74</v>
      </c>
      <c r="BP348" t="s">
        <v>74</v>
      </c>
      <c r="BQ348" t="s">
        <v>74</v>
      </c>
      <c r="BR348" t="s">
        <v>104</v>
      </c>
      <c r="BS348" t="s">
        <v>6284</v>
      </c>
      <c r="BT348" t="str">
        <f>HYPERLINK("https%3A%2F%2Fwww.webofscience.com%2Fwos%2Fwoscc%2Ffull-record%2FWOS:001046511900001","View Full Record in Web of Science")</f>
        <v>View Full Record in Web of Science</v>
      </c>
    </row>
    <row r="349" spans="1:72" x14ac:dyDescent="0.15">
      <c r="A349" t="s">
        <v>72</v>
      </c>
      <c r="B349" t="s">
        <v>6285</v>
      </c>
      <c r="C349" t="s">
        <v>74</v>
      </c>
      <c r="D349" t="s">
        <v>74</v>
      </c>
      <c r="E349" t="s">
        <v>74</v>
      </c>
      <c r="F349" t="s">
        <v>6286</v>
      </c>
      <c r="G349" t="s">
        <v>74</v>
      </c>
      <c r="H349" t="s">
        <v>74</v>
      </c>
      <c r="I349" t="s">
        <v>6287</v>
      </c>
      <c r="J349" t="s">
        <v>1793</v>
      </c>
      <c r="K349" t="s">
        <v>74</v>
      </c>
      <c r="L349" t="s">
        <v>74</v>
      </c>
      <c r="M349" t="s">
        <v>78</v>
      </c>
      <c r="N349" t="s">
        <v>79</v>
      </c>
      <c r="O349" t="s">
        <v>74</v>
      </c>
      <c r="P349" t="s">
        <v>74</v>
      </c>
      <c r="Q349" t="s">
        <v>74</v>
      </c>
      <c r="R349" t="s">
        <v>74</v>
      </c>
      <c r="S349" t="s">
        <v>74</v>
      </c>
      <c r="T349" t="s">
        <v>6288</v>
      </c>
      <c r="U349" t="s">
        <v>6289</v>
      </c>
      <c r="V349" t="s">
        <v>6290</v>
      </c>
      <c r="W349" t="s">
        <v>6291</v>
      </c>
      <c r="X349" t="s">
        <v>6292</v>
      </c>
      <c r="Y349" t="s">
        <v>6293</v>
      </c>
      <c r="Z349" t="s">
        <v>6294</v>
      </c>
      <c r="AA349" t="s">
        <v>74</v>
      </c>
      <c r="AB349" t="s">
        <v>74</v>
      </c>
      <c r="AC349" t="s">
        <v>6295</v>
      </c>
      <c r="AD349" t="s">
        <v>6296</v>
      </c>
      <c r="AE349" t="s">
        <v>6297</v>
      </c>
      <c r="AF349" t="s">
        <v>74</v>
      </c>
      <c r="AG349">
        <v>40</v>
      </c>
      <c r="AH349">
        <v>0</v>
      </c>
      <c r="AI349">
        <v>0</v>
      </c>
      <c r="AJ349">
        <v>11</v>
      </c>
      <c r="AK349">
        <v>11</v>
      </c>
      <c r="AL349" t="s">
        <v>173</v>
      </c>
      <c r="AM349" t="s">
        <v>121</v>
      </c>
      <c r="AN349" t="s">
        <v>174</v>
      </c>
      <c r="AO349" t="s">
        <v>1805</v>
      </c>
      <c r="AP349" t="s">
        <v>1806</v>
      </c>
      <c r="AQ349" t="s">
        <v>74</v>
      </c>
      <c r="AR349" t="s">
        <v>1807</v>
      </c>
      <c r="AS349" t="s">
        <v>1808</v>
      </c>
      <c r="AT349" t="s">
        <v>6264</v>
      </c>
      <c r="AU349">
        <v>2023</v>
      </c>
      <c r="AV349">
        <v>300</v>
      </c>
      <c r="AW349" t="s">
        <v>74</v>
      </c>
      <c r="AX349" t="s">
        <v>74</v>
      </c>
      <c r="AY349" t="s">
        <v>74</v>
      </c>
      <c r="AZ349" t="s">
        <v>74</v>
      </c>
      <c r="BA349" t="s">
        <v>74</v>
      </c>
      <c r="BB349" t="s">
        <v>74</v>
      </c>
      <c r="BC349" t="s">
        <v>74</v>
      </c>
      <c r="BD349">
        <v>122907</v>
      </c>
      <c r="BE349" t="s">
        <v>6298</v>
      </c>
      <c r="BF349" t="str">
        <f>HYPERLINK("http://dx.doi.org/10.1016/j.saa.2023.122907","http://dx.doi.org/10.1016/j.saa.2023.122907")</f>
        <v>http://dx.doi.org/10.1016/j.saa.2023.122907</v>
      </c>
      <c r="BG349" t="s">
        <v>74</v>
      </c>
      <c r="BH349" t="s">
        <v>74</v>
      </c>
      <c r="BI349">
        <v>9</v>
      </c>
      <c r="BJ349" t="s">
        <v>1810</v>
      </c>
      <c r="BK349" t="s">
        <v>100</v>
      </c>
      <c r="BL349" t="s">
        <v>1810</v>
      </c>
      <c r="BM349" t="s">
        <v>6299</v>
      </c>
      <c r="BN349">
        <v>37257323</v>
      </c>
      <c r="BO349" t="s">
        <v>74</v>
      </c>
      <c r="BP349" t="s">
        <v>74</v>
      </c>
      <c r="BQ349" t="s">
        <v>74</v>
      </c>
      <c r="BR349" t="s">
        <v>104</v>
      </c>
      <c r="BS349" t="s">
        <v>6300</v>
      </c>
      <c r="BT349" t="str">
        <f>HYPERLINK("https%3A%2F%2Fwww.webofscience.com%2Fwos%2Fwoscc%2Ffull-record%2FWOS:001058602200001","View Full Record in Web of Science")</f>
        <v>View Full Record in Web of Science</v>
      </c>
    </row>
    <row r="350" spans="1:72" x14ac:dyDescent="0.15">
      <c r="A350" t="s">
        <v>72</v>
      </c>
      <c r="B350" t="s">
        <v>6301</v>
      </c>
      <c r="C350" t="s">
        <v>74</v>
      </c>
      <c r="D350" t="s">
        <v>74</v>
      </c>
      <c r="E350" t="s">
        <v>74</v>
      </c>
      <c r="F350" t="s">
        <v>6302</v>
      </c>
      <c r="G350" t="s">
        <v>74</v>
      </c>
      <c r="H350" t="s">
        <v>74</v>
      </c>
      <c r="I350" t="s">
        <v>6303</v>
      </c>
      <c r="J350" t="s">
        <v>6304</v>
      </c>
      <c r="K350" t="s">
        <v>74</v>
      </c>
      <c r="L350" t="s">
        <v>74</v>
      </c>
      <c r="M350" t="s">
        <v>78</v>
      </c>
      <c r="N350" t="s">
        <v>79</v>
      </c>
      <c r="O350" t="s">
        <v>74</v>
      </c>
      <c r="P350" t="s">
        <v>74</v>
      </c>
      <c r="Q350" t="s">
        <v>74</v>
      </c>
      <c r="R350" t="s">
        <v>74</v>
      </c>
      <c r="S350" t="s">
        <v>74</v>
      </c>
      <c r="T350" t="s">
        <v>6305</v>
      </c>
      <c r="U350" t="s">
        <v>6306</v>
      </c>
      <c r="V350" t="s">
        <v>6307</v>
      </c>
      <c r="W350" t="s">
        <v>6308</v>
      </c>
      <c r="X350" t="s">
        <v>6309</v>
      </c>
      <c r="Y350" t="s">
        <v>6310</v>
      </c>
      <c r="Z350" t="s">
        <v>6311</v>
      </c>
      <c r="AA350" t="s">
        <v>74</v>
      </c>
      <c r="AB350" t="s">
        <v>74</v>
      </c>
      <c r="AC350" t="s">
        <v>6312</v>
      </c>
      <c r="AD350" t="s">
        <v>252</v>
      </c>
      <c r="AE350" t="s">
        <v>6313</v>
      </c>
      <c r="AF350" t="s">
        <v>74</v>
      </c>
      <c r="AG350">
        <v>41</v>
      </c>
      <c r="AH350">
        <v>0</v>
      </c>
      <c r="AI350">
        <v>0</v>
      </c>
      <c r="AJ350">
        <v>0</v>
      </c>
      <c r="AK350">
        <v>0</v>
      </c>
      <c r="AL350" t="s">
        <v>173</v>
      </c>
      <c r="AM350" t="s">
        <v>121</v>
      </c>
      <c r="AN350" t="s">
        <v>174</v>
      </c>
      <c r="AO350" t="s">
        <v>6314</v>
      </c>
      <c r="AP350" t="s">
        <v>6315</v>
      </c>
      <c r="AQ350" t="s">
        <v>74</v>
      </c>
      <c r="AR350" t="s">
        <v>6316</v>
      </c>
      <c r="AS350" t="s">
        <v>6317</v>
      </c>
      <c r="AT350" t="s">
        <v>6264</v>
      </c>
      <c r="AU350">
        <v>2023</v>
      </c>
      <c r="AV350">
        <v>234</v>
      </c>
      <c r="AW350" t="s">
        <v>74</v>
      </c>
      <c r="AX350" t="s">
        <v>74</v>
      </c>
      <c r="AY350" t="s">
        <v>74</v>
      </c>
      <c r="AZ350" t="s">
        <v>74</v>
      </c>
      <c r="BA350" t="s">
        <v>74</v>
      </c>
      <c r="BB350" t="s">
        <v>74</v>
      </c>
      <c r="BC350" t="s">
        <v>74</v>
      </c>
      <c r="BD350">
        <v>121312</v>
      </c>
      <c r="BE350" t="s">
        <v>6318</v>
      </c>
      <c r="BF350" t="str">
        <f>HYPERLINK("http://dx.doi.org/10.1016/j.applthermaleng.2023.121312","http://dx.doi.org/10.1016/j.applthermaleng.2023.121312")</f>
        <v>http://dx.doi.org/10.1016/j.applthermaleng.2023.121312</v>
      </c>
      <c r="BG350" t="s">
        <v>74</v>
      </c>
      <c r="BH350" t="s">
        <v>74</v>
      </c>
      <c r="BI350">
        <v>10</v>
      </c>
      <c r="BJ350" t="s">
        <v>6319</v>
      </c>
      <c r="BK350" t="s">
        <v>100</v>
      </c>
      <c r="BL350" t="s">
        <v>6320</v>
      </c>
      <c r="BM350" t="s">
        <v>6321</v>
      </c>
      <c r="BN350" t="s">
        <v>74</v>
      </c>
      <c r="BO350" t="s">
        <v>74</v>
      </c>
      <c r="BP350" t="s">
        <v>74</v>
      </c>
      <c r="BQ350" t="s">
        <v>74</v>
      </c>
      <c r="BR350" t="s">
        <v>104</v>
      </c>
      <c r="BS350" t="s">
        <v>6322</v>
      </c>
      <c r="BT350" t="str">
        <f>HYPERLINK("https%3A%2F%2Fwww.webofscience.com%2Fwos%2Fwoscc%2Ffull-record%2FWOS:001063042200001","View Full Record in Web of Science")</f>
        <v>View Full Record in Web of Science</v>
      </c>
    </row>
    <row r="351" spans="1:72" x14ac:dyDescent="0.15">
      <c r="A351" t="s">
        <v>72</v>
      </c>
      <c r="B351" t="s">
        <v>6323</v>
      </c>
      <c r="C351" t="s">
        <v>74</v>
      </c>
      <c r="D351" t="s">
        <v>74</v>
      </c>
      <c r="E351" t="s">
        <v>74</v>
      </c>
      <c r="F351" t="s">
        <v>6324</v>
      </c>
      <c r="G351" t="s">
        <v>74</v>
      </c>
      <c r="H351" t="s">
        <v>74</v>
      </c>
      <c r="I351" t="s">
        <v>6325</v>
      </c>
      <c r="J351" t="s">
        <v>6326</v>
      </c>
      <c r="K351" t="s">
        <v>74</v>
      </c>
      <c r="L351" t="s">
        <v>74</v>
      </c>
      <c r="M351" t="s">
        <v>78</v>
      </c>
      <c r="N351" t="s">
        <v>79</v>
      </c>
      <c r="O351" t="s">
        <v>74</v>
      </c>
      <c r="P351" t="s">
        <v>74</v>
      </c>
      <c r="Q351" t="s">
        <v>74</v>
      </c>
      <c r="R351" t="s">
        <v>74</v>
      </c>
      <c r="S351" t="s">
        <v>74</v>
      </c>
      <c r="T351" t="s">
        <v>6327</v>
      </c>
      <c r="U351" t="s">
        <v>6328</v>
      </c>
      <c r="V351" t="s">
        <v>6329</v>
      </c>
      <c r="W351" t="s">
        <v>6330</v>
      </c>
      <c r="X351" t="s">
        <v>6331</v>
      </c>
      <c r="Y351" t="s">
        <v>6332</v>
      </c>
      <c r="Z351" t="s">
        <v>6333</v>
      </c>
      <c r="AA351" t="s">
        <v>74</v>
      </c>
      <c r="AB351" t="s">
        <v>74</v>
      </c>
      <c r="AC351" t="s">
        <v>6334</v>
      </c>
      <c r="AD351" t="s">
        <v>6335</v>
      </c>
      <c r="AE351" t="s">
        <v>6336</v>
      </c>
      <c r="AF351" t="s">
        <v>74</v>
      </c>
      <c r="AG351">
        <v>72</v>
      </c>
      <c r="AH351">
        <v>0</v>
      </c>
      <c r="AI351">
        <v>0</v>
      </c>
      <c r="AJ351">
        <v>16</v>
      </c>
      <c r="AK351">
        <v>16</v>
      </c>
      <c r="AL351" t="s">
        <v>173</v>
      </c>
      <c r="AM351" t="s">
        <v>121</v>
      </c>
      <c r="AN351" t="s">
        <v>174</v>
      </c>
      <c r="AO351" t="s">
        <v>6337</v>
      </c>
      <c r="AP351" t="s">
        <v>6338</v>
      </c>
      <c r="AQ351" t="s">
        <v>74</v>
      </c>
      <c r="AR351" t="s">
        <v>6339</v>
      </c>
      <c r="AS351" t="s">
        <v>6340</v>
      </c>
      <c r="AT351" t="s">
        <v>6264</v>
      </c>
      <c r="AU351">
        <v>2023</v>
      </c>
      <c r="AV351">
        <v>281</v>
      </c>
      <c r="AW351" t="s">
        <v>74</v>
      </c>
      <c r="AX351" t="s">
        <v>74</v>
      </c>
      <c r="AY351" t="s">
        <v>74</v>
      </c>
      <c r="AZ351" t="s">
        <v>74</v>
      </c>
      <c r="BA351" t="s">
        <v>74</v>
      </c>
      <c r="BB351" t="s">
        <v>74</v>
      </c>
      <c r="BC351" t="s">
        <v>74</v>
      </c>
      <c r="BD351">
        <v>119111</v>
      </c>
      <c r="BE351" t="s">
        <v>6341</v>
      </c>
      <c r="BF351" t="str">
        <f>HYPERLINK("http://dx.doi.org/10.1016/j.ces.2023.119111","http://dx.doi.org/10.1016/j.ces.2023.119111")</f>
        <v>http://dx.doi.org/10.1016/j.ces.2023.119111</v>
      </c>
      <c r="BG351" t="s">
        <v>74</v>
      </c>
      <c r="BH351" t="s">
        <v>74</v>
      </c>
      <c r="BI351">
        <v>12</v>
      </c>
      <c r="BJ351" t="s">
        <v>1603</v>
      </c>
      <c r="BK351" t="s">
        <v>100</v>
      </c>
      <c r="BL351" t="s">
        <v>873</v>
      </c>
      <c r="BM351" t="s">
        <v>6342</v>
      </c>
      <c r="BN351" t="s">
        <v>74</v>
      </c>
      <c r="BO351" t="s">
        <v>74</v>
      </c>
      <c r="BP351" t="s">
        <v>74</v>
      </c>
      <c r="BQ351" t="s">
        <v>74</v>
      </c>
      <c r="BR351" t="s">
        <v>104</v>
      </c>
      <c r="BS351" t="s">
        <v>6343</v>
      </c>
      <c r="BT351" t="str">
        <f>HYPERLINK("https%3A%2F%2Fwww.webofscience.com%2Fwos%2Fwoscc%2Ffull-record%2FWOS:001047512400001","View Full Record in Web of Science")</f>
        <v>View Full Record in Web of Science</v>
      </c>
    </row>
    <row r="352" spans="1:72" x14ac:dyDescent="0.15">
      <c r="A352" t="s">
        <v>72</v>
      </c>
      <c r="B352" t="s">
        <v>6344</v>
      </c>
      <c r="C352" t="s">
        <v>74</v>
      </c>
      <c r="D352" t="s">
        <v>74</v>
      </c>
      <c r="E352" t="s">
        <v>74</v>
      </c>
      <c r="F352" t="s">
        <v>6345</v>
      </c>
      <c r="G352" t="s">
        <v>74</v>
      </c>
      <c r="H352" t="s">
        <v>74</v>
      </c>
      <c r="I352" t="s">
        <v>6346</v>
      </c>
      <c r="J352" t="s">
        <v>380</v>
      </c>
      <c r="K352" t="s">
        <v>74</v>
      </c>
      <c r="L352" t="s">
        <v>74</v>
      </c>
      <c r="M352" t="s">
        <v>78</v>
      </c>
      <c r="N352" t="s">
        <v>79</v>
      </c>
      <c r="O352" t="s">
        <v>74</v>
      </c>
      <c r="P352" t="s">
        <v>74</v>
      </c>
      <c r="Q352" t="s">
        <v>74</v>
      </c>
      <c r="R352" t="s">
        <v>74</v>
      </c>
      <c r="S352" t="s">
        <v>74</v>
      </c>
      <c r="T352" t="s">
        <v>6347</v>
      </c>
      <c r="U352" t="s">
        <v>6348</v>
      </c>
      <c r="V352" t="s">
        <v>6349</v>
      </c>
      <c r="W352" t="s">
        <v>6350</v>
      </c>
      <c r="X352" t="s">
        <v>6351</v>
      </c>
      <c r="Y352" t="s">
        <v>6352</v>
      </c>
      <c r="Z352" t="s">
        <v>6353</v>
      </c>
      <c r="AA352" t="s">
        <v>6354</v>
      </c>
      <c r="AB352" t="s">
        <v>6355</v>
      </c>
      <c r="AC352" t="s">
        <v>6356</v>
      </c>
      <c r="AD352" t="s">
        <v>6357</v>
      </c>
      <c r="AE352" t="s">
        <v>6358</v>
      </c>
      <c r="AF352" t="s">
        <v>74</v>
      </c>
      <c r="AG352">
        <v>54</v>
      </c>
      <c r="AH352">
        <v>0</v>
      </c>
      <c r="AI352">
        <v>0</v>
      </c>
      <c r="AJ352">
        <v>1</v>
      </c>
      <c r="AK352">
        <v>1</v>
      </c>
      <c r="AL352" t="s">
        <v>90</v>
      </c>
      <c r="AM352" t="s">
        <v>91</v>
      </c>
      <c r="AN352" t="s">
        <v>92</v>
      </c>
      <c r="AO352" t="s">
        <v>388</v>
      </c>
      <c r="AP352" t="s">
        <v>389</v>
      </c>
      <c r="AQ352" t="s">
        <v>74</v>
      </c>
      <c r="AR352" t="s">
        <v>390</v>
      </c>
      <c r="AS352" t="s">
        <v>391</v>
      </c>
      <c r="AT352" t="s">
        <v>6264</v>
      </c>
      <c r="AU352">
        <v>2023</v>
      </c>
      <c r="AV352">
        <v>1291</v>
      </c>
      <c r="AW352" t="s">
        <v>74</v>
      </c>
      <c r="AX352" t="s">
        <v>74</v>
      </c>
      <c r="AY352" t="s">
        <v>74</v>
      </c>
      <c r="AZ352" t="s">
        <v>74</v>
      </c>
      <c r="BA352" t="s">
        <v>74</v>
      </c>
      <c r="BB352" t="s">
        <v>74</v>
      </c>
      <c r="BC352" t="s">
        <v>74</v>
      </c>
      <c r="BD352">
        <v>136017</v>
      </c>
      <c r="BE352" t="s">
        <v>6359</v>
      </c>
      <c r="BF352" t="str">
        <f>HYPERLINK("http://dx.doi.org/10.1016/j.molstruc.2023.136017","http://dx.doi.org/10.1016/j.molstruc.2023.136017")</f>
        <v>http://dx.doi.org/10.1016/j.molstruc.2023.136017</v>
      </c>
      <c r="BG352" t="s">
        <v>74</v>
      </c>
      <c r="BH352" t="s">
        <v>74</v>
      </c>
      <c r="BI352">
        <v>12</v>
      </c>
      <c r="BJ352" t="s">
        <v>394</v>
      </c>
      <c r="BK352" t="s">
        <v>100</v>
      </c>
      <c r="BL352" t="s">
        <v>395</v>
      </c>
      <c r="BM352" t="s">
        <v>6360</v>
      </c>
      <c r="BN352" t="s">
        <v>74</v>
      </c>
      <c r="BO352" t="s">
        <v>74</v>
      </c>
      <c r="BP352" t="s">
        <v>74</v>
      </c>
      <c r="BQ352" t="s">
        <v>74</v>
      </c>
      <c r="BR352" t="s">
        <v>104</v>
      </c>
      <c r="BS352" t="s">
        <v>6361</v>
      </c>
      <c r="BT352" t="str">
        <f>HYPERLINK("https%3A%2F%2Fwww.webofscience.com%2Fwos%2Fwoscc%2Ffull-record%2FWOS:001056509800001","View Full Record in Web of Science")</f>
        <v>View Full Record in Web of Science</v>
      </c>
    </row>
    <row r="353" spans="1:72" x14ac:dyDescent="0.15">
      <c r="A353" t="s">
        <v>72</v>
      </c>
      <c r="B353" t="s">
        <v>6362</v>
      </c>
      <c r="C353" t="s">
        <v>74</v>
      </c>
      <c r="D353" t="s">
        <v>74</v>
      </c>
      <c r="E353" t="s">
        <v>74</v>
      </c>
      <c r="F353" t="s">
        <v>6363</v>
      </c>
      <c r="G353" t="s">
        <v>74</v>
      </c>
      <c r="H353" t="s">
        <v>74</v>
      </c>
      <c r="I353" t="s">
        <v>6364</v>
      </c>
      <c r="J353" t="s">
        <v>6304</v>
      </c>
      <c r="K353" t="s">
        <v>74</v>
      </c>
      <c r="L353" t="s">
        <v>74</v>
      </c>
      <c r="M353" t="s">
        <v>78</v>
      </c>
      <c r="N353" t="s">
        <v>241</v>
      </c>
      <c r="O353" t="s">
        <v>74</v>
      </c>
      <c r="P353" t="s">
        <v>74</v>
      </c>
      <c r="Q353" t="s">
        <v>74</v>
      </c>
      <c r="R353" t="s">
        <v>74</v>
      </c>
      <c r="S353" t="s">
        <v>74</v>
      </c>
      <c r="T353" t="s">
        <v>6365</v>
      </c>
      <c r="U353" t="s">
        <v>6366</v>
      </c>
      <c r="V353" t="s">
        <v>6367</v>
      </c>
      <c r="W353" t="s">
        <v>6368</v>
      </c>
      <c r="X353" t="s">
        <v>6369</v>
      </c>
      <c r="Y353" t="s">
        <v>6370</v>
      </c>
      <c r="Z353" t="s">
        <v>6371</v>
      </c>
      <c r="AA353" t="s">
        <v>6372</v>
      </c>
      <c r="AB353" t="s">
        <v>74</v>
      </c>
      <c r="AC353" t="s">
        <v>6373</v>
      </c>
      <c r="AD353" t="s">
        <v>6374</v>
      </c>
      <c r="AE353" t="s">
        <v>6375</v>
      </c>
      <c r="AF353" t="s">
        <v>74</v>
      </c>
      <c r="AG353">
        <v>144</v>
      </c>
      <c r="AH353">
        <v>0</v>
      </c>
      <c r="AI353">
        <v>0</v>
      </c>
      <c r="AJ353">
        <v>3</v>
      </c>
      <c r="AK353">
        <v>3</v>
      </c>
      <c r="AL353" t="s">
        <v>173</v>
      </c>
      <c r="AM353" t="s">
        <v>121</v>
      </c>
      <c r="AN353" t="s">
        <v>174</v>
      </c>
      <c r="AO353" t="s">
        <v>6314</v>
      </c>
      <c r="AP353" t="s">
        <v>6315</v>
      </c>
      <c r="AQ353" t="s">
        <v>74</v>
      </c>
      <c r="AR353" t="s">
        <v>6316</v>
      </c>
      <c r="AS353" t="s">
        <v>6317</v>
      </c>
      <c r="AT353" t="s">
        <v>6264</v>
      </c>
      <c r="AU353">
        <v>2023</v>
      </c>
      <c r="AV353">
        <v>234</v>
      </c>
      <c r="AW353" t="s">
        <v>74</v>
      </c>
      <c r="AX353" t="s">
        <v>74</v>
      </c>
      <c r="AY353" t="s">
        <v>74</v>
      </c>
      <c r="AZ353" t="s">
        <v>74</v>
      </c>
      <c r="BA353" t="s">
        <v>74</v>
      </c>
      <c r="BB353" t="s">
        <v>74</v>
      </c>
      <c r="BC353" t="s">
        <v>74</v>
      </c>
      <c r="BD353">
        <v>121163</v>
      </c>
      <c r="BE353" t="s">
        <v>6376</v>
      </c>
      <c r="BF353" t="str">
        <f>HYPERLINK("http://dx.doi.org/10.1016/j.applthermaleng.2023.121163","http://dx.doi.org/10.1016/j.applthermaleng.2023.121163")</f>
        <v>http://dx.doi.org/10.1016/j.applthermaleng.2023.121163</v>
      </c>
      <c r="BG353" t="s">
        <v>74</v>
      </c>
      <c r="BH353" t="s">
        <v>74</v>
      </c>
      <c r="BI353">
        <v>27</v>
      </c>
      <c r="BJ353" t="s">
        <v>6319</v>
      </c>
      <c r="BK353" t="s">
        <v>100</v>
      </c>
      <c r="BL353" t="s">
        <v>6320</v>
      </c>
      <c r="BM353" t="s">
        <v>6377</v>
      </c>
      <c r="BN353" t="s">
        <v>74</v>
      </c>
      <c r="BO353" t="s">
        <v>74</v>
      </c>
      <c r="BP353" t="s">
        <v>74</v>
      </c>
      <c r="BQ353" t="s">
        <v>74</v>
      </c>
      <c r="BR353" t="s">
        <v>104</v>
      </c>
      <c r="BS353" t="s">
        <v>6378</v>
      </c>
      <c r="BT353" t="str">
        <f>HYPERLINK("https%3A%2F%2Fwww.webofscience.com%2Fwos%2Fwoscc%2Ffull-record%2FWOS:001050371200001","View Full Record in Web of Science")</f>
        <v>View Full Record in Web of Science</v>
      </c>
    </row>
    <row r="354" spans="1:72" x14ac:dyDescent="0.15">
      <c r="A354" t="s">
        <v>72</v>
      </c>
      <c r="B354" t="s">
        <v>6379</v>
      </c>
      <c r="C354" t="s">
        <v>74</v>
      </c>
      <c r="D354" t="s">
        <v>74</v>
      </c>
      <c r="E354" t="s">
        <v>74</v>
      </c>
      <c r="F354" t="s">
        <v>6380</v>
      </c>
      <c r="G354" t="s">
        <v>74</v>
      </c>
      <c r="H354" t="s">
        <v>74</v>
      </c>
      <c r="I354" t="s">
        <v>6381</v>
      </c>
      <c r="J354" t="s">
        <v>1793</v>
      </c>
      <c r="K354" t="s">
        <v>74</v>
      </c>
      <c r="L354" t="s">
        <v>74</v>
      </c>
      <c r="M354" t="s">
        <v>78</v>
      </c>
      <c r="N354" t="s">
        <v>79</v>
      </c>
      <c r="O354" t="s">
        <v>74</v>
      </c>
      <c r="P354" t="s">
        <v>74</v>
      </c>
      <c r="Q354" t="s">
        <v>74</v>
      </c>
      <c r="R354" t="s">
        <v>74</v>
      </c>
      <c r="S354" t="s">
        <v>74</v>
      </c>
      <c r="T354" t="s">
        <v>6382</v>
      </c>
      <c r="U354" t="s">
        <v>6383</v>
      </c>
      <c r="V354" t="s">
        <v>6384</v>
      </c>
      <c r="W354" t="s">
        <v>6385</v>
      </c>
      <c r="X354" t="s">
        <v>6386</v>
      </c>
      <c r="Y354" t="s">
        <v>6387</v>
      </c>
      <c r="Z354" t="s">
        <v>6388</v>
      </c>
      <c r="AA354" t="s">
        <v>6389</v>
      </c>
      <c r="AB354" t="s">
        <v>6390</v>
      </c>
      <c r="AC354" t="s">
        <v>6391</v>
      </c>
      <c r="AD354" t="s">
        <v>6392</v>
      </c>
      <c r="AE354" t="s">
        <v>6393</v>
      </c>
      <c r="AF354" t="s">
        <v>74</v>
      </c>
      <c r="AG354">
        <v>69</v>
      </c>
      <c r="AH354">
        <v>1</v>
      </c>
      <c r="AI354">
        <v>1</v>
      </c>
      <c r="AJ354">
        <v>10</v>
      </c>
      <c r="AK354">
        <v>10</v>
      </c>
      <c r="AL354" t="s">
        <v>173</v>
      </c>
      <c r="AM354" t="s">
        <v>121</v>
      </c>
      <c r="AN354" t="s">
        <v>174</v>
      </c>
      <c r="AO354" t="s">
        <v>1805</v>
      </c>
      <c r="AP354" t="s">
        <v>1806</v>
      </c>
      <c r="AQ354" t="s">
        <v>74</v>
      </c>
      <c r="AR354" t="s">
        <v>1807</v>
      </c>
      <c r="AS354" t="s">
        <v>1808</v>
      </c>
      <c r="AT354" t="s">
        <v>6264</v>
      </c>
      <c r="AU354">
        <v>2023</v>
      </c>
      <c r="AV354">
        <v>300</v>
      </c>
      <c r="AW354" t="s">
        <v>74</v>
      </c>
      <c r="AX354" t="s">
        <v>74</v>
      </c>
      <c r="AY354" t="s">
        <v>74</v>
      </c>
      <c r="AZ354" t="s">
        <v>74</v>
      </c>
      <c r="BA354" t="s">
        <v>74</v>
      </c>
      <c r="BB354" t="s">
        <v>74</v>
      </c>
      <c r="BC354" t="s">
        <v>74</v>
      </c>
      <c r="BD354">
        <v>122934</v>
      </c>
      <c r="BE354" t="s">
        <v>6394</v>
      </c>
      <c r="BF354" t="str">
        <f>HYPERLINK("http://dx.doi.org/10.1016/j.saa.2023.122934","http://dx.doi.org/10.1016/j.saa.2023.122934")</f>
        <v>http://dx.doi.org/10.1016/j.saa.2023.122934</v>
      </c>
      <c r="BG354" t="s">
        <v>74</v>
      </c>
      <c r="BH354" t="s">
        <v>74</v>
      </c>
      <c r="BI354">
        <v>10</v>
      </c>
      <c r="BJ354" t="s">
        <v>1810</v>
      </c>
      <c r="BK354" t="s">
        <v>100</v>
      </c>
      <c r="BL354" t="s">
        <v>1810</v>
      </c>
      <c r="BM354" t="s">
        <v>6395</v>
      </c>
      <c r="BN354">
        <v>37270970</v>
      </c>
      <c r="BO354" t="s">
        <v>74</v>
      </c>
      <c r="BP354" t="s">
        <v>74</v>
      </c>
      <c r="BQ354" t="s">
        <v>74</v>
      </c>
      <c r="BR354" t="s">
        <v>104</v>
      </c>
      <c r="BS354" t="s">
        <v>6396</v>
      </c>
      <c r="BT354" t="str">
        <f>HYPERLINK("https%3A%2F%2Fwww.webofscience.com%2Fwos%2Fwoscc%2Ffull-record%2FWOS:001055014900001","View Full Record in Web of Science")</f>
        <v>View Full Record in Web of Science</v>
      </c>
    </row>
    <row r="355" spans="1:72" x14ac:dyDescent="0.15">
      <c r="A355" t="s">
        <v>72</v>
      </c>
      <c r="B355" t="s">
        <v>6397</v>
      </c>
      <c r="C355" t="s">
        <v>74</v>
      </c>
      <c r="D355" t="s">
        <v>74</v>
      </c>
      <c r="E355" t="s">
        <v>74</v>
      </c>
      <c r="F355" t="s">
        <v>6398</v>
      </c>
      <c r="G355" t="s">
        <v>74</v>
      </c>
      <c r="H355" t="s">
        <v>74</v>
      </c>
      <c r="I355" t="s">
        <v>6399</v>
      </c>
      <c r="J355" t="s">
        <v>5327</v>
      </c>
      <c r="K355" t="s">
        <v>74</v>
      </c>
      <c r="L355" t="s">
        <v>74</v>
      </c>
      <c r="M355" t="s">
        <v>78</v>
      </c>
      <c r="N355" t="s">
        <v>79</v>
      </c>
      <c r="O355" t="s">
        <v>74</v>
      </c>
      <c r="P355" t="s">
        <v>74</v>
      </c>
      <c r="Q355" t="s">
        <v>74</v>
      </c>
      <c r="R355" t="s">
        <v>74</v>
      </c>
      <c r="S355" t="s">
        <v>74</v>
      </c>
      <c r="T355" t="s">
        <v>6400</v>
      </c>
      <c r="U355" t="s">
        <v>6401</v>
      </c>
      <c r="V355" t="s">
        <v>6402</v>
      </c>
      <c r="W355" t="s">
        <v>6403</v>
      </c>
      <c r="X355" t="s">
        <v>6404</v>
      </c>
      <c r="Y355" t="s">
        <v>6405</v>
      </c>
      <c r="Z355" t="s">
        <v>6406</v>
      </c>
      <c r="AA355" t="s">
        <v>6407</v>
      </c>
      <c r="AB355" t="s">
        <v>6408</v>
      </c>
      <c r="AC355" t="s">
        <v>6409</v>
      </c>
      <c r="AD355" t="s">
        <v>6410</v>
      </c>
      <c r="AE355" t="s">
        <v>6411</v>
      </c>
      <c r="AF355" t="s">
        <v>74</v>
      </c>
      <c r="AG355">
        <v>31</v>
      </c>
      <c r="AH355">
        <v>0</v>
      </c>
      <c r="AI355">
        <v>0</v>
      </c>
      <c r="AJ355">
        <v>1</v>
      </c>
      <c r="AK355">
        <v>1</v>
      </c>
      <c r="AL355" t="s">
        <v>475</v>
      </c>
      <c r="AM355" t="s">
        <v>476</v>
      </c>
      <c r="AN355" t="s">
        <v>477</v>
      </c>
      <c r="AO355" t="s">
        <v>5340</v>
      </c>
      <c r="AP355" t="s">
        <v>5341</v>
      </c>
      <c r="AQ355" t="s">
        <v>74</v>
      </c>
      <c r="AR355" t="s">
        <v>5342</v>
      </c>
      <c r="AS355" t="s">
        <v>5343</v>
      </c>
      <c r="AT355" t="s">
        <v>6264</v>
      </c>
      <c r="AU355">
        <v>2023</v>
      </c>
      <c r="AV355">
        <v>372</v>
      </c>
      <c r="AW355" t="s">
        <v>74</v>
      </c>
      <c r="AX355" t="s">
        <v>74</v>
      </c>
      <c r="AY355" t="s">
        <v>74</v>
      </c>
      <c r="AZ355" t="s">
        <v>74</v>
      </c>
      <c r="BA355" t="s">
        <v>74</v>
      </c>
      <c r="BB355">
        <v>254</v>
      </c>
      <c r="BC355">
        <v>279</v>
      </c>
      <c r="BD355" t="s">
        <v>74</v>
      </c>
      <c r="BE355" t="s">
        <v>6412</v>
      </c>
      <c r="BF355" t="str">
        <f>HYPERLINK("http://dx.doi.org/10.1016/j.jde.2023.06.048","http://dx.doi.org/10.1016/j.jde.2023.06.048")</f>
        <v>http://dx.doi.org/10.1016/j.jde.2023.06.048</v>
      </c>
      <c r="BG355" t="s">
        <v>74</v>
      </c>
      <c r="BH355" t="s">
        <v>74</v>
      </c>
      <c r="BI355">
        <v>26</v>
      </c>
      <c r="BJ355" t="s">
        <v>101</v>
      </c>
      <c r="BK355" t="s">
        <v>100</v>
      </c>
      <c r="BL355" t="s">
        <v>101</v>
      </c>
      <c r="BM355" t="s">
        <v>6413</v>
      </c>
      <c r="BN355" t="s">
        <v>74</v>
      </c>
      <c r="BO355" t="s">
        <v>103</v>
      </c>
      <c r="BP355" t="s">
        <v>74</v>
      </c>
      <c r="BQ355" t="s">
        <v>74</v>
      </c>
      <c r="BR355" t="s">
        <v>104</v>
      </c>
      <c r="BS355" t="s">
        <v>6414</v>
      </c>
      <c r="BT355" t="str">
        <f>HYPERLINK("https%3A%2F%2Fwww.webofscience.com%2Fwos%2Fwoscc%2Ffull-record%2FWOS:001049914400001","View Full Record in Web of Science")</f>
        <v>View Full Record in Web of Science</v>
      </c>
    </row>
    <row r="356" spans="1:72" x14ac:dyDescent="0.15">
      <c r="A356" t="s">
        <v>72</v>
      </c>
      <c r="B356" t="s">
        <v>6415</v>
      </c>
      <c r="C356" t="s">
        <v>74</v>
      </c>
      <c r="D356" t="s">
        <v>74</v>
      </c>
      <c r="E356" t="s">
        <v>74</v>
      </c>
      <c r="F356" t="s">
        <v>6416</v>
      </c>
      <c r="G356" t="s">
        <v>74</v>
      </c>
      <c r="H356" t="s">
        <v>74</v>
      </c>
      <c r="I356" t="s">
        <v>6417</v>
      </c>
      <c r="J356" t="s">
        <v>6304</v>
      </c>
      <c r="K356" t="s">
        <v>74</v>
      </c>
      <c r="L356" t="s">
        <v>74</v>
      </c>
      <c r="M356" t="s">
        <v>78</v>
      </c>
      <c r="N356" t="s">
        <v>79</v>
      </c>
      <c r="O356" t="s">
        <v>74</v>
      </c>
      <c r="P356" t="s">
        <v>74</v>
      </c>
      <c r="Q356" t="s">
        <v>74</v>
      </c>
      <c r="R356" t="s">
        <v>74</v>
      </c>
      <c r="S356" t="s">
        <v>74</v>
      </c>
      <c r="T356" t="s">
        <v>6418</v>
      </c>
      <c r="U356" t="s">
        <v>6419</v>
      </c>
      <c r="V356" t="s">
        <v>6420</v>
      </c>
      <c r="W356" t="s">
        <v>6421</v>
      </c>
      <c r="X356" t="s">
        <v>6422</v>
      </c>
      <c r="Y356" t="s">
        <v>6423</v>
      </c>
      <c r="Z356" t="s">
        <v>6424</v>
      </c>
      <c r="AA356" t="s">
        <v>74</v>
      </c>
      <c r="AB356" t="s">
        <v>74</v>
      </c>
      <c r="AC356" t="s">
        <v>6425</v>
      </c>
      <c r="AD356" t="s">
        <v>6426</v>
      </c>
      <c r="AE356" t="s">
        <v>6427</v>
      </c>
      <c r="AF356" t="s">
        <v>74</v>
      </c>
      <c r="AG356">
        <v>36</v>
      </c>
      <c r="AH356">
        <v>0</v>
      </c>
      <c r="AI356">
        <v>0</v>
      </c>
      <c r="AJ356">
        <v>1</v>
      </c>
      <c r="AK356">
        <v>1</v>
      </c>
      <c r="AL356" t="s">
        <v>173</v>
      </c>
      <c r="AM356" t="s">
        <v>121</v>
      </c>
      <c r="AN356" t="s">
        <v>174</v>
      </c>
      <c r="AO356" t="s">
        <v>6314</v>
      </c>
      <c r="AP356" t="s">
        <v>6315</v>
      </c>
      <c r="AQ356" t="s">
        <v>74</v>
      </c>
      <c r="AR356" t="s">
        <v>6316</v>
      </c>
      <c r="AS356" t="s">
        <v>6317</v>
      </c>
      <c r="AT356" t="s">
        <v>6264</v>
      </c>
      <c r="AU356">
        <v>2023</v>
      </c>
      <c r="AV356">
        <v>234</v>
      </c>
      <c r="AW356" t="s">
        <v>74</v>
      </c>
      <c r="AX356" t="s">
        <v>74</v>
      </c>
      <c r="AY356" t="s">
        <v>74</v>
      </c>
      <c r="AZ356" t="s">
        <v>74</v>
      </c>
      <c r="BA356" t="s">
        <v>74</v>
      </c>
      <c r="BB356" t="s">
        <v>74</v>
      </c>
      <c r="BC356" t="s">
        <v>74</v>
      </c>
      <c r="BD356">
        <v>121263</v>
      </c>
      <c r="BE356" t="s">
        <v>6428</v>
      </c>
      <c r="BF356" t="str">
        <f>HYPERLINK("http://dx.doi.org/10.1016/j.applthermaleng.2023.121263","http://dx.doi.org/10.1016/j.applthermaleng.2023.121263")</f>
        <v>http://dx.doi.org/10.1016/j.applthermaleng.2023.121263</v>
      </c>
      <c r="BG356" t="s">
        <v>74</v>
      </c>
      <c r="BH356" t="s">
        <v>74</v>
      </c>
      <c r="BI356">
        <v>17</v>
      </c>
      <c r="BJ356" t="s">
        <v>6319</v>
      </c>
      <c r="BK356" t="s">
        <v>100</v>
      </c>
      <c r="BL356" t="s">
        <v>6320</v>
      </c>
      <c r="BM356" t="s">
        <v>6429</v>
      </c>
      <c r="BN356" t="s">
        <v>74</v>
      </c>
      <c r="BO356" t="s">
        <v>74</v>
      </c>
      <c r="BP356" t="s">
        <v>74</v>
      </c>
      <c r="BQ356" t="s">
        <v>74</v>
      </c>
      <c r="BR356" t="s">
        <v>104</v>
      </c>
      <c r="BS356" t="s">
        <v>6430</v>
      </c>
      <c r="BT356" t="str">
        <f>HYPERLINK("https%3A%2F%2Fwww.webofscience.com%2Fwos%2Fwoscc%2Ffull-record%2FWOS:001061511000001","View Full Record in Web of Science")</f>
        <v>View Full Record in Web of Science</v>
      </c>
    </row>
    <row r="357" spans="1:72" x14ac:dyDescent="0.15">
      <c r="A357" t="s">
        <v>72</v>
      </c>
      <c r="B357" t="s">
        <v>6431</v>
      </c>
      <c r="C357" t="s">
        <v>74</v>
      </c>
      <c r="D357" t="s">
        <v>74</v>
      </c>
      <c r="E357" t="s">
        <v>74</v>
      </c>
      <c r="F357" t="s">
        <v>6432</v>
      </c>
      <c r="G357" t="s">
        <v>74</v>
      </c>
      <c r="H357" t="s">
        <v>74</v>
      </c>
      <c r="I357" t="s">
        <v>6433</v>
      </c>
      <c r="J357" t="s">
        <v>6326</v>
      </c>
      <c r="K357" t="s">
        <v>74</v>
      </c>
      <c r="L357" t="s">
        <v>74</v>
      </c>
      <c r="M357" t="s">
        <v>78</v>
      </c>
      <c r="N357" t="s">
        <v>79</v>
      </c>
      <c r="O357" t="s">
        <v>74</v>
      </c>
      <c r="P357" t="s">
        <v>74</v>
      </c>
      <c r="Q357" t="s">
        <v>74</v>
      </c>
      <c r="R357" t="s">
        <v>74</v>
      </c>
      <c r="S357" t="s">
        <v>74</v>
      </c>
      <c r="T357" t="s">
        <v>74</v>
      </c>
      <c r="U357" t="s">
        <v>6434</v>
      </c>
      <c r="V357" t="s">
        <v>6435</v>
      </c>
      <c r="W357" t="s">
        <v>6436</v>
      </c>
      <c r="X357" t="s">
        <v>6437</v>
      </c>
      <c r="Y357" t="s">
        <v>6438</v>
      </c>
      <c r="Z357" t="s">
        <v>6439</v>
      </c>
      <c r="AA357" t="s">
        <v>74</v>
      </c>
      <c r="AB357" t="s">
        <v>6440</v>
      </c>
      <c r="AC357" t="s">
        <v>6441</v>
      </c>
      <c r="AD357" t="s">
        <v>6442</v>
      </c>
      <c r="AE357" t="s">
        <v>6443</v>
      </c>
      <c r="AF357" t="s">
        <v>74</v>
      </c>
      <c r="AG357">
        <v>48</v>
      </c>
      <c r="AH357">
        <v>0</v>
      </c>
      <c r="AI357">
        <v>0</v>
      </c>
      <c r="AJ357">
        <v>2</v>
      </c>
      <c r="AK357">
        <v>2</v>
      </c>
      <c r="AL357" t="s">
        <v>173</v>
      </c>
      <c r="AM357" t="s">
        <v>121</v>
      </c>
      <c r="AN357" t="s">
        <v>174</v>
      </c>
      <c r="AO357" t="s">
        <v>6337</v>
      </c>
      <c r="AP357" t="s">
        <v>6338</v>
      </c>
      <c r="AQ357" t="s">
        <v>74</v>
      </c>
      <c r="AR357" t="s">
        <v>6339</v>
      </c>
      <c r="AS357" t="s">
        <v>6340</v>
      </c>
      <c r="AT357" t="s">
        <v>6264</v>
      </c>
      <c r="AU357">
        <v>2023</v>
      </c>
      <c r="AV357">
        <v>281</v>
      </c>
      <c r="AW357" t="s">
        <v>74</v>
      </c>
      <c r="AX357" t="s">
        <v>74</v>
      </c>
      <c r="AY357" t="s">
        <v>74</v>
      </c>
      <c r="AZ357" t="s">
        <v>74</v>
      </c>
      <c r="BA357" t="s">
        <v>74</v>
      </c>
      <c r="BB357" t="s">
        <v>74</v>
      </c>
      <c r="BC357" t="s">
        <v>74</v>
      </c>
      <c r="BD357">
        <v>119152</v>
      </c>
      <c r="BE357" t="s">
        <v>6444</v>
      </c>
      <c r="BF357" t="str">
        <f>HYPERLINK("http://dx.doi.org/10.1016/j.ces.2023.119152","http://dx.doi.org/10.1016/j.ces.2023.119152")</f>
        <v>http://dx.doi.org/10.1016/j.ces.2023.119152</v>
      </c>
      <c r="BG357" t="s">
        <v>74</v>
      </c>
      <c r="BH357" t="s">
        <v>74</v>
      </c>
      <c r="BI357">
        <v>11</v>
      </c>
      <c r="BJ357" t="s">
        <v>1603</v>
      </c>
      <c r="BK357" t="s">
        <v>100</v>
      </c>
      <c r="BL357" t="s">
        <v>873</v>
      </c>
      <c r="BM357" t="s">
        <v>6445</v>
      </c>
      <c r="BN357" t="s">
        <v>74</v>
      </c>
      <c r="BO357" t="s">
        <v>74</v>
      </c>
      <c r="BP357" t="s">
        <v>74</v>
      </c>
      <c r="BQ357" t="s">
        <v>74</v>
      </c>
      <c r="BR357" t="s">
        <v>104</v>
      </c>
      <c r="BS357" t="s">
        <v>6446</v>
      </c>
      <c r="BT357" t="str">
        <f>HYPERLINK("https%3A%2F%2Fwww.webofscience.com%2Fwos%2Fwoscc%2Ffull-record%2FWOS:001054777700001","View Full Record in Web of Science")</f>
        <v>View Full Record in Web of Science</v>
      </c>
    </row>
    <row r="358" spans="1:72" x14ac:dyDescent="0.15">
      <c r="A358" t="s">
        <v>72</v>
      </c>
      <c r="B358" t="s">
        <v>6447</v>
      </c>
      <c r="C358" t="s">
        <v>74</v>
      </c>
      <c r="D358" t="s">
        <v>74</v>
      </c>
      <c r="E358" t="s">
        <v>74</v>
      </c>
      <c r="F358" t="s">
        <v>6448</v>
      </c>
      <c r="G358" t="s">
        <v>74</v>
      </c>
      <c r="H358" t="s">
        <v>74</v>
      </c>
      <c r="I358" t="s">
        <v>6449</v>
      </c>
      <c r="J358" t="s">
        <v>6450</v>
      </c>
      <c r="K358" t="s">
        <v>74</v>
      </c>
      <c r="L358" t="s">
        <v>74</v>
      </c>
      <c r="M358" t="s">
        <v>78</v>
      </c>
      <c r="N358" t="s">
        <v>241</v>
      </c>
      <c r="O358" t="s">
        <v>74</v>
      </c>
      <c r="P358" t="s">
        <v>74</v>
      </c>
      <c r="Q358" t="s">
        <v>74</v>
      </c>
      <c r="R358" t="s">
        <v>74</v>
      </c>
      <c r="S358" t="s">
        <v>74</v>
      </c>
      <c r="T358" t="s">
        <v>6451</v>
      </c>
      <c r="U358" t="s">
        <v>6452</v>
      </c>
      <c r="V358" t="s">
        <v>6453</v>
      </c>
      <c r="W358" t="s">
        <v>6454</v>
      </c>
      <c r="X358" t="s">
        <v>6455</v>
      </c>
      <c r="Y358" t="s">
        <v>6456</v>
      </c>
      <c r="Z358" t="s">
        <v>6457</v>
      </c>
      <c r="AA358" t="s">
        <v>6458</v>
      </c>
      <c r="AB358" t="s">
        <v>6459</v>
      </c>
      <c r="AC358" t="s">
        <v>6460</v>
      </c>
      <c r="AD358" t="s">
        <v>6461</v>
      </c>
      <c r="AE358" t="s">
        <v>6462</v>
      </c>
      <c r="AF358" t="s">
        <v>74</v>
      </c>
      <c r="AG358">
        <v>132</v>
      </c>
      <c r="AH358">
        <v>0</v>
      </c>
      <c r="AI358">
        <v>0</v>
      </c>
      <c r="AJ358">
        <v>0</v>
      </c>
      <c r="AK358">
        <v>0</v>
      </c>
      <c r="AL358" t="s">
        <v>514</v>
      </c>
      <c r="AM358" t="s">
        <v>515</v>
      </c>
      <c r="AN358" t="s">
        <v>516</v>
      </c>
      <c r="AO358" t="s">
        <v>6463</v>
      </c>
      <c r="AP358" t="s">
        <v>6464</v>
      </c>
      <c r="AQ358" t="s">
        <v>74</v>
      </c>
      <c r="AR358" t="s">
        <v>6465</v>
      </c>
      <c r="AS358" t="s">
        <v>6466</v>
      </c>
      <c r="AT358" t="s">
        <v>6264</v>
      </c>
      <c r="AU358">
        <v>2023</v>
      </c>
      <c r="AV358">
        <v>259</v>
      </c>
      <c r="AW358" t="s">
        <v>74</v>
      </c>
      <c r="AX358" t="s">
        <v>74</v>
      </c>
      <c r="AY358" t="s">
        <v>74</v>
      </c>
      <c r="AZ358" t="s">
        <v>74</v>
      </c>
      <c r="BA358" t="s">
        <v>74</v>
      </c>
      <c r="BB358" t="s">
        <v>74</v>
      </c>
      <c r="BC358" t="s">
        <v>74</v>
      </c>
      <c r="BD358">
        <v>115694</v>
      </c>
      <c r="BE358" t="s">
        <v>6467</v>
      </c>
      <c r="BF358" t="str">
        <f>HYPERLINK("http://dx.doi.org/10.1016/j.ejmech.2023.115694","http://dx.doi.org/10.1016/j.ejmech.2023.115694")</f>
        <v>http://dx.doi.org/10.1016/j.ejmech.2023.115694</v>
      </c>
      <c r="BG358" t="s">
        <v>74</v>
      </c>
      <c r="BH358" t="s">
        <v>74</v>
      </c>
      <c r="BI358">
        <v>23</v>
      </c>
      <c r="BJ358" t="s">
        <v>6468</v>
      </c>
      <c r="BK358" t="s">
        <v>100</v>
      </c>
      <c r="BL358" t="s">
        <v>2605</v>
      </c>
      <c r="BM358" t="s">
        <v>6469</v>
      </c>
      <c r="BN358">
        <v>37556947</v>
      </c>
      <c r="BO358" t="s">
        <v>74</v>
      </c>
      <c r="BP358" t="s">
        <v>74</v>
      </c>
      <c r="BQ358" t="s">
        <v>74</v>
      </c>
      <c r="BR358" t="s">
        <v>104</v>
      </c>
      <c r="BS358" t="s">
        <v>6470</v>
      </c>
      <c r="BT358" t="str">
        <f>HYPERLINK("https%3A%2F%2Fwww.webofscience.com%2Fwos%2Fwoscc%2Ffull-record%2FWOS:001062823200001","View Full Record in Web of Science")</f>
        <v>View Full Record in Web of Science</v>
      </c>
    </row>
    <row r="359" spans="1:72" x14ac:dyDescent="0.15">
      <c r="A359" t="s">
        <v>72</v>
      </c>
      <c r="B359" t="s">
        <v>6471</v>
      </c>
      <c r="C359" t="s">
        <v>74</v>
      </c>
      <c r="D359" t="s">
        <v>74</v>
      </c>
      <c r="E359" t="s">
        <v>74</v>
      </c>
      <c r="F359" t="s">
        <v>6472</v>
      </c>
      <c r="G359" t="s">
        <v>74</v>
      </c>
      <c r="H359" t="s">
        <v>74</v>
      </c>
      <c r="I359" t="s">
        <v>6473</v>
      </c>
      <c r="J359" t="s">
        <v>6450</v>
      </c>
      <c r="K359" t="s">
        <v>74</v>
      </c>
      <c r="L359" t="s">
        <v>74</v>
      </c>
      <c r="M359" t="s">
        <v>78</v>
      </c>
      <c r="N359" t="s">
        <v>79</v>
      </c>
      <c r="O359" t="s">
        <v>74</v>
      </c>
      <c r="P359" t="s">
        <v>74</v>
      </c>
      <c r="Q359" t="s">
        <v>74</v>
      </c>
      <c r="R359" t="s">
        <v>74</v>
      </c>
      <c r="S359" t="s">
        <v>74</v>
      </c>
      <c r="T359" t="s">
        <v>6474</v>
      </c>
      <c r="U359" t="s">
        <v>6475</v>
      </c>
      <c r="V359" t="s">
        <v>6476</v>
      </c>
      <c r="W359" t="s">
        <v>6477</v>
      </c>
      <c r="X359" t="s">
        <v>6478</v>
      </c>
      <c r="Y359" t="s">
        <v>6479</v>
      </c>
      <c r="Z359" t="s">
        <v>6480</v>
      </c>
      <c r="AA359" t="s">
        <v>6481</v>
      </c>
      <c r="AB359" t="s">
        <v>6482</v>
      </c>
      <c r="AC359" t="s">
        <v>74</v>
      </c>
      <c r="AD359" t="s">
        <v>74</v>
      </c>
      <c r="AE359" t="s">
        <v>74</v>
      </c>
      <c r="AF359" t="s">
        <v>74</v>
      </c>
      <c r="AG359">
        <v>62</v>
      </c>
      <c r="AH359">
        <v>0</v>
      </c>
      <c r="AI359">
        <v>0</v>
      </c>
      <c r="AJ359">
        <v>1</v>
      </c>
      <c r="AK359">
        <v>1</v>
      </c>
      <c r="AL359" t="s">
        <v>514</v>
      </c>
      <c r="AM359" t="s">
        <v>515</v>
      </c>
      <c r="AN359" t="s">
        <v>516</v>
      </c>
      <c r="AO359" t="s">
        <v>6463</v>
      </c>
      <c r="AP359" t="s">
        <v>6464</v>
      </c>
      <c r="AQ359" t="s">
        <v>74</v>
      </c>
      <c r="AR359" t="s">
        <v>6465</v>
      </c>
      <c r="AS359" t="s">
        <v>6466</v>
      </c>
      <c r="AT359" t="s">
        <v>6264</v>
      </c>
      <c r="AU359">
        <v>2023</v>
      </c>
      <c r="AV359">
        <v>259</v>
      </c>
      <c r="AW359" t="s">
        <v>74</v>
      </c>
      <c r="AX359" t="s">
        <v>74</v>
      </c>
      <c r="AY359" t="s">
        <v>74</v>
      </c>
      <c r="AZ359" t="s">
        <v>74</v>
      </c>
      <c r="BA359" t="s">
        <v>74</v>
      </c>
      <c r="BB359" t="s">
        <v>74</v>
      </c>
      <c r="BC359" t="s">
        <v>74</v>
      </c>
      <c r="BD359">
        <v>115707</v>
      </c>
      <c r="BE359" t="s">
        <v>6483</v>
      </c>
      <c r="BF359" t="str">
        <f>HYPERLINK("http://dx.doi.org/10.1016/j.ejmech.2023.115707","http://dx.doi.org/10.1016/j.ejmech.2023.115707")</f>
        <v>http://dx.doi.org/10.1016/j.ejmech.2023.115707</v>
      </c>
      <c r="BG359" t="s">
        <v>74</v>
      </c>
      <c r="BH359" t="s">
        <v>74</v>
      </c>
      <c r="BI359">
        <v>14</v>
      </c>
      <c r="BJ359" t="s">
        <v>6468</v>
      </c>
      <c r="BK359" t="s">
        <v>100</v>
      </c>
      <c r="BL359" t="s">
        <v>2605</v>
      </c>
      <c r="BM359" t="s">
        <v>6484</v>
      </c>
      <c r="BN359">
        <v>37556946</v>
      </c>
      <c r="BO359" t="s">
        <v>74</v>
      </c>
      <c r="BP359" t="s">
        <v>74</v>
      </c>
      <c r="BQ359" t="s">
        <v>74</v>
      </c>
      <c r="BR359" t="s">
        <v>104</v>
      </c>
      <c r="BS359" t="s">
        <v>6485</v>
      </c>
      <c r="BT359" t="str">
        <f>HYPERLINK("https%3A%2F%2Fwww.webofscience.com%2Fwos%2Fwoscc%2Ffull-record%2FWOS:001058981700001","View Full Record in Web of Science")</f>
        <v>View Full Record in Web of Science</v>
      </c>
    </row>
    <row r="360" spans="1:72" x14ac:dyDescent="0.15">
      <c r="A360" t="s">
        <v>72</v>
      </c>
      <c r="B360" t="s">
        <v>6486</v>
      </c>
      <c r="C360" t="s">
        <v>74</v>
      </c>
      <c r="D360" t="s">
        <v>74</v>
      </c>
      <c r="E360" t="s">
        <v>74</v>
      </c>
      <c r="F360" t="s">
        <v>6487</v>
      </c>
      <c r="G360" t="s">
        <v>74</v>
      </c>
      <c r="H360" t="s">
        <v>74</v>
      </c>
      <c r="I360" t="s">
        <v>6488</v>
      </c>
      <c r="J360" t="s">
        <v>6304</v>
      </c>
      <c r="K360" t="s">
        <v>74</v>
      </c>
      <c r="L360" t="s">
        <v>74</v>
      </c>
      <c r="M360" t="s">
        <v>78</v>
      </c>
      <c r="N360" t="s">
        <v>79</v>
      </c>
      <c r="O360" t="s">
        <v>74</v>
      </c>
      <c r="P360" t="s">
        <v>74</v>
      </c>
      <c r="Q360" t="s">
        <v>74</v>
      </c>
      <c r="R360" t="s">
        <v>74</v>
      </c>
      <c r="S360" t="s">
        <v>74</v>
      </c>
      <c r="T360" t="s">
        <v>6489</v>
      </c>
      <c r="U360" t="s">
        <v>6490</v>
      </c>
      <c r="V360" t="s">
        <v>6491</v>
      </c>
      <c r="W360" t="s">
        <v>6492</v>
      </c>
      <c r="X360" t="s">
        <v>1715</v>
      </c>
      <c r="Y360" t="s">
        <v>6493</v>
      </c>
      <c r="Z360" t="s">
        <v>6494</v>
      </c>
      <c r="AA360" t="s">
        <v>74</v>
      </c>
      <c r="AB360" t="s">
        <v>74</v>
      </c>
      <c r="AC360" t="s">
        <v>6495</v>
      </c>
      <c r="AD360" t="s">
        <v>6496</v>
      </c>
      <c r="AE360" t="s">
        <v>6497</v>
      </c>
      <c r="AF360" t="s">
        <v>74</v>
      </c>
      <c r="AG360">
        <v>56</v>
      </c>
      <c r="AH360">
        <v>0</v>
      </c>
      <c r="AI360">
        <v>0</v>
      </c>
      <c r="AJ360">
        <v>5</v>
      </c>
      <c r="AK360">
        <v>5</v>
      </c>
      <c r="AL360" t="s">
        <v>173</v>
      </c>
      <c r="AM360" t="s">
        <v>121</v>
      </c>
      <c r="AN360" t="s">
        <v>174</v>
      </c>
      <c r="AO360" t="s">
        <v>6314</v>
      </c>
      <c r="AP360" t="s">
        <v>6315</v>
      </c>
      <c r="AQ360" t="s">
        <v>74</v>
      </c>
      <c r="AR360" t="s">
        <v>6316</v>
      </c>
      <c r="AS360" t="s">
        <v>6317</v>
      </c>
      <c r="AT360" t="s">
        <v>6264</v>
      </c>
      <c r="AU360">
        <v>2023</v>
      </c>
      <c r="AV360">
        <v>234</v>
      </c>
      <c r="AW360" t="s">
        <v>74</v>
      </c>
      <c r="AX360" t="s">
        <v>74</v>
      </c>
      <c r="AY360" t="s">
        <v>74</v>
      </c>
      <c r="AZ360" t="s">
        <v>74</v>
      </c>
      <c r="BA360" t="s">
        <v>74</v>
      </c>
      <c r="BB360" t="s">
        <v>74</v>
      </c>
      <c r="BC360" t="s">
        <v>74</v>
      </c>
      <c r="BD360">
        <v>121226</v>
      </c>
      <c r="BE360" t="s">
        <v>6498</v>
      </c>
      <c r="BF360" t="str">
        <f>HYPERLINK("http://dx.doi.org/10.1016/j.applthermaleng.2023.121226","http://dx.doi.org/10.1016/j.applthermaleng.2023.121226")</f>
        <v>http://dx.doi.org/10.1016/j.applthermaleng.2023.121226</v>
      </c>
      <c r="BG360" t="s">
        <v>74</v>
      </c>
      <c r="BH360" t="s">
        <v>74</v>
      </c>
      <c r="BI360">
        <v>14</v>
      </c>
      <c r="BJ360" t="s">
        <v>6319</v>
      </c>
      <c r="BK360" t="s">
        <v>100</v>
      </c>
      <c r="BL360" t="s">
        <v>6320</v>
      </c>
      <c r="BM360" t="s">
        <v>6499</v>
      </c>
      <c r="BN360" t="s">
        <v>74</v>
      </c>
      <c r="BO360" t="s">
        <v>74</v>
      </c>
      <c r="BP360" t="s">
        <v>74</v>
      </c>
      <c r="BQ360" t="s">
        <v>74</v>
      </c>
      <c r="BR360" t="s">
        <v>104</v>
      </c>
      <c r="BS360" t="s">
        <v>6500</v>
      </c>
      <c r="BT360" t="str">
        <f>HYPERLINK("https%3A%2F%2Fwww.webofscience.com%2Fwos%2Fwoscc%2Ffull-record%2FWOS:001051033100001","View Full Record in Web of Science")</f>
        <v>View Full Record in Web of Science</v>
      </c>
    </row>
    <row r="361" spans="1:72" x14ac:dyDescent="0.15">
      <c r="A361" t="s">
        <v>72</v>
      </c>
      <c r="B361" t="s">
        <v>6501</v>
      </c>
      <c r="C361" t="s">
        <v>74</v>
      </c>
      <c r="D361" t="s">
        <v>74</v>
      </c>
      <c r="E361" t="s">
        <v>74</v>
      </c>
      <c r="F361" t="s">
        <v>6502</v>
      </c>
      <c r="G361" t="s">
        <v>74</v>
      </c>
      <c r="H361" t="s">
        <v>74</v>
      </c>
      <c r="I361" t="s">
        <v>6503</v>
      </c>
      <c r="J361" t="s">
        <v>6304</v>
      </c>
      <c r="K361" t="s">
        <v>74</v>
      </c>
      <c r="L361" t="s">
        <v>74</v>
      </c>
      <c r="M361" t="s">
        <v>78</v>
      </c>
      <c r="N361" t="s">
        <v>79</v>
      </c>
      <c r="O361" t="s">
        <v>74</v>
      </c>
      <c r="P361" t="s">
        <v>74</v>
      </c>
      <c r="Q361" t="s">
        <v>74</v>
      </c>
      <c r="R361" t="s">
        <v>74</v>
      </c>
      <c r="S361" t="s">
        <v>74</v>
      </c>
      <c r="T361" t="s">
        <v>6504</v>
      </c>
      <c r="U361" t="s">
        <v>6505</v>
      </c>
      <c r="V361" t="s">
        <v>6506</v>
      </c>
      <c r="W361" t="s">
        <v>6507</v>
      </c>
      <c r="X361" t="s">
        <v>6508</v>
      </c>
      <c r="Y361" t="s">
        <v>6509</v>
      </c>
      <c r="Z361" t="s">
        <v>6510</v>
      </c>
      <c r="AA361" t="s">
        <v>74</v>
      </c>
      <c r="AB361" t="s">
        <v>74</v>
      </c>
      <c r="AC361" t="s">
        <v>74</v>
      </c>
      <c r="AD361" t="s">
        <v>74</v>
      </c>
      <c r="AE361" t="s">
        <v>74</v>
      </c>
      <c r="AF361" t="s">
        <v>74</v>
      </c>
      <c r="AG361">
        <v>34</v>
      </c>
      <c r="AH361">
        <v>0</v>
      </c>
      <c r="AI361">
        <v>0</v>
      </c>
      <c r="AJ361">
        <v>2</v>
      </c>
      <c r="AK361">
        <v>2</v>
      </c>
      <c r="AL361" t="s">
        <v>173</v>
      </c>
      <c r="AM361" t="s">
        <v>121</v>
      </c>
      <c r="AN361" t="s">
        <v>174</v>
      </c>
      <c r="AO361" t="s">
        <v>6314</v>
      </c>
      <c r="AP361" t="s">
        <v>6315</v>
      </c>
      <c r="AQ361" t="s">
        <v>74</v>
      </c>
      <c r="AR361" t="s">
        <v>6316</v>
      </c>
      <c r="AS361" t="s">
        <v>6317</v>
      </c>
      <c r="AT361" t="s">
        <v>6264</v>
      </c>
      <c r="AU361">
        <v>2023</v>
      </c>
      <c r="AV361">
        <v>234</v>
      </c>
      <c r="AW361" t="s">
        <v>74</v>
      </c>
      <c r="AX361" t="s">
        <v>74</v>
      </c>
      <c r="AY361" t="s">
        <v>74</v>
      </c>
      <c r="AZ361" t="s">
        <v>74</v>
      </c>
      <c r="BA361" t="s">
        <v>74</v>
      </c>
      <c r="BB361" t="s">
        <v>74</v>
      </c>
      <c r="BC361" t="s">
        <v>74</v>
      </c>
      <c r="BD361">
        <v>121141</v>
      </c>
      <c r="BE361" t="s">
        <v>6511</v>
      </c>
      <c r="BF361" t="str">
        <f>HYPERLINK("http://dx.doi.org/10.1016/j.applthermaleng.2023.121141","http://dx.doi.org/10.1016/j.applthermaleng.2023.121141")</f>
        <v>http://dx.doi.org/10.1016/j.applthermaleng.2023.121141</v>
      </c>
      <c r="BG361" t="s">
        <v>74</v>
      </c>
      <c r="BH361" t="s">
        <v>74</v>
      </c>
      <c r="BI361">
        <v>16</v>
      </c>
      <c r="BJ361" t="s">
        <v>6319</v>
      </c>
      <c r="BK361" t="s">
        <v>100</v>
      </c>
      <c r="BL361" t="s">
        <v>6320</v>
      </c>
      <c r="BM361" t="s">
        <v>6512</v>
      </c>
      <c r="BN361" t="s">
        <v>74</v>
      </c>
      <c r="BO361" t="s">
        <v>74</v>
      </c>
      <c r="BP361" t="s">
        <v>74</v>
      </c>
      <c r="BQ361" t="s">
        <v>74</v>
      </c>
      <c r="BR361" t="s">
        <v>104</v>
      </c>
      <c r="BS361" t="s">
        <v>6513</v>
      </c>
      <c r="BT361" t="str">
        <f>HYPERLINK("https%3A%2F%2Fwww.webofscience.com%2Fwos%2Fwoscc%2Ffull-record%2FWOS:001069709000001","View Full Record in Web of Science")</f>
        <v>View Full Record in Web of Science</v>
      </c>
    </row>
    <row r="362" spans="1:72" x14ac:dyDescent="0.15">
      <c r="A362" t="s">
        <v>72</v>
      </c>
      <c r="B362" t="s">
        <v>6514</v>
      </c>
      <c r="C362" t="s">
        <v>74</v>
      </c>
      <c r="D362" t="s">
        <v>74</v>
      </c>
      <c r="E362" t="s">
        <v>74</v>
      </c>
      <c r="F362" t="s">
        <v>6515</v>
      </c>
      <c r="G362" t="s">
        <v>74</v>
      </c>
      <c r="H362" t="s">
        <v>74</v>
      </c>
      <c r="I362" t="s">
        <v>6516</v>
      </c>
      <c r="J362" t="s">
        <v>5796</v>
      </c>
      <c r="K362" t="s">
        <v>74</v>
      </c>
      <c r="L362" t="s">
        <v>74</v>
      </c>
      <c r="M362" t="s">
        <v>78</v>
      </c>
      <c r="N362" t="s">
        <v>79</v>
      </c>
      <c r="O362" t="s">
        <v>74</v>
      </c>
      <c r="P362" t="s">
        <v>74</v>
      </c>
      <c r="Q362" t="s">
        <v>74</v>
      </c>
      <c r="R362" t="s">
        <v>74</v>
      </c>
      <c r="S362" t="s">
        <v>74</v>
      </c>
      <c r="T362" t="s">
        <v>6517</v>
      </c>
      <c r="U362" t="s">
        <v>6518</v>
      </c>
      <c r="V362" t="s">
        <v>6519</v>
      </c>
      <c r="W362" t="s">
        <v>6520</v>
      </c>
      <c r="X362" t="s">
        <v>6521</v>
      </c>
      <c r="Y362" t="s">
        <v>6522</v>
      </c>
      <c r="Z362" t="s">
        <v>6523</v>
      </c>
      <c r="AA362" t="s">
        <v>6524</v>
      </c>
      <c r="AB362" t="s">
        <v>6525</v>
      </c>
      <c r="AC362" t="s">
        <v>6526</v>
      </c>
      <c r="AD362" t="s">
        <v>6527</v>
      </c>
      <c r="AE362" t="s">
        <v>6528</v>
      </c>
      <c r="AF362" t="s">
        <v>74</v>
      </c>
      <c r="AG362">
        <v>54</v>
      </c>
      <c r="AH362">
        <v>0</v>
      </c>
      <c r="AI362">
        <v>0</v>
      </c>
      <c r="AJ362">
        <v>16</v>
      </c>
      <c r="AK362">
        <v>16</v>
      </c>
      <c r="AL362" t="s">
        <v>90</v>
      </c>
      <c r="AM362" t="s">
        <v>91</v>
      </c>
      <c r="AN362" t="s">
        <v>92</v>
      </c>
      <c r="AO362" t="s">
        <v>5807</v>
      </c>
      <c r="AP362" t="s">
        <v>5808</v>
      </c>
      <c r="AQ362" t="s">
        <v>74</v>
      </c>
      <c r="AR362" t="s">
        <v>5809</v>
      </c>
      <c r="AS362" t="s">
        <v>5810</v>
      </c>
      <c r="AT362" t="s">
        <v>6264</v>
      </c>
      <c r="AU362">
        <v>2023</v>
      </c>
      <c r="AV362">
        <v>685</v>
      </c>
      <c r="AW362" t="s">
        <v>74</v>
      </c>
      <c r="AX362" t="s">
        <v>74</v>
      </c>
      <c r="AY362" t="s">
        <v>74</v>
      </c>
      <c r="AZ362" t="s">
        <v>74</v>
      </c>
      <c r="BA362" t="s">
        <v>74</v>
      </c>
      <c r="BB362" t="s">
        <v>74</v>
      </c>
      <c r="BC362" t="s">
        <v>74</v>
      </c>
      <c r="BD362">
        <v>121899</v>
      </c>
      <c r="BE362" t="s">
        <v>6529</v>
      </c>
      <c r="BF362" t="str">
        <f>HYPERLINK("http://dx.doi.org/10.1016/j.memsci.2023.121899","http://dx.doi.org/10.1016/j.memsci.2023.121899")</f>
        <v>http://dx.doi.org/10.1016/j.memsci.2023.121899</v>
      </c>
      <c r="BG362" t="s">
        <v>74</v>
      </c>
      <c r="BH362" t="s">
        <v>74</v>
      </c>
      <c r="BI362">
        <v>12</v>
      </c>
      <c r="BJ362" t="s">
        <v>5812</v>
      </c>
      <c r="BK362" t="s">
        <v>100</v>
      </c>
      <c r="BL362" t="s">
        <v>5813</v>
      </c>
      <c r="BM362" t="s">
        <v>6530</v>
      </c>
      <c r="BN362" t="s">
        <v>74</v>
      </c>
      <c r="BO362" t="s">
        <v>74</v>
      </c>
      <c r="BP362" t="s">
        <v>74</v>
      </c>
      <c r="BQ362" t="s">
        <v>74</v>
      </c>
      <c r="BR362" t="s">
        <v>104</v>
      </c>
      <c r="BS362" t="s">
        <v>6531</v>
      </c>
      <c r="BT362" t="str">
        <f>HYPERLINK("https%3A%2F%2Fwww.webofscience.com%2Fwos%2Fwoscc%2Ffull-record%2FWOS:001044128200001","View Full Record in Web of Science")</f>
        <v>View Full Record in Web of Science</v>
      </c>
    </row>
    <row r="363" spans="1:72" x14ac:dyDescent="0.15">
      <c r="A363" t="s">
        <v>72</v>
      </c>
      <c r="B363" t="s">
        <v>6532</v>
      </c>
      <c r="C363" t="s">
        <v>74</v>
      </c>
      <c r="D363" t="s">
        <v>74</v>
      </c>
      <c r="E363" t="s">
        <v>74</v>
      </c>
      <c r="F363" t="s">
        <v>6533</v>
      </c>
      <c r="G363" t="s">
        <v>74</v>
      </c>
      <c r="H363" t="s">
        <v>74</v>
      </c>
      <c r="I363" t="s">
        <v>6534</v>
      </c>
      <c r="J363" t="s">
        <v>5192</v>
      </c>
      <c r="K363" t="s">
        <v>74</v>
      </c>
      <c r="L363" t="s">
        <v>74</v>
      </c>
      <c r="M363" t="s">
        <v>78</v>
      </c>
      <c r="N363" t="s">
        <v>79</v>
      </c>
      <c r="O363" t="s">
        <v>74</v>
      </c>
      <c r="P363" t="s">
        <v>74</v>
      </c>
      <c r="Q363" t="s">
        <v>74</v>
      </c>
      <c r="R363" t="s">
        <v>74</v>
      </c>
      <c r="S363" t="s">
        <v>74</v>
      </c>
      <c r="T363" t="s">
        <v>6535</v>
      </c>
      <c r="U363" t="s">
        <v>6536</v>
      </c>
      <c r="V363" t="s">
        <v>6537</v>
      </c>
      <c r="W363" t="s">
        <v>6538</v>
      </c>
      <c r="X363" t="s">
        <v>6539</v>
      </c>
      <c r="Y363" t="s">
        <v>6540</v>
      </c>
      <c r="Z363" t="s">
        <v>6541</v>
      </c>
      <c r="AA363" t="s">
        <v>74</v>
      </c>
      <c r="AB363" t="s">
        <v>74</v>
      </c>
      <c r="AC363" t="s">
        <v>6542</v>
      </c>
      <c r="AD363" t="s">
        <v>6543</v>
      </c>
      <c r="AE363" t="s">
        <v>6544</v>
      </c>
      <c r="AF363" t="s">
        <v>74</v>
      </c>
      <c r="AG363">
        <v>49</v>
      </c>
      <c r="AH363">
        <v>0</v>
      </c>
      <c r="AI363">
        <v>0</v>
      </c>
      <c r="AJ363">
        <v>0</v>
      </c>
      <c r="AK363">
        <v>0</v>
      </c>
      <c r="AL363" t="s">
        <v>90</v>
      </c>
      <c r="AM363" t="s">
        <v>91</v>
      </c>
      <c r="AN363" t="s">
        <v>92</v>
      </c>
      <c r="AO363" t="s">
        <v>5203</v>
      </c>
      <c r="AP363" t="s">
        <v>5204</v>
      </c>
      <c r="AQ363" t="s">
        <v>74</v>
      </c>
      <c r="AR363" t="s">
        <v>5205</v>
      </c>
      <c r="AS363" t="s">
        <v>5206</v>
      </c>
      <c r="AT363" t="s">
        <v>6264</v>
      </c>
      <c r="AU363">
        <v>2023</v>
      </c>
      <c r="AV363">
        <v>676</v>
      </c>
      <c r="AW363" t="s">
        <v>74</v>
      </c>
      <c r="AX363" t="s">
        <v>337</v>
      </c>
      <c r="AY363" t="s">
        <v>74</v>
      </c>
      <c r="AZ363" t="s">
        <v>74</v>
      </c>
      <c r="BA363" t="s">
        <v>74</v>
      </c>
      <c r="BB363" t="s">
        <v>74</v>
      </c>
      <c r="BC363" t="s">
        <v>74</v>
      </c>
      <c r="BD363">
        <v>132212</v>
      </c>
      <c r="BE363" t="s">
        <v>6545</v>
      </c>
      <c r="BF363" t="str">
        <f>HYPERLINK("http://dx.doi.org/10.1016/j.colsurfa.2023.132212","http://dx.doi.org/10.1016/j.colsurfa.2023.132212")</f>
        <v>http://dx.doi.org/10.1016/j.colsurfa.2023.132212</v>
      </c>
      <c r="BG363" t="s">
        <v>74</v>
      </c>
      <c r="BH363" t="s">
        <v>74</v>
      </c>
      <c r="BI363">
        <v>8</v>
      </c>
      <c r="BJ363" t="s">
        <v>394</v>
      </c>
      <c r="BK363" t="s">
        <v>100</v>
      </c>
      <c r="BL363" t="s">
        <v>395</v>
      </c>
      <c r="BM363" t="s">
        <v>6546</v>
      </c>
      <c r="BN363" t="s">
        <v>74</v>
      </c>
      <c r="BO363" t="s">
        <v>74</v>
      </c>
      <c r="BP363" t="s">
        <v>74</v>
      </c>
      <c r="BQ363" t="s">
        <v>74</v>
      </c>
      <c r="BR363" t="s">
        <v>104</v>
      </c>
      <c r="BS363" t="s">
        <v>6547</v>
      </c>
      <c r="BT363" t="str">
        <f>HYPERLINK("https%3A%2F%2Fwww.webofscience.com%2Fwos%2Fwoscc%2Ffull-record%2FWOS:001073037700001","View Full Record in Web of Science")</f>
        <v>View Full Record in Web of Science</v>
      </c>
    </row>
    <row r="364" spans="1:72" x14ac:dyDescent="0.15">
      <c r="A364" t="s">
        <v>72</v>
      </c>
      <c r="B364" t="s">
        <v>6548</v>
      </c>
      <c r="C364" t="s">
        <v>74</v>
      </c>
      <c r="D364" t="s">
        <v>74</v>
      </c>
      <c r="E364" t="s">
        <v>74</v>
      </c>
      <c r="F364" t="s">
        <v>6549</v>
      </c>
      <c r="G364" t="s">
        <v>74</v>
      </c>
      <c r="H364" t="s">
        <v>74</v>
      </c>
      <c r="I364" t="s">
        <v>6550</v>
      </c>
      <c r="J364" t="s">
        <v>5192</v>
      </c>
      <c r="K364" t="s">
        <v>74</v>
      </c>
      <c r="L364" t="s">
        <v>74</v>
      </c>
      <c r="M364" t="s">
        <v>78</v>
      </c>
      <c r="N364" t="s">
        <v>79</v>
      </c>
      <c r="O364" t="s">
        <v>74</v>
      </c>
      <c r="P364" t="s">
        <v>74</v>
      </c>
      <c r="Q364" t="s">
        <v>74</v>
      </c>
      <c r="R364" t="s">
        <v>74</v>
      </c>
      <c r="S364" t="s">
        <v>74</v>
      </c>
      <c r="T364" t="s">
        <v>6551</v>
      </c>
      <c r="U364" t="s">
        <v>6552</v>
      </c>
      <c r="V364" t="s">
        <v>6553</v>
      </c>
      <c r="W364" t="s">
        <v>6554</v>
      </c>
      <c r="X364" t="s">
        <v>6555</v>
      </c>
      <c r="Y364" t="s">
        <v>6556</v>
      </c>
      <c r="Z364" t="s">
        <v>6557</v>
      </c>
      <c r="AA364" t="s">
        <v>74</v>
      </c>
      <c r="AB364" t="s">
        <v>74</v>
      </c>
      <c r="AC364" t="s">
        <v>6558</v>
      </c>
      <c r="AD364" t="s">
        <v>6559</v>
      </c>
      <c r="AE364" t="s">
        <v>6560</v>
      </c>
      <c r="AF364" t="s">
        <v>74</v>
      </c>
      <c r="AG364">
        <v>55</v>
      </c>
      <c r="AH364">
        <v>0</v>
      </c>
      <c r="AI364">
        <v>0</v>
      </c>
      <c r="AJ364">
        <v>11</v>
      </c>
      <c r="AK364">
        <v>11</v>
      </c>
      <c r="AL364" t="s">
        <v>90</v>
      </c>
      <c r="AM364" t="s">
        <v>91</v>
      </c>
      <c r="AN364" t="s">
        <v>92</v>
      </c>
      <c r="AO364" t="s">
        <v>5203</v>
      </c>
      <c r="AP364" t="s">
        <v>5204</v>
      </c>
      <c r="AQ364" t="s">
        <v>74</v>
      </c>
      <c r="AR364" t="s">
        <v>5205</v>
      </c>
      <c r="AS364" t="s">
        <v>5206</v>
      </c>
      <c r="AT364" t="s">
        <v>6264</v>
      </c>
      <c r="AU364">
        <v>2023</v>
      </c>
      <c r="AV364">
        <v>676</v>
      </c>
      <c r="AW364" t="s">
        <v>74</v>
      </c>
      <c r="AX364" t="s">
        <v>337</v>
      </c>
      <c r="AY364" t="s">
        <v>74</v>
      </c>
      <c r="AZ364" t="s">
        <v>74</v>
      </c>
      <c r="BA364" t="s">
        <v>74</v>
      </c>
      <c r="BB364" t="s">
        <v>74</v>
      </c>
      <c r="BC364" t="s">
        <v>74</v>
      </c>
      <c r="BD364">
        <v>132073</v>
      </c>
      <c r="BE364" t="s">
        <v>6561</v>
      </c>
      <c r="BF364" t="str">
        <f>HYPERLINK("http://dx.doi.org/10.1016/j.colsurfa.2023.132073","http://dx.doi.org/10.1016/j.colsurfa.2023.132073")</f>
        <v>http://dx.doi.org/10.1016/j.colsurfa.2023.132073</v>
      </c>
      <c r="BG364" t="s">
        <v>74</v>
      </c>
      <c r="BH364" t="s">
        <v>74</v>
      </c>
      <c r="BI364">
        <v>13</v>
      </c>
      <c r="BJ364" t="s">
        <v>394</v>
      </c>
      <c r="BK364" t="s">
        <v>100</v>
      </c>
      <c r="BL364" t="s">
        <v>395</v>
      </c>
      <c r="BM364" t="s">
        <v>6562</v>
      </c>
      <c r="BN364" t="s">
        <v>74</v>
      </c>
      <c r="BO364" t="s">
        <v>74</v>
      </c>
      <c r="BP364" t="s">
        <v>74</v>
      </c>
      <c r="BQ364" t="s">
        <v>74</v>
      </c>
      <c r="BR364" t="s">
        <v>104</v>
      </c>
      <c r="BS364" t="s">
        <v>6563</v>
      </c>
      <c r="BT364" t="str">
        <f>HYPERLINK("https%3A%2F%2Fwww.webofscience.com%2Fwos%2Fwoscc%2Ffull-record%2FWOS:001054403700001","View Full Record in Web of Science")</f>
        <v>View Full Record in Web of Science</v>
      </c>
    </row>
    <row r="365" spans="1:72" x14ac:dyDescent="0.15">
      <c r="A365" t="s">
        <v>72</v>
      </c>
      <c r="B365" t="s">
        <v>6564</v>
      </c>
      <c r="C365" t="s">
        <v>74</v>
      </c>
      <c r="D365" t="s">
        <v>74</v>
      </c>
      <c r="E365" t="s">
        <v>74</v>
      </c>
      <c r="F365" t="s">
        <v>6565</v>
      </c>
      <c r="G365" t="s">
        <v>74</v>
      </c>
      <c r="H365" t="s">
        <v>74</v>
      </c>
      <c r="I365" t="s">
        <v>6566</v>
      </c>
      <c r="J365" t="s">
        <v>6567</v>
      </c>
      <c r="K365" t="s">
        <v>74</v>
      </c>
      <c r="L365" t="s">
        <v>74</v>
      </c>
      <c r="M365" t="s">
        <v>78</v>
      </c>
      <c r="N365" t="s">
        <v>79</v>
      </c>
      <c r="O365" t="s">
        <v>74</v>
      </c>
      <c r="P365" t="s">
        <v>74</v>
      </c>
      <c r="Q365" t="s">
        <v>74</v>
      </c>
      <c r="R365" t="s">
        <v>74</v>
      </c>
      <c r="S365" t="s">
        <v>74</v>
      </c>
      <c r="T365" t="s">
        <v>6568</v>
      </c>
      <c r="U365" t="s">
        <v>6569</v>
      </c>
      <c r="V365" t="s">
        <v>6570</v>
      </c>
      <c r="W365" t="s">
        <v>6571</v>
      </c>
      <c r="X365" t="s">
        <v>6572</v>
      </c>
      <c r="Y365" t="s">
        <v>6573</v>
      </c>
      <c r="Z365" t="s">
        <v>6574</v>
      </c>
      <c r="AA365" t="s">
        <v>74</v>
      </c>
      <c r="AB365" t="s">
        <v>74</v>
      </c>
      <c r="AC365" t="s">
        <v>6575</v>
      </c>
      <c r="AD365" t="s">
        <v>6576</v>
      </c>
      <c r="AE365" t="s">
        <v>6577</v>
      </c>
      <c r="AF365" t="s">
        <v>74</v>
      </c>
      <c r="AG365">
        <v>49</v>
      </c>
      <c r="AH365">
        <v>0</v>
      </c>
      <c r="AI365">
        <v>0</v>
      </c>
      <c r="AJ365">
        <v>0</v>
      </c>
      <c r="AK365">
        <v>0</v>
      </c>
      <c r="AL365" t="s">
        <v>120</v>
      </c>
      <c r="AM365" t="s">
        <v>121</v>
      </c>
      <c r="AN365" t="s">
        <v>122</v>
      </c>
      <c r="AO365" t="s">
        <v>6578</v>
      </c>
      <c r="AP365" t="s">
        <v>6579</v>
      </c>
      <c r="AQ365" t="s">
        <v>74</v>
      </c>
      <c r="AR365" t="s">
        <v>6580</v>
      </c>
      <c r="AS365" t="s">
        <v>6581</v>
      </c>
      <c r="AT365" t="s">
        <v>6582</v>
      </c>
      <c r="AU365">
        <v>2023</v>
      </c>
      <c r="AV365">
        <v>403</v>
      </c>
      <c r="AW365" t="s">
        <v>74</v>
      </c>
      <c r="AX365" t="s">
        <v>74</v>
      </c>
      <c r="AY365" t="s">
        <v>74</v>
      </c>
      <c r="AZ365" t="s">
        <v>74</v>
      </c>
      <c r="BA365" t="s">
        <v>74</v>
      </c>
      <c r="BB365" t="s">
        <v>74</v>
      </c>
      <c r="BC365" t="s">
        <v>74</v>
      </c>
      <c r="BD365">
        <v>133037</v>
      </c>
      <c r="BE365" t="s">
        <v>6583</v>
      </c>
      <c r="BF365" t="str">
        <f>HYPERLINK("http://dx.doi.org/10.1016/j.conbuildmat.2023.133037","http://dx.doi.org/10.1016/j.conbuildmat.2023.133037")</f>
        <v>http://dx.doi.org/10.1016/j.conbuildmat.2023.133037</v>
      </c>
      <c r="BG365" t="s">
        <v>74</v>
      </c>
      <c r="BH365" t="s">
        <v>74</v>
      </c>
      <c r="BI365">
        <v>11</v>
      </c>
      <c r="BJ365" t="s">
        <v>2648</v>
      </c>
      <c r="BK365" t="s">
        <v>100</v>
      </c>
      <c r="BL365" t="s">
        <v>2649</v>
      </c>
      <c r="BM365" t="s">
        <v>6584</v>
      </c>
      <c r="BN365" t="s">
        <v>74</v>
      </c>
      <c r="BO365" t="s">
        <v>74</v>
      </c>
      <c r="BP365" t="s">
        <v>74</v>
      </c>
      <c r="BQ365" t="s">
        <v>74</v>
      </c>
      <c r="BR365" t="s">
        <v>104</v>
      </c>
      <c r="BS365" t="s">
        <v>6585</v>
      </c>
      <c r="BT365" t="str">
        <f>HYPERLINK("https%3A%2F%2Fwww.webofscience.com%2Fwos%2Fwoscc%2Ffull-record%2FWOS:001069083300001","View Full Record in Web of Science")</f>
        <v>View Full Record in Web of Science</v>
      </c>
    </row>
    <row r="366" spans="1:72" x14ac:dyDescent="0.15">
      <c r="A366" t="s">
        <v>72</v>
      </c>
      <c r="B366" t="s">
        <v>6586</v>
      </c>
      <c r="C366" t="s">
        <v>74</v>
      </c>
      <c r="D366" t="s">
        <v>74</v>
      </c>
      <c r="E366" t="s">
        <v>74</v>
      </c>
      <c r="F366" t="s">
        <v>6587</v>
      </c>
      <c r="G366" t="s">
        <v>74</v>
      </c>
      <c r="H366" t="s">
        <v>74</v>
      </c>
      <c r="I366" t="s">
        <v>6588</v>
      </c>
      <c r="J366" t="s">
        <v>6567</v>
      </c>
      <c r="K366" t="s">
        <v>74</v>
      </c>
      <c r="L366" t="s">
        <v>74</v>
      </c>
      <c r="M366" t="s">
        <v>78</v>
      </c>
      <c r="N366" t="s">
        <v>79</v>
      </c>
      <c r="O366" t="s">
        <v>74</v>
      </c>
      <c r="P366" t="s">
        <v>74</v>
      </c>
      <c r="Q366" t="s">
        <v>74</v>
      </c>
      <c r="R366" t="s">
        <v>74</v>
      </c>
      <c r="S366" t="s">
        <v>74</v>
      </c>
      <c r="T366" t="s">
        <v>6589</v>
      </c>
      <c r="U366" t="s">
        <v>6590</v>
      </c>
      <c r="V366" t="s">
        <v>6591</v>
      </c>
      <c r="W366" t="s">
        <v>6592</v>
      </c>
      <c r="X366" t="s">
        <v>4319</v>
      </c>
      <c r="Y366" t="s">
        <v>6593</v>
      </c>
      <c r="Z366" t="s">
        <v>6594</v>
      </c>
      <c r="AA366" t="s">
        <v>74</v>
      </c>
      <c r="AB366" t="s">
        <v>74</v>
      </c>
      <c r="AC366" t="s">
        <v>6595</v>
      </c>
      <c r="AD366" t="s">
        <v>6596</v>
      </c>
      <c r="AE366" t="s">
        <v>6597</v>
      </c>
      <c r="AF366" t="s">
        <v>74</v>
      </c>
      <c r="AG366">
        <v>56</v>
      </c>
      <c r="AH366">
        <v>0</v>
      </c>
      <c r="AI366">
        <v>0</v>
      </c>
      <c r="AJ366">
        <v>0</v>
      </c>
      <c r="AK366">
        <v>0</v>
      </c>
      <c r="AL366" t="s">
        <v>120</v>
      </c>
      <c r="AM366" t="s">
        <v>121</v>
      </c>
      <c r="AN366" t="s">
        <v>122</v>
      </c>
      <c r="AO366" t="s">
        <v>6578</v>
      </c>
      <c r="AP366" t="s">
        <v>6579</v>
      </c>
      <c r="AQ366" t="s">
        <v>74</v>
      </c>
      <c r="AR366" t="s">
        <v>6580</v>
      </c>
      <c r="AS366" t="s">
        <v>6581</v>
      </c>
      <c r="AT366" t="s">
        <v>6582</v>
      </c>
      <c r="AU366">
        <v>2023</v>
      </c>
      <c r="AV366">
        <v>403</v>
      </c>
      <c r="AW366" t="s">
        <v>74</v>
      </c>
      <c r="AX366" t="s">
        <v>74</v>
      </c>
      <c r="AY366" t="s">
        <v>74</v>
      </c>
      <c r="AZ366" t="s">
        <v>74</v>
      </c>
      <c r="BA366" t="s">
        <v>74</v>
      </c>
      <c r="BB366" t="s">
        <v>74</v>
      </c>
      <c r="BC366" t="s">
        <v>74</v>
      </c>
      <c r="BD366">
        <v>133104</v>
      </c>
      <c r="BE366" t="s">
        <v>6598</v>
      </c>
      <c r="BF366" t="str">
        <f>HYPERLINK("http://dx.doi.org/10.1016/j.conbuildmat.2023.133104","http://dx.doi.org/10.1016/j.conbuildmat.2023.133104")</f>
        <v>http://dx.doi.org/10.1016/j.conbuildmat.2023.133104</v>
      </c>
      <c r="BG366" t="s">
        <v>74</v>
      </c>
      <c r="BH366" t="s">
        <v>74</v>
      </c>
      <c r="BI366">
        <v>13</v>
      </c>
      <c r="BJ366" t="s">
        <v>2648</v>
      </c>
      <c r="BK366" t="s">
        <v>100</v>
      </c>
      <c r="BL366" t="s">
        <v>2649</v>
      </c>
      <c r="BM366" t="s">
        <v>6599</v>
      </c>
      <c r="BN366" t="s">
        <v>74</v>
      </c>
      <c r="BO366" t="s">
        <v>74</v>
      </c>
      <c r="BP366" t="s">
        <v>74</v>
      </c>
      <c r="BQ366" t="s">
        <v>74</v>
      </c>
      <c r="BR366" t="s">
        <v>104</v>
      </c>
      <c r="BS366" t="s">
        <v>6600</v>
      </c>
      <c r="BT366" t="str">
        <f>HYPERLINK("https%3A%2F%2Fwww.webofscience.com%2Fwos%2Fwoscc%2Ffull-record%2FWOS:001068914300001","View Full Record in Web of Science")</f>
        <v>View Full Record in Web of Science</v>
      </c>
    </row>
    <row r="367" spans="1:72" x14ac:dyDescent="0.15">
      <c r="A367" t="s">
        <v>72</v>
      </c>
      <c r="B367" t="s">
        <v>6601</v>
      </c>
      <c r="C367" t="s">
        <v>74</v>
      </c>
      <c r="D367" t="s">
        <v>74</v>
      </c>
      <c r="E367" t="s">
        <v>74</v>
      </c>
      <c r="F367" t="s">
        <v>6602</v>
      </c>
      <c r="G367" t="s">
        <v>74</v>
      </c>
      <c r="H367" t="s">
        <v>74</v>
      </c>
      <c r="I367" t="s">
        <v>6603</v>
      </c>
      <c r="J367" t="s">
        <v>6604</v>
      </c>
      <c r="K367" t="s">
        <v>74</v>
      </c>
      <c r="L367" t="s">
        <v>74</v>
      </c>
      <c r="M367" t="s">
        <v>78</v>
      </c>
      <c r="N367" t="s">
        <v>79</v>
      </c>
      <c r="O367" t="s">
        <v>74</v>
      </c>
      <c r="P367" t="s">
        <v>74</v>
      </c>
      <c r="Q367" t="s">
        <v>74</v>
      </c>
      <c r="R367" t="s">
        <v>74</v>
      </c>
      <c r="S367" t="s">
        <v>74</v>
      </c>
      <c r="T367" t="s">
        <v>6605</v>
      </c>
      <c r="U367" t="s">
        <v>6606</v>
      </c>
      <c r="V367" t="s">
        <v>6607</v>
      </c>
      <c r="W367" t="s">
        <v>6608</v>
      </c>
      <c r="X367" t="s">
        <v>6609</v>
      </c>
      <c r="Y367" t="s">
        <v>6610</v>
      </c>
      <c r="Z367" t="s">
        <v>6611</v>
      </c>
      <c r="AA367" t="s">
        <v>6612</v>
      </c>
      <c r="AB367" t="s">
        <v>6613</v>
      </c>
      <c r="AC367" t="s">
        <v>74</v>
      </c>
      <c r="AD367" t="s">
        <v>74</v>
      </c>
      <c r="AE367" t="s">
        <v>74</v>
      </c>
      <c r="AF367" t="s">
        <v>74</v>
      </c>
      <c r="AG367">
        <v>57</v>
      </c>
      <c r="AH367">
        <v>0</v>
      </c>
      <c r="AI367">
        <v>0</v>
      </c>
      <c r="AJ367">
        <v>4</v>
      </c>
      <c r="AK367">
        <v>4</v>
      </c>
      <c r="AL367" t="s">
        <v>147</v>
      </c>
      <c r="AM367" t="s">
        <v>148</v>
      </c>
      <c r="AN367" t="s">
        <v>149</v>
      </c>
      <c r="AO367" t="s">
        <v>6614</v>
      </c>
      <c r="AP367" t="s">
        <v>6615</v>
      </c>
      <c r="AQ367" t="s">
        <v>74</v>
      </c>
      <c r="AR367" t="s">
        <v>6616</v>
      </c>
      <c r="AS367" t="s">
        <v>6617</v>
      </c>
      <c r="AT367" t="s">
        <v>6618</v>
      </c>
      <c r="AU367">
        <v>2023</v>
      </c>
      <c r="AV367">
        <v>90</v>
      </c>
      <c r="AW367" t="s">
        <v>74</v>
      </c>
      <c r="AX367" t="s">
        <v>74</v>
      </c>
      <c r="AY367" t="s">
        <v>74</v>
      </c>
      <c r="AZ367" t="s">
        <v>74</v>
      </c>
      <c r="BA367" t="s">
        <v>74</v>
      </c>
      <c r="BB367" t="s">
        <v>74</v>
      </c>
      <c r="BC367" t="s">
        <v>74</v>
      </c>
      <c r="BD367">
        <v>102806</v>
      </c>
      <c r="BE367" t="s">
        <v>6619</v>
      </c>
      <c r="BF367" t="str">
        <f>HYPERLINK("http://dx.doi.org/10.1016/j.irfa.2023.102806","http://dx.doi.org/10.1016/j.irfa.2023.102806")</f>
        <v>http://dx.doi.org/10.1016/j.irfa.2023.102806</v>
      </c>
      <c r="BG367" t="s">
        <v>74</v>
      </c>
      <c r="BH367" t="s">
        <v>74</v>
      </c>
      <c r="BI367">
        <v>16</v>
      </c>
      <c r="BJ367" t="s">
        <v>2824</v>
      </c>
      <c r="BK367" t="s">
        <v>627</v>
      </c>
      <c r="BL367" t="s">
        <v>628</v>
      </c>
      <c r="BM367" t="s">
        <v>6620</v>
      </c>
      <c r="BN367" t="s">
        <v>74</v>
      </c>
      <c r="BO367" t="s">
        <v>74</v>
      </c>
      <c r="BP367" t="s">
        <v>74</v>
      </c>
      <c r="BQ367" t="s">
        <v>74</v>
      </c>
      <c r="BR367" t="s">
        <v>104</v>
      </c>
      <c r="BS367" t="s">
        <v>6621</v>
      </c>
      <c r="BT367" t="str">
        <f>HYPERLINK("https%3A%2F%2Fwww.webofscience.com%2Fwos%2Fwoscc%2Ffull-record%2FWOS:001063482700001","View Full Record in Web of Science")</f>
        <v>View Full Record in Web of Science</v>
      </c>
    </row>
    <row r="368" spans="1:72" x14ac:dyDescent="0.15">
      <c r="A368" t="s">
        <v>72</v>
      </c>
      <c r="B368" t="s">
        <v>6622</v>
      </c>
      <c r="C368" t="s">
        <v>74</v>
      </c>
      <c r="D368" t="s">
        <v>74</v>
      </c>
      <c r="E368" t="s">
        <v>74</v>
      </c>
      <c r="F368" t="s">
        <v>6623</v>
      </c>
      <c r="G368" t="s">
        <v>74</v>
      </c>
      <c r="H368" t="s">
        <v>74</v>
      </c>
      <c r="I368" t="s">
        <v>6624</v>
      </c>
      <c r="J368" t="s">
        <v>6625</v>
      </c>
      <c r="K368" t="s">
        <v>74</v>
      </c>
      <c r="L368" t="s">
        <v>74</v>
      </c>
      <c r="M368" t="s">
        <v>78</v>
      </c>
      <c r="N368" t="s">
        <v>79</v>
      </c>
      <c r="O368" t="s">
        <v>74</v>
      </c>
      <c r="P368" t="s">
        <v>74</v>
      </c>
      <c r="Q368" t="s">
        <v>74</v>
      </c>
      <c r="R368" t="s">
        <v>74</v>
      </c>
      <c r="S368" t="s">
        <v>74</v>
      </c>
      <c r="T368" t="s">
        <v>6626</v>
      </c>
      <c r="U368" t="s">
        <v>6627</v>
      </c>
      <c r="V368" t="s">
        <v>6628</v>
      </c>
      <c r="W368" t="s">
        <v>6629</v>
      </c>
      <c r="X368" t="s">
        <v>6630</v>
      </c>
      <c r="Y368" t="s">
        <v>6631</v>
      </c>
      <c r="Z368" t="s">
        <v>6632</v>
      </c>
      <c r="AA368" t="s">
        <v>74</v>
      </c>
      <c r="AB368" t="s">
        <v>74</v>
      </c>
      <c r="AC368" t="s">
        <v>74</v>
      </c>
      <c r="AD368" t="s">
        <v>74</v>
      </c>
      <c r="AE368" t="s">
        <v>74</v>
      </c>
      <c r="AF368" t="s">
        <v>74</v>
      </c>
      <c r="AG368">
        <v>84</v>
      </c>
      <c r="AH368">
        <v>0</v>
      </c>
      <c r="AI368">
        <v>0</v>
      </c>
      <c r="AJ368">
        <v>0</v>
      </c>
      <c r="AK368">
        <v>0</v>
      </c>
      <c r="AL368" t="s">
        <v>147</v>
      </c>
      <c r="AM368" t="s">
        <v>148</v>
      </c>
      <c r="AN368" t="s">
        <v>149</v>
      </c>
      <c r="AO368" t="s">
        <v>6633</v>
      </c>
      <c r="AP368" t="s">
        <v>6634</v>
      </c>
      <c r="AQ368" t="s">
        <v>74</v>
      </c>
      <c r="AR368" t="s">
        <v>6635</v>
      </c>
      <c r="AS368" t="s">
        <v>6636</v>
      </c>
      <c r="AT368" t="s">
        <v>6618</v>
      </c>
      <c r="AU368">
        <v>2023</v>
      </c>
      <c r="AV368">
        <v>131</v>
      </c>
      <c r="AW368" t="s">
        <v>74</v>
      </c>
      <c r="AX368" t="s">
        <v>74</v>
      </c>
      <c r="AY368" t="s">
        <v>74</v>
      </c>
      <c r="AZ368" t="s">
        <v>74</v>
      </c>
      <c r="BA368" t="s">
        <v>74</v>
      </c>
      <c r="BB368">
        <v>74</v>
      </c>
      <c r="BC368">
        <v>87</v>
      </c>
      <c r="BD368" t="s">
        <v>74</v>
      </c>
      <c r="BE368" t="s">
        <v>6637</v>
      </c>
      <c r="BF368" t="str">
        <f>HYPERLINK("http://dx.doi.org/10.1016/j.neurobiolaging.2023.07.009","http://dx.doi.org/10.1016/j.neurobiolaging.2023.07.009")</f>
        <v>http://dx.doi.org/10.1016/j.neurobiolaging.2023.07.009</v>
      </c>
      <c r="BG368" t="s">
        <v>74</v>
      </c>
      <c r="BH368" t="s">
        <v>74</v>
      </c>
      <c r="BI368">
        <v>14</v>
      </c>
      <c r="BJ368" t="s">
        <v>6638</v>
      </c>
      <c r="BK368" t="s">
        <v>100</v>
      </c>
      <c r="BL368" t="s">
        <v>6639</v>
      </c>
      <c r="BM368" t="s">
        <v>6640</v>
      </c>
      <c r="BN368">
        <v>37586253</v>
      </c>
      <c r="BO368" t="s">
        <v>74</v>
      </c>
      <c r="BP368" t="s">
        <v>74</v>
      </c>
      <c r="BQ368" t="s">
        <v>74</v>
      </c>
      <c r="BR368" t="s">
        <v>104</v>
      </c>
      <c r="BS368" t="s">
        <v>6641</v>
      </c>
      <c r="BT368" t="str">
        <f>HYPERLINK("https%3A%2F%2Fwww.webofscience.com%2Fwos%2Fwoscc%2Ffull-record%2FWOS:001065929700001","View Full Record in Web of Science")</f>
        <v>View Full Record in Web of Science</v>
      </c>
    </row>
    <row r="369" spans="1:72" x14ac:dyDescent="0.15">
      <c r="A369" t="s">
        <v>72</v>
      </c>
      <c r="B369" t="s">
        <v>6642</v>
      </c>
      <c r="C369" t="s">
        <v>74</v>
      </c>
      <c r="D369" t="s">
        <v>74</v>
      </c>
      <c r="E369" t="s">
        <v>74</v>
      </c>
      <c r="F369" t="s">
        <v>6643</v>
      </c>
      <c r="G369" t="s">
        <v>74</v>
      </c>
      <c r="H369" t="s">
        <v>74</v>
      </c>
      <c r="I369" t="s">
        <v>6644</v>
      </c>
      <c r="J369" t="s">
        <v>6645</v>
      </c>
      <c r="K369" t="s">
        <v>74</v>
      </c>
      <c r="L369" t="s">
        <v>74</v>
      </c>
      <c r="M369" t="s">
        <v>78</v>
      </c>
      <c r="N369" t="s">
        <v>79</v>
      </c>
      <c r="O369" t="s">
        <v>74</v>
      </c>
      <c r="P369" t="s">
        <v>74</v>
      </c>
      <c r="Q369" t="s">
        <v>74</v>
      </c>
      <c r="R369" t="s">
        <v>74</v>
      </c>
      <c r="S369" t="s">
        <v>74</v>
      </c>
      <c r="T369" t="s">
        <v>6646</v>
      </c>
      <c r="U369" t="s">
        <v>6647</v>
      </c>
      <c r="V369" t="s">
        <v>6648</v>
      </c>
      <c r="W369" t="s">
        <v>6649</v>
      </c>
      <c r="X369" t="s">
        <v>6650</v>
      </c>
      <c r="Y369" t="s">
        <v>6651</v>
      </c>
      <c r="Z369" t="s">
        <v>6652</v>
      </c>
      <c r="AA369" t="s">
        <v>74</v>
      </c>
      <c r="AB369" t="s">
        <v>74</v>
      </c>
      <c r="AC369" t="s">
        <v>6653</v>
      </c>
      <c r="AD369" t="s">
        <v>6654</v>
      </c>
      <c r="AE369" t="s">
        <v>6655</v>
      </c>
      <c r="AF369" t="s">
        <v>74</v>
      </c>
      <c r="AG369">
        <v>67</v>
      </c>
      <c r="AH369">
        <v>0</v>
      </c>
      <c r="AI369">
        <v>0</v>
      </c>
      <c r="AJ369">
        <v>0</v>
      </c>
      <c r="AK369">
        <v>0</v>
      </c>
      <c r="AL369" t="s">
        <v>90</v>
      </c>
      <c r="AM369" t="s">
        <v>91</v>
      </c>
      <c r="AN369" t="s">
        <v>92</v>
      </c>
      <c r="AO369" t="s">
        <v>74</v>
      </c>
      <c r="AP369" t="s">
        <v>6656</v>
      </c>
      <c r="AQ369" t="s">
        <v>74</v>
      </c>
      <c r="AR369" t="s">
        <v>6657</v>
      </c>
      <c r="AS369" t="s">
        <v>6658</v>
      </c>
      <c r="AT369" t="s">
        <v>6659</v>
      </c>
      <c r="AU369">
        <v>2023</v>
      </c>
      <c r="AV369">
        <v>78</v>
      </c>
      <c r="AW369" t="s">
        <v>74</v>
      </c>
      <c r="AX369" t="s">
        <v>74</v>
      </c>
      <c r="AY369" t="s">
        <v>74</v>
      </c>
      <c r="AZ369" t="s">
        <v>74</v>
      </c>
      <c r="BA369" t="s">
        <v>74</v>
      </c>
      <c r="BB369" t="s">
        <v>74</v>
      </c>
      <c r="BC369" t="s">
        <v>74</v>
      </c>
      <c r="BD369">
        <v>107574</v>
      </c>
      <c r="BE369" t="s">
        <v>6660</v>
      </c>
      <c r="BF369" t="str">
        <f>HYPERLINK("http://dx.doi.org/10.1016/j.jobe.2023.107574","http://dx.doi.org/10.1016/j.jobe.2023.107574")</f>
        <v>http://dx.doi.org/10.1016/j.jobe.2023.107574</v>
      </c>
      <c r="BG369" t="s">
        <v>74</v>
      </c>
      <c r="BH369" t="s">
        <v>74</v>
      </c>
      <c r="BI369">
        <v>25</v>
      </c>
      <c r="BJ369" t="s">
        <v>3898</v>
      </c>
      <c r="BK369" t="s">
        <v>100</v>
      </c>
      <c r="BL369" t="s">
        <v>3899</v>
      </c>
      <c r="BM369" t="s">
        <v>6661</v>
      </c>
      <c r="BN369" t="s">
        <v>74</v>
      </c>
      <c r="BO369" t="s">
        <v>74</v>
      </c>
      <c r="BP369" t="s">
        <v>74</v>
      </c>
      <c r="BQ369" t="s">
        <v>74</v>
      </c>
      <c r="BR369" t="s">
        <v>104</v>
      </c>
      <c r="BS369" t="s">
        <v>6662</v>
      </c>
      <c r="BT369" t="str">
        <f>HYPERLINK("https%3A%2F%2Fwww.webofscience.com%2Fwos%2Fwoscc%2Ffull-record%2FWOS:001066609400001","View Full Record in Web of Science")</f>
        <v>View Full Record in Web of Science</v>
      </c>
    </row>
    <row r="370" spans="1:72" x14ac:dyDescent="0.15">
      <c r="A370" t="s">
        <v>72</v>
      </c>
      <c r="B370" t="s">
        <v>6663</v>
      </c>
      <c r="C370" t="s">
        <v>74</v>
      </c>
      <c r="D370" t="s">
        <v>74</v>
      </c>
      <c r="E370" t="s">
        <v>74</v>
      </c>
      <c r="F370" t="s">
        <v>6664</v>
      </c>
      <c r="G370" t="s">
        <v>74</v>
      </c>
      <c r="H370" t="s">
        <v>74</v>
      </c>
      <c r="I370" t="s">
        <v>6665</v>
      </c>
      <c r="J370" t="s">
        <v>6666</v>
      </c>
      <c r="K370" t="s">
        <v>74</v>
      </c>
      <c r="L370" t="s">
        <v>74</v>
      </c>
      <c r="M370" t="s">
        <v>78</v>
      </c>
      <c r="N370" t="s">
        <v>79</v>
      </c>
      <c r="O370" t="s">
        <v>74</v>
      </c>
      <c r="P370" t="s">
        <v>74</v>
      </c>
      <c r="Q370" t="s">
        <v>74</v>
      </c>
      <c r="R370" t="s">
        <v>74</v>
      </c>
      <c r="S370" t="s">
        <v>74</v>
      </c>
      <c r="T370" t="s">
        <v>6667</v>
      </c>
      <c r="U370" t="s">
        <v>6668</v>
      </c>
      <c r="V370" t="s">
        <v>6669</v>
      </c>
      <c r="W370" t="s">
        <v>6670</v>
      </c>
      <c r="X370" t="s">
        <v>3872</v>
      </c>
      <c r="Y370" t="s">
        <v>6671</v>
      </c>
      <c r="Z370" t="s">
        <v>6672</v>
      </c>
      <c r="AA370" t="s">
        <v>74</v>
      </c>
      <c r="AB370" t="s">
        <v>6673</v>
      </c>
      <c r="AC370" t="s">
        <v>74</v>
      </c>
      <c r="AD370" t="s">
        <v>74</v>
      </c>
      <c r="AE370" t="s">
        <v>74</v>
      </c>
      <c r="AF370" t="s">
        <v>74</v>
      </c>
      <c r="AG370">
        <v>52</v>
      </c>
      <c r="AH370">
        <v>1</v>
      </c>
      <c r="AI370">
        <v>1</v>
      </c>
      <c r="AJ370">
        <v>8</v>
      </c>
      <c r="AK370">
        <v>8</v>
      </c>
      <c r="AL370" t="s">
        <v>173</v>
      </c>
      <c r="AM370" t="s">
        <v>121</v>
      </c>
      <c r="AN370" t="s">
        <v>174</v>
      </c>
      <c r="AO370" t="s">
        <v>6674</v>
      </c>
      <c r="AP370" t="s">
        <v>6675</v>
      </c>
      <c r="AQ370" t="s">
        <v>74</v>
      </c>
      <c r="AR370" t="s">
        <v>6676</v>
      </c>
      <c r="AS370" t="s">
        <v>6677</v>
      </c>
      <c r="AT370" t="s">
        <v>6618</v>
      </c>
      <c r="AU370">
        <v>2023</v>
      </c>
      <c r="AV370">
        <v>126</v>
      </c>
      <c r="AW370" t="s">
        <v>74</v>
      </c>
      <c r="AX370" t="s">
        <v>337</v>
      </c>
      <c r="AY370" t="s">
        <v>74</v>
      </c>
      <c r="AZ370" t="s">
        <v>74</v>
      </c>
      <c r="BA370" t="s">
        <v>74</v>
      </c>
      <c r="BB370" t="s">
        <v>74</v>
      </c>
      <c r="BC370" t="s">
        <v>74</v>
      </c>
      <c r="BD370">
        <v>106830</v>
      </c>
      <c r="BE370" t="s">
        <v>6678</v>
      </c>
      <c r="BF370" t="str">
        <f>HYPERLINK("http://dx.doi.org/10.1016/j.engappai.2023.106830","http://dx.doi.org/10.1016/j.engappai.2023.106830")</f>
        <v>http://dx.doi.org/10.1016/j.engappai.2023.106830</v>
      </c>
      <c r="BG370" t="s">
        <v>74</v>
      </c>
      <c r="BH370" t="s">
        <v>74</v>
      </c>
      <c r="BI370">
        <v>15</v>
      </c>
      <c r="BJ370" t="s">
        <v>6679</v>
      </c>
      <c r="BK370" t="s">
        <v>100</v>
      </c>
      <c r="BL370" t="s">
        <v>6680</v>
      </c>
      <c r="BM370" t="s">
        <v>6681</v>
      </c>
      <c r="BN370" t="s">
        <v>74</v>
      </c>
      <c r="BO370" t="s">
        <v>74</v>
      </c>
      <c r="BP370" t="s">
        <v>74</v>
      </c>
      <c r="BQ370" t="s">
        <v>74</v>
      </c>
      <c r="BR370" t="s">
        <v>104</v>
      </c>
      <c r="BS370" t="s">
        <v>6682</v>
      </c>
      <c r="BT370" t="str">
        <f>HYPERLINK("https%3A%2F%2Fwww.webofscience.com%2Fwos%2Fwoscc%2Ffull-record%2FWOS:001047549000001","View Full Record in Web of Science")</f>
        <v>View Full Record in Web of Science</v>
      </c>
    </row>
    <row r="371" spans="1:72" x14ac:dyDescent="0.15">
      <c r="A371" t="s">
        <v>72</v>
      </c>
      <c r="B371" t="s">
        <v>6683</v>
      </c>
      <c r="C371" t="s">
        <v>74</v>
      </c>
      <c r="D371" t="s">
        <v>74</v>
      </c>
      <c r="E371" t="s">
        <v>74</v>
      </c>
      <c r="F371" t="s">
        <v>6684</v>
      </c>
      <c r="G371" t="s">
        <v>74</v>
      </c>
      <c r="H371" t="s">
        <v>74</v>
      </c>
      <c r="I371" t="s">
        <v>6685</v>
      </c>
      <c r="J371" t="s">
        <v>6686</v>
      </c>
      <c r="K371" t="s">
        <v>74</v>
      </c>
      <c r="L371" t="s">
        <v>74</v>
      </c>
      <c r="M371" t="s">
        <v>78</v>
      </c>
      <c r="N371" t="s">
        <v>79</v>
      </c>
      <c r="O371" t="s">
        <v>74</v>
      </c>
      <c r="P371" t="s">
        <v>74</v>
      </c>
      <c r="Q371" t="s">
        <v>74</v>
      </c>
      <c r="R371" t="s">
        <v>74</v>
      </c>
      <c r="S371" t="s">
        <v>74</v>
      </c>
      <c r="T371" t="s">
        <v>6687</v>
      </c>
      <c r="U371" t="s">
        <v>6688</v>
      </c>
      <c r="V371" t="s">
        <v>6689</v>
      </c>
      <c r="W371" t="s">
        <v>6690</v>
      </c>
      <c r="X371" t="s">
        <v>6691</v>
      </c>
      <c r="Y371" t="s">
        <v>6692</v>
      </c>
      <c r="Z371" t="s">
        <v>6693</v>
      </c>
      <c r="AA371" t="s">
        <v>6694</v>
      </c>
      <c r="AB371" t="s">
        <v>6695</v>
      </c>
      <c r="AC371" t="s">
        <v>6696</v>
      </c>
      <c r="AD371" t="s">
        <v>6697</v>
      </c>
      <c r="AE371" t="s">
        <v>6698</v>
      </c>
      <c r="AF371" t="s">
        <v>74</v>
      </c>
      <c r="AG371">
        <v>38</v>
      </c>
      <c r="AH371">
        <v>0</v>
      </c>
      <c r="AI371">
        <v>0</v>
      </c>
      <c r="AJ371">
        <v>0</v>
      </c>
      <c r="AK371">
        <v>0</v>
      </c>
      <c r="AL371" t="s">
        <v>147</v>
      </c>
      <c r="AM371" t="s">
        <v>148</v>
      </c>
      <c r="AN371" t="s">
        <v>149</v>
      </c>
      <c r="AO371" t="s">
        <v>6699</v>
      </c>
      <c r="AP371" t="s">
        <v>6700</v>
      </c>
      <c r="AQ371" t="s">
        <v>74</v>
      </c>
      <c r="AR371" t="s">
        <v>6701</v>
      </c>
      <c r="AS371" t="s">
        <v>6702</v>
      </c>
      <c r="AT371" t="s">
        <v>6618</v>
      </c>
      <c r="AU371">
        <v>2023</v>
      </c>
      <c r="AV371">
        <v>103</v>
      </c>
      <c r="AW371" t="s">
        <v>74</v>
      </c>
      <c r="AX371" t="s">
        <v>74</v>
      </c>
      <c r="AY371" t="s">
        <v>74</v>
      </c>
      <c r="AZ371" t="s">
        <v>74</v>
      </c>
      <c r="BA371" t="s">
        <v>74</v>
      </c>
      <c r="BB371">
        <v>208</v>
      </c>
      <c r="BC371">
        <v>215</v>
      </c>
      <c r="BD371" t="s">
        <v>74</v>
      </c>
      <c r="BE371" t="s">
        <v>6703</v>
      </c>
      <c r="BF371" t="str">
        <f>HYPERLINK("http://dx.doi.org/10.1016/j.mri.2023.06.013","http://dx.doi.org/10.1016/j.mri.2023.06.013")</f>
        <v>http://dx.doi.org/10.1016/j.mri.2023.06.013</v>
      </c>
      <c r="BG371" t="s">
        <v>74</v>
      </c>
      <c r="BH371" t="s">
        <v>74</v>
      </c>
      <c r="BI371">
        <v>8</v>
      </c>
      <c r="BJ371" t="s">
        <v>2581</v>
      </c>
      <c r="BK371" t="s">
        <v>100</v>
      </c>
      <c r="BL371" t="s">
        <v>2581</v>
      </c>
      <c r="BM371" t="s">
        <v>6704</v>
      </c>
      <c r="BN371">
        <v>37348741</v>
      </c>
      <c r="BO371" t="s">
        <v>74</v>
      </c>
      <c r="BP371" t="s">
        <v>74</v>
      </c>
      <c r="BQ371" t="s">
        <v>74</v>
      </c>
      <c r="BR371" t="s">
        <v>104</v>
      </c>
      <c r="BS371" t="s">
        <v>6705</v>
      </c>
      <c r="BT371" t="str">
        <f>HYPERLINK("https%3A%2F%2Fwww.webofscience.com%2Fwos%2Fwoscc%2Ffull-record%2FWOS:001065070200001","View Full Record in Web of Science")</f>
        <v>View Full Record in Web of Science</v>
      </c>
    </row>
    <row r="372" spans="1:72" x14ac:dyDescent="0.15">
      <c r="A372" t="s">
        <v>72</v>
      </c>
      <c r="B372" t="s">
        <v>6706</v>
      </c>
      <c r="C372" t="s">
        <v>74</v>
      </c>
      <c r="D372" t="s">
        <v>74</v>
      </c>
      <c r="E372" t="s">
        <v>74</v>
      </c>
      <c r="F372" t="s">
        <v>6707</v>
      </c>
      <c r="G372" t="s">
        <v>74</v>
      </c>
      <c r="H372" t="s">
        <v>74</v>
      </c>
      <c r="I372" t="s">
        <v>6708</v>
      </c>
      <c r="J372" t="s">
        <v>6666</v>
      </c>
      <c r="K372" t="s">
        <v>74</v>
      </c>
      <c r="L372" t="s">
        <v>74</v>
      </c>
      <c r="M372" t="s">
        <v>78</v>
      </c>
      <c r="N372" t="s">
        <v>79</v>
      </c>
      <c r="O372" t="s">
        <v>74</v>
      </c>
      <c r="P372" t="s">
        <v>74</v>
      </c>
      <c r="Q372" t="s">
        <v>74</v>
      </c>
      <c r="R372" t="s">
        <v>74</v>
      </c>
      <c r="S372" t="s">
        <v>74</v>
      </c>
      <c r="T372" t="s">
        <v>6709</v>
      </c>
      <c r="U372" t="s">
        <v>6710</v>
      </c>
      <c r="V372" t="s">
        <v>6711</v>
      </c>
      <c r="W372" t="s">
        <v>6712</v>
      </c>
      <c r="X372" t="s">
        <v>6713</v>
      </c>
      <c r="Y372" t="s">
        <v>6714</v>
      </c>
      <c r="Z372" t="s">
        <v>6715</v>
      </c>
      <c r="AA372" t="s">
        <v>6716</v>
      </c>
      <c r="AB372" t="s">
        <v>74</v>
      </c>
      <c r="AC372" t="s">
        <v>6717</v>
      </c>
      <c r="AD372" t="s">
        <v>753</v>
      </c>
      <c r="AE372" t="s">
        <v>6718</v>
      </c>
      <c r="AF372" t="s">
        <v>74</v>
      </c>
      <c r="AG372">
        <v>35</v>
      </c>
      <c r="AH372">
        <v>0</v>
      </c>
      <c r="AI372">
        <v>0</v>
      </c>
      <c r="AJ372">
        <v>1</v>
      </c>
      <c r="AK372">
        <v>1</v>
      </c>
      <c r="AL372" t="s">
        <v>173</v>
      </c>
      <c r="AM372" t="s">
        <v>121</v>
      </c>
      <c r="AN372" t="s">
        <v>174</v>
      </c>
      <c r="AO372" t="s">
        <v>6674</v>
      </c>
      <c r="AP372" t="s">
        <v>6675</v>
      </c>
      <c r="AQ372" t="s">
        <v>74</v>
      </c>
      <c r="AR372" t="s">
        <v>6676</v>
      </c>
      <c r="AS372" t="s">
        <v>6677</v>
      </c>
      <c r="AT372" t="s">
        <v>6618</v>
      </c>
      <c r="AU372">
        <v>2023</v>
      </c>
      <c r="AV372">
        <v>126</v>
      </c>
      <c r="AW372" t="s">
        <v>74</v>
      </c>
      <c r="AX372" t="s">
        <v>373</v>
      </c>
      <c r="AY372" t="s">
        <v>74</v>
      </c>
      <c r="AZ372" t="s">
        <v>74</v>
      </c>
      <c r="BA372" t="s">
        <v>74</v>
      </c>
      <c r="BB372" t="s">
        <v>74</v>
      </c>
      <c r="BC372" t="s">
        <v>74</v>
      </c>
      <c r="BD372">
        <v>106828</v>
      </c>
      <c r="BE372" t="s">
        <v>6719</v>
      </c>
      <c r="BF372" t="str">
        <f>HYPERLINK("http://dx.doi.org/10.1016/j.engappai.2023.106828","http://dx.doi.org/10.1016/j.engappai.2023.106828")</f>
        <v>http://dx.doi.org/10.1016/j.engappai.2023.106828</v>
      </c>
      <c r="BG372" t="s">
        <v>74</v>
      </c>
      <c r="BH372" t="s">
        <v>74</v>
      </c>
      <c r="BI372">
        <v>10</v>
      </c>
      <c r="BJ372" t="s">
        <v>6679</v>
      </c>
      <c r="BK372" t="s">
        <v>100</v>
      </c>
      <c r="BL372" t="s">
        <v>6680</v>
      </c>
      <c r="BM372" t="s">
        <v>6720</v>
      </c>
      <c r="BN372" t="s">
        <v>74</v>
      </c>
      <c r="BO372" t="s">
        <v>74</v>
      </c>
      <c r="BP372" t="s">
        <v>74</v>
      </c>
      <c r="BQ372" t="s">
        <v>74</v>
      </c>
      <c r="BR372" t="s">
        <v>104</v>
      </c>
      <c r="BS372" t="s">
        <v>6721</v>
      </c>
      <c r="BT372" t="str">
        <f>HYPERLINK("https%3A%2F%2Fwww.webofscience.com%2Fwos%2Fwoscc%2Ffull-record%2FWOS:001057339200001","View Full Record in Web of Science")</f>
        <v>View Full Record in Web of Science</v>
      </c>
    </row>
    <row r="373" spans="1:72" x14ac:dyDescent="0.15">
      <c r="A373" t="s">
        <v>72</v>
      </c>
      <c r="B373" t="s">
        <v>6722</v>
      </c>
      <c r="C373" t="s">
        <v>74</v>
      </c>
      <c r="D373" t="s">
        <v>74</v>
      </c>
      <c r="E373" t="s">
        <v>74</v>
      </c>
      <c r="F373" t="s">
        <v>6723</v>
      </c>
      <c r="G373" t="s">
        <v>74</v>
      </c>
      <c r="H373" t="s">
        <v>74</v>
      </c>
      <c r="I373" t="s">
        <v>6724</v>
      </c>
      <c r="J373" t="s">
        <v>6725</v>
      </c>
      <c r="K373" t="s">
        <v>74</v>
      </c>
      <c r="L373" t="s">
        <v>74</v>
      </c>
      <c r="M373" t="s">
        <v>78</v>
      </c>
      <c r="N373" t="s">
        <v>79</v>
      </c>
      <c r="O373" t="s">
        <v>74</v>
      </c>
      <c r="P373" t="s">
        <v>74</v>
      </c>
      <c r="Q373" t="s">
        <v>74</v>
      </c>
      <c r="R373" t="s">
        <v>74</v>
      </c>
      <c r="S373" t="s">
        <v>74</v>
      </c>
      <c r="T373" t="s">
        <v>6726</v>
      </c>
      <c r="U373" t="s">
        <v>6727</v>
      </c>
      <c r="V373" t="s">
        <v>6728</v>
      </c>
      <c r="W373" t="s">
        <v>6729</v>
      </c>
      <c r="X373" t="s">
        <v>6730</v>
      </c>
      <c r="Y373" t="s">
        <v>6731</v>
      </c>
      <c r="Z373" t="s">
        <v>6732</v>
      </c>
      <c r="AA373" t="s">
        <v>74</v>
      </c>
      <c r="AB373" t="s">
        <v>6733</v>
      </c>
      <c r="AC373" t="s">
        <v>74</v>
      </c>
      <c r="AD373" t="s">
        <v>74</v>
      </c>
      <c r="AE373" t="s">
        <v>74</v>
      </c>
      <c r="AF373" t="s">
        <v>74</v>
      </c>
      <c r="AG373">
        <v>55</v>
      </c>
      <c r="AH373">
        <v>0</v>
      </c>
      <c r="AI373">
        <v>0</v>
      </c>
      <c r="AJ373">
        <v>6</v>
      </c>
      <c r="AK373">
        <v>6</v>
      </c>
      <c r="AL373" t="s">
        <v>120</v>
      </c>
      <c r="AM373" t="s">
        <v>121</v>
      </c>
      <c r="AN373" t="s">
        <v>122</v>
      </c>
      <c r="AO373" t="s">
        <v>6734</v>
      </c>
      <c r="AP373" t="s">
        <v>6735</v>
      </c>
      <c r="AQ373" t="s">
        <v>74</v>
      </c>
      <c r="AR373" t="s">
        <v>6736</v>
      </c>
      <c r="AS373" t="s">
        <v>6737</v>
      </c>
      <c r="AT373" t="s">
        <v>6618</v>
      </c>
      <c r="AU373">
        <v>2023</v>
      </c>
      <c r="AV373">
        <v>182</v>
      </c>
      <c r="AW373" t="s">
        <v>74</v>
      </c>
      <c r="AX373" t="s">
        <v>74</v>
      </c>
      <c r="AY373" t="s">
        <v>74</v>
      </c>
      <c r="AZ373" t="s">
        <v>74</v>
      </c>
      <c r="BA373" t="s">
        <v>74</v>
      </c>
      <c r="BB373" t="s">
        <v>74</v>
      </c>
      <c r="BC373" t="s">
        <v>74</v>
      </c>
      <c r="BD373">
        <v>113767</v>
      </c>
      <c r="BE373" t="s">
        <v>6738</v>
      </c>
      <c r="BF373" t="str">
        <f>HYPERLINK("http://dx.doi.org/10.1016/j.enpol.2023.113767","http://dx.doi.org/10.1016/j.enpol.2023.113767")</f>
        <v>http://dx.doi.org/10.1016/j.enpol.2023.113767</v>
      </c>
      <c r="BG373" t="s">
        <v>74</v>
      </c>
      <c r="BH373" t="s">
        <v>74</v>
      </c>
      <c r="BI373">
        <v>9</v>
      </c>
      <c r="BJ373" t="s">
        <v>6739</v>
      </c>
      <c r="BK373" t="s">
        <v>666</v>
      </c>
      <c r="BL373" t="s">
        <v>6740</v>
      </c>
      <c r="BM373" t="s">
        <v>6741</v>
      </c>
      <c r="BN373" t="s">
        <v>74</v>
      </c>
      <c r="BO373" t="s">
        <v>74</v>
      </c>
      <c r="BP373" t="s">
        <v>74</v>
      </c>
      <c r="BQ373" t="s">
        <v>74</v>
      </c>
      <c r="BR373" t="s">
        <v>104</v>
      </c>
      <c r="BS373" t="s">
        <v>6742</v>
      </c>
      <c r="BT373" t="str">
        <f>HYPERLINK("https%3A%2F%2Fwww.webofscience.com%2Fwos%2Fwoscc%2Ffull-record%2FWOS:001059692500001","View Full Record in Web of Science")</f>
        <v>View Full Record in Web of Science</v>
      </c>
    </row>
    <row r="374" spans="1:72" x14ac:dyDescent="0.15">
      <c r="A374" t="s">
        <v>72</v>
      </c>
      <c r="B374" t="s">
        <v>6743</v>
      </c>
      <c r="C374" t="s">
        <v>74</v>
      </c>
      <c r="D374" t="s">
        <v>74</v>
      </c>
      <c r="E374" t="s">
        <v>74</v>
      </c>
      <c r="F374" t="s">
        <v>6744</v>
      </c>
      <c r="G374" t="s">
        <v>74</v>
      </c>
      <c r="H374" t="s">
        <v>74</v>
      </c>
      <c r="I374" t="s">
        <v>6745</v>
      </c>
      <c r="J374" t="s">
        <v>6746</v>
      </c>
      <c r="K374" t="s">
        <v>74</v>
      </c>
      <c r="L374" t="s">
        <v>74</v>
      </c>
      <c r="M374" t="s">
        <v>78</v>
      </c>
      <c r="N374" t="s">
        <v>79</v>
      </c>
      <c r="O374" t="s">
        <v>74</v>
      </c>
      <c r="P374" t="s">
        <v>74</v>
      </c>
      <c r="Q374" t="s">
        <v>74</v>
      </c>
      <c r="R374" t="s">
        <v>74</v>
      </c>
      <c r="S374" t="s">
        <v>74</v>
      </c>
      <c r="T374" t="s">
        <v>6747</v>
      </c>
      <c r="U374" t="s">
        <v>6748</v>
      </c>
      <c r="V374" t="s">
        <v>6749</v>
      </c>
      <c r="W374" t="s">
        <v>6750</v>
      </c>
      <c r="X374" t="s">
        <v>6751</v>
      </c>
      <c r="Y374" t="s">
        <v>6752</v>
      </c>
      <c r="Z374" t="s">
        <v>6753</v>
      </c>
      <c r="AA374" t="s">
        <v>74</v>
      </c>
      <c r="AB374" t="s">
        <v>6754</v>
      </c>
      <c r="AC374" t="s">
        <v>6755</v>
      </c>
      <c r="AD374" t="s">
        <v>6756</v>
      </c>
      <c r="AE374" t="s">
        <v>6757</v>
      </c>
      <c r="AF374" t="s">
        <v>74</v>
      </c>
      <c r="AG374">
        <v>133</v>
      </c>
      <c r="AH374">
        <v>0</v>
      </c>
      <c r="AI374">
        <v>0</v>
      </c>
      <c r="AJ374">
        <v>4</v>
      </c>
      <c r="AK374">
        <v>4</v>
      </c>
      <c r="AL374" t="s">
        <v>173</v>
      </c>
      <c r="AM374" t="s">
        <v>121</v>
      </c>
      <c r="AN374" t="s">
        <v>174</v>
      </c>
      <c r="AO374" t="s">
        <v>6758</v>
      </c>
      <c r="AP374" t="s">
        <v>6759</v>
      </c>
      <c r="AQ374" t="s">
        <v>74</v>
      </c>
      <c r="AR374" t="s">
        <v>6760</v>
      </c>
      <c r="AS374" t="s">
        <v>6761</v>
      </c>
      <c r="AT374" t="s">
        <v>6618</v>
      </c>
      <c r="AU374">
        <v>2023</v>
      </c>
      <c r="AV374">
        <v>157</v>
      </c>
      <c r="AW374" t="s">
        <v>74</v>
      </c>
      <c r="AX374" t="s">
        <v>74</v>
      </c>
      <c r="AY374" t="s">
        <v>74</v>
      </c>
      <c r="AZ374" t="s">
        <v>74</v>
      </c>
      <c r="BA374" t="s">
        <v>74</v>
      </c>
      <c r="BB374" t="s">
        <v>74</v>
      </c>
      <c r="BC374" t="s">
        <v>74</v>
      </c>
      <c r="BD374">
        <v>106365</v>
      </c>
      <c r="BE374" t="s">
        <v>6762</v>
      </c>
      <c r="BF374" t="str">
        <f>HYPERLINK("http://dx.doi.org/10.1016/j.psyneuen.2023.106365","http://dx.doi.org/10.1016/j.psyneuen.2023.106365")</f>
        <v>http://dx.doi.org/10.1016/j.psyneuen.2023.106365</v>
      </c>
      <c r="BG374" t="s">
        <v>74</v>
      </c>
      <c r="BH374" t="s">
        <v>74</v>
      </c>
      <c r="BI374">
        <v>8</v>
      </c>
      <c r="BJ374" t="s">
        <v>6763</v>
      </c>
      <c r="BK374" t="s">
        <v>100</v>
      </c>
      <c r="BL374" t="s">
        <v>6764</v>
      </c>
      <c r="BM374" t="s">
        <v>6765</v>
      </c>
      <c r="BN374">
        <v>37573628</v>
      </c>
      <c r="BO374" t="s">
        <v>74</v>
      </c>
      <c r="BP374" t="s">
        <v>74</v>
      </c>
      <c r="BQ374" t="s">
        <v>74</v>
      </c>
      <c r="BR374" t="s">
        <v>104</v>
      </c>
      <c r="BS374" t="s">
        <v>6766</v>
      </c>
      <c r="BT374" t="str">
        <f>HYPERLINK("https%3A%2F%2Fwww.webofscience.com%2Fwos%2Fwoscc%2Ffull-record%2FWOS:001062425700001","View Full Record in Web of Science")</f>
        <v>View Full Record in Web of Science</v>
      </c>
    </row>
    <row r="375" spans="1:72" x14ac:dyDescent="0.15">
      <c r="A375" t="s">
        <v>72</v>
      </c>
      <c r="B375" t="s">
        <v>6767</v>
      </c>
      <c r="C375" t="s">
        <v>74</v>
      </c>
      <c r="D375" t="s">
        <v>74</v>
      </c>
      <c r="E375" t="s">
        <v>74</v>
      </c>
      <c r="F375" t="s">
        <v>6768</v>
      </c>
      <c r="G375" t="s">
        <v>74</v>
      </c>
      <c r="H375" t="s">
        <v>74</v>
      </c>
      <c r="I375" t="s">
        <v>6769</v>
      </c>
      <c r="J375" t="s">
        <v>6770</v>
      </c>
      <c r="K375" t="s">
        <v>74</v>
      </c>
      <c r="L375" t="s">
        <v>74</v>
      </c>
      <c r="M375" t="s">
        <v>78</v>
      </c>
      <c r="N375" t="s">
        <v>79</v>
      </c>
      <c r="O375" t="s">
        <v>74</v>
      </c>
      <c r="P375" t="s">
        <v>74</v>
      </c>
      <c r="Q375" t="s">
        <v>74</v>
      </c>
      <c r="R375" t="s">
        <v>74</v>
      </c>
      <c r="S375" t="s">
        <v>74</v>
      </c>
      <c r="T375" t="s">
        <v>6771</v>
      </c>
      <c r="U375" t="s">
        <v>6772</v>
      </c>
      <c r="V375" t="s">
        <v>6773</v>
      </c>
      <c r="W375" t="s">
        <v>6774</v>
      </c>
      <c r="X375" t="s">
        <v>6775</v>
      </c>
      <c r="Y375" t="s">
        <v>6776</v>
      </c>
      <c r="Z375" t="s">
        <v>6777</v>
      </c>
      <c r="AA375" t="s">
        <v>74</v>
      </c>
      <c r="AB375" t="s">
        <v>74</v>
      </c>
      <c r="AC375" t="s">
        <v>6778</v>
      </c>
      <c r="AD375" t="s">
        <v>6779</v>
      </c>
      <c r="AE375" t="s">
        <v>6780</v>
      </c>
      <c r="AF375" t="s">
        <v>74</v>
      </c>
      <c r="AG375">
        <v>46</v>
      </c>
      <c r="AH375">
        <v>0</v>
      </c>
      <c r="AI375">
        <v>0</v>
      </c>
      <c r="AJ375">
        <v>0</v>
      </c>
      <c r="AK375">
        <v>0</v>
      </c>
      <c r="AL375" t="s">
        <v>90</v>
      </c>
      <c r="AM375" t="s">
        <v>91</v>
      </c>
      <c r="AN375" t="s">
        <v>92</v>
      </c>
      <c r="AO375" t="s">
        <v>6781</v>
      </c>
      <c r="AP375" t="s">
        <v>74</v>
      </c>
      <c r="AQ375" t="s">
        <v>74</v>
      </c>
      <c r="AR375" t="s">
        <v>6782</v>
      </c>
      <c r="AS375" t="s">
        <v>6783</v>
      </c>
      <c r="AT375" t="s">
        <v>6618</v>
      </c>
      <c r="AU375">
        <v>2023</v>
      </c>
      <c r="AV375">
        <v>42</v>
      </c>
      <c r="AW375" t="s">
        <v>74</v>
      </c>
      <c r="AX375" t="s">
        <v>337</v>
      </c>
      <c r="AY375" t="s">
        <v>74</v>
      </c>
      <c r="AZ375" t="s">
        <v>74</v>
      </c>
      <c r="BA375" t="s">
        <v>74</v>
      </c>
      <c r="BB375" t="s">
        <v>74</v>
      </c>
      <c r="BC375" t="s">
        <v>74</v>
      </c>
      <c r="BD375">
        <v>103358</v>
      </c>
      <c r="BE375" t="s">
        <v>6784</v>
      </c>
      <c r="BF375" t="str">
        <f>HYPERLINK("http://dx.doi.org/10.1016/j.surfin.2023.103358","http://dx.doi.org/10.1016/j.surfin.2023.103358")</f>
        <v>http://dx.doi.org/10.1016/j.surfin.2023.103358</v>
      </c>
      <c r="BG375" t="s">
        <v>74</v>
      </c>
      <c r="BH375" t="s">
        <v>74</v>
      </c>
      <c r="BI375">
        <v>13</v>
      </c>
      <c r="BJ375" t="s">
        <v>3799</v>
      </c>
      <c r="BK375" t="s">
        <v>100</v>
      </c>
      <c r="BL375" t="s">
        <v>3800</v>
      </c>
      <c r="BM375" t="s">
        <v>6785</v>
      </c>
      <c r="BN375" t="s">
        <v>74</v>
      </c>
      <c r="BO375" t="s">
        <v>74</v>
      </c>
      <c r="BP375" t="s">
        <v>74</v>
      </c>
      <c r="BQ375" t="s">
        <v>74</v>
      </c>
      <c r="BR375" t="s">
        <v>104</v>
      </c>
      <c r="BS375" t="s">
        <v>6786</v>
      </c>
      <c r="BT375" t="str">
        <f>HYPERLINK("https%3A%2F%2Fwww.webofscience.com%2Fwos%2Fwoscc%2Ffull-record%2FWOS:001072486800001","View Full Record in Web of Science")</f>
        <v>View Full Record in Web of Science</v>
      </c>
    </row>
    <row r="376" spans="1:72" x14ac:dyDescent="0.15">
      <c r="A376" t="s">
        <v>72</v>
      </c>
      <c r="B376" t="s">
        <v>6787</v>
      </c>
      <c r="C376" t="s">
        <v>74</v>
      </c>
      <c r="D376" t="s">
        <v>74</v>
      </c>
      <c r="E376" t="s">
        <v>74</v>
      </c>
      <c r="F376" t="s">
        <v>6788</v>
      </c>
      <c r="G376" t="s">
        <v>74</v>
      </c>
      <c r="H376" t="s">
        <v>74</v>
      </c>
      <c r="I376" t="s">
        <v>6789</v>
      </c>
      <c r="J376" t="s">
        <v>6790</v>
      </c>
      <c r="K376" t="s">
        <v>74</v>
      </c>
      <c r="L376" t="s">
        <v>74</v>
      </c>
      <c r="M376" t="s">
        <v>78</v>
      </c>
      <c r="N376" t="s">
        <v>79</v>
      </c>
      <c r="O376" t="s">
        <v>74</v>
      </c>
      <c r="P376" t="s">
        <v>74</v>
      </c>
      <c r="Q376" t="s">
        <v>74</v>
      </c>
      <c r="R376" t="s">
        <v>74</v>
      </c>
      <c r="S376" t="s">
        <v>74</v>
      </c>
      <c r="T376" t="s">
        <v>6791</v>
      </c>
      <c r="U376" t="s">
        <v>6792</v>
      </c>
      <c r="V376" t="s">
        <v>6793</v>
      </c>
      <c r="W376" t="s">
        <v>6794</v>
      </c>
      <c r="X376" t="s">
        <v>6795</v>
      </c>
      <c r="Y376" t="s">
        <v>6796</v>
      </c>
      <c r="Z376" t="s">
        <v>6797</v>
      </c>
      <c r="AA376" t="s">
        <v>74</v>
      </c>
      <c r="AB376" t="s">
        <v>74</v>
      </c>
      <c r="AC376" t="s">
        <v>74</v>
      </c>
      <c r="AD376" t="s">
        <v>74</v>
      </c>
      <c r="AE376" t="s">
        <v>74</v>
      </c>
      <c r="AF376" t="s">
        <v>74</v>
      </c>
      <c r="AG376">
        <v>67</v>
      </c>
      <c r="AH376">
        <v>0</v>
      </c>
      <c r="AI376">
        <v>0</v>
      </c>
      <c r="AJ376">
        <v>0</v>
      </c>
      <c r="AK376">
        <v>0</v>
      </c>
      <c r="AL376" t="s">
        <v>147</v>
      </c>
      <c r="AM376" t="s">
        <v>148</v>
      </c>
      <c r="AN376" t="s">
        <v>149</v>
      </c>
      <c r="AO376" t="s">
        <v>6798</v>
      </c>
      <c r="AP376" t="s">
        <v>74</v>
      </c>
      <c r="AQ376" t="s">
        <v>74</v>
      </c>
      <c r="AR376" t="s">
        <v>6790</v>
      </c>
      <c r="AS376" t="s">
        <v>6799</v>
      </c>
      <c r="AT376" t="s">
        <v>6618</v>
      </c>
      <c r="AU376">
        <v>2023</v>
      </c>
      <c r="AV376">
        <v>57</v>
      </c>
      <c r="AW376" t="s">
        <v>74</v>
      </c>
      <c r="AX376" t="s">
        <v>74</v>
      </c>
      <c r="AY376" t="s">
        <v>74</v>
      </c>
      <c r="AZ376" t="s">
        <v>74</v>
      </c>
      <c r="BA376" t="s">
        <v>74</v>
      </c>
      <c r="BB376" t="s">
        <v>74</v>
      </c>
      <c r="BC376" t="s">
        <v>74</v>
      </c>
      <c r="BD376">
        <v>105168</v>
      </c>
      <c r="BE376" t="s">
        <v>6800</v>
      </c>
      <c r="BF376" t="str">
        <f>HYPERLINK("http://dx.doi.org/10.1016/j.istruc.2023.105168","http://dx.doi.org/10.1016/j.istruc.2023.105168")</f>
        <v>http://dx.doi.org/10.1016/j.istruc.2023.105168</v>
      </c>
      <c r="BG376" t="s">
        <v>74</v>
      </c>
      <c r="BH376" t="s">
        <v>74</v>
      </c>
      <c r="BI376">
        <v>20</v>
      </c>
      <c r="BJ376" t="s">
        <v>5547</v>
      </c>
      <c r="BK376" t="s">
        <v>100</v>
      </c>
      <c r="BL376" t="s">
        <v>873</v>
      </c>
      <c r="BM376" t="s">
        <v>6801</v>
      </c>
      <c r="BN376" t="s">
        <v>74</v>
      </c>
      <c r="BO376" t="s">
        <v>74</v>
      </c>
      <c r="BP376" t="s">
        <v>74</v>
      </c>
      <c r="BQ376" t="s">
        <v>74</v>
      </c>
      <c r="BR376" t="s">
        <v>104</v>
      </c>
      <c r="BS376" t="s">
        <v>6802</v>
      </c>
      <c r="BT376" t="str">
        <f>HYPERLINK("https%3A%2F%2Fwww.webofscience.com%2Fwos%2Fwoscc%2Ffull-record%2FWOS:001071883400001","View Full Record in Web of Science")</f>
        <v>View Full Record in Web of Science</v>
      </c>
    </row>
    <row r="377" spans="1:72" x14ac:dyDescent="0.15">
      <c r="A377" t="s">
        <v>72</v>
      </c>
      <c r="B377" t="s">
        <v>6803</v>
      </c>
      <c r="C377" t="s">
        <v>74</v>
      </c>
      <c r="D377" t="s">
        <v>74</v>
      </c>
      <c r="E377" t="s">
        <v>74</v>
      </c>
      <c r="F377" t="s">
        <v>6804</v>
      </c>
      <c r="G377" t="s">
        <v>74</v>
      </c>
      <c r="H377" t="s">
        <v>74</v>
      </c>
      <c r="I377" t="s">
        <v>6805</v>
      </c>
      <c r="J377" t="s">
        <v>6806</v>
      </c>
      <c r="K377" t="s">
        <v>74</v>
      </c>
      <c r="L377" t="s">
        <v>74</v>
      </c>
      <c r="M377" t="s">
        <v>78</v>
      </c>
      <c r="N377" t="s">
        <v>79</v>
      </c>
      <c r="O377" t="s">
        <v>74</v>
      </c>
      <c r="P377" t="s">
        <v>74</v>
      </c>
      <c r="Q377" t="s">
        <v>74</v>
      </c>
      <c r="R377" t="s">
        <v>74</v>
      </c>
      <c r="S377" t="s">
        <v>74</v>
      </c>
      <c r="T377" t="s">
        <v>6807</v>
      </c>
      <c r="U377" t="s">
        <v>6808</v>
      </c>
      <c r="V377" t="s">
        <v>6809</v>
      </c>
      <c r="W377" t="s">
        <v>6810</v>
      </c>
      <c r="X377" t="s">
        <v>6811</v>
      </c>
      <c r="Y377" t="s">
        <v>6812</v>
      </c>
      <c r="Z377" t="s">
        <v>6813</v>
      </c>
      <c r="AA377" t="s">
        <v>74</v>
      </c>
      <c r="AB377" t="s">
        <v>74</v>
      </c>
      <c r="AC377" t="s">
        <v>74</v>
      </c>
      <c r="AD377" t="s">
        <v>74</v>
      </c>
      <c r="AE377" t="s">
        <v>74</v>
      </c>
      <c r="AF377" t="s">
        <v>74</v>
      </c>
      <c r="AG377">
        <v>53</v>
      </c>
      <c r="AH377">
        <v>0</v>
      </c>
      <c r="AI377">
        <v>0</v>
      </c>
      <c r="AJ377">
        <v>0</v>
      </c>
      <c r="AK377">
        <v>0</v>
      </c>
      <c r="AL377" t="s">
        <v>120</v>
      </c>
      <c r="AM377" t="s">
        <v>121</v>
      </c>
      <c r="AN377" t="s">
        <v>122</v>
      </c>
      <c r="AO377" t="s">
        <v>6814</v>
      </c>
      <c r="AP377" t="s">
        <v>6815</v>
      </c>
      <c r="AQ377" t="s">
        <v>74</v>
      </c>
      <c r="AR377" t="s">
        <v>6816</v>
      </c>
      <c r="AS377" t="s">
        <v>6817</v>
      </c>
      <c r="AT377" t="s">
        <v>6618</v>
      </c>
      <c r="AU377">
        <v>2023</v>
      </c>
      <c r="AV377">
        <v>156</v>
      </c>
      <c r="AW377" t="s">
        <v>74</v>
      </c>
      <c r="AX377" t="s">
        <v>74</v>
      </c>
      <c r="AY377" t="s">
        <v>74</v>
      </c>
      <c r="AZ377" t="s">
        <v>74</v>
      </c>
      <c r="BA377" t="s">
        <v>74</v>
      </c>
      <c r="BB377">
        <v>160</v>
      </c>
      <c r="BC377">
        <v>174</v>
      </c>
      <c r="BD377" t="s">
        <v>74</v>
      </c>
      <c r="BE377" t="s">
        <v>6818</v>
      </c>
      <c r="BF377" t="str">
        <f>HYPERLINK("http://dx.doi.org/10.1016/j.enganabound.2023.07.039","http://dx.doi.org/10.1016/j.enganabound.2023.07.039")</f>
        <v>http://dx.doi.org/10.1016/j.enganabound.2023.07.039</v>
      </c>
      <c r="BG377" t="s">
        <v>74</v>
      </c>
      <c r="BH377" t="s">
        <v>74</v>
      </c>
      <c r="BI377">
        <v>15</v>
      </c>
      <c r="BJ377" t="s">
        <v>6819</v>
      </c>
      <c r="BK377" t="s">
        <v>100</v>
      </c>
      <c r="BL377" t="s">
        <v>6820</v>
      </c>
      <c r="BM377" t="s">
        <v>6821</v>
      </c>
      <c r="BN377" t="s">
        <v>74</v>
      </c>
      <c r="BO377" t="s">
        <v>74</v>
      </c>
      <c r="BP377" t="s">
        <v>74</v>
      </c>
      <c r="BQ377" t="s">
        <v>74</v>
      </c>
      <c r="BR377" t="s">
        <v>104</v>
      </c>
      <c r="BS377" t="s">
        <v>6822</v>
      </c>
      <c r="BT377" t="str">
        <f>HYPERLINK("https%3A%2F%2Fwww.webofscience.com%2Fwos%2Fwoscc%2Ffull-record%2FWOS:001057980400001","View Full Record in Web of Science")</f>
        <v>View Full Record in Web of Science</v>
      </c>
    </row>
    <row r="378" spans="1:72" x14ac:dyDescent="0.15">
      <c r="A378" t="s">
        <v>72</v>
      </c>
      <c r="B378" t="s">
        <v>6823</v>
      </c>
      <c r="C378" t="s">
        <v>74</v>
      </c>
      <c r="D378" t="s">
        <v>74</v>
      </c>
      <c r="E378" t="s">
        <v>74</v>
      </c>
      <c r="F378" t="s">
        <v>6824</v>
      </c>
      <c r="G378" t="s">
        <v>74</v>
      </c>
      <c r="H378" t="s">
        <v>74</v>
      </c>
      <c r="I378" t="s">
        <v>6825</v>
      </c>
      <c r="J378" t="s">
        <v>1950</v>
      </c>
      <c r="K378" t="s">
        <v>74</v>
      </c>
      <c r="L378" t="s">
        <v>74</v>
      </c>
      <c r="M378" t="s">
        <v>78</v>
      </c>
      <c r="N378" t="s">
        <v>79</v>
      </c>
      <c r="O378" t="s">
        <v>74</v>
      </c>
      <c r="P378" t="s">
        <v>74</v>
      </c>
      <c r="Q378" t="s">
        <v>74</v>
      </c>
      <c r="R378" t="s">
        <v>74</v>
      </c>
      <c r="S378" t="s">
        <v>74</v>
      </c>
      <c r="T378" t="s">
        <v>6826</v>
      </c>
      <c r="U378" t="s">
        <v>74</v>
      </c>
      <c r="V378" t="s">
        <v>6827</v>
      </c>
      <c r="W378" t="s">
        <v>6828</v>
      </c>
      <c r="X378" t="s">
        <v>6829</v>
      </c>
      <c r="Y378" t="s">
        <v>6830</v>
      </c>
      <c r="Z378" t="s">
        <v>6831</v>
      </c>
      <c r="AA378" t="s">
        <v>74</v>
      </c>
      <c r="AB378" t="s">
        <v>74</v>
      </c>
      <c r="AC378" t="s">
        <v>6832</v>
      </c>
      <c r="AD378" t="s">
        <v>6833</v>
      </c>
      <c r="AE378" t="s">
        <v>6834</v>
      </c>
      <c r="AF378" t="s">
        <v>74</v>
      </c>
      <c r="AG378">
        <v>33</v>
      </c>
      <c r="AH378">
        <v>0</v>
      </c>
      <c r="AI378">
        <v>0</v>
      </c>
      <c r="AJ378">
        <v>0</v>
      </c>
      <c r="AK378">
        <v>0</v>
      </c>
      <c r="AL378" t="s">
        <v>173</v>
      </c>
      <c r="AM378" t="s">
        <v>121</v>
      </c>
      <c r="AN378" t="s">
        <v>174</v>
      </c>
      <c r="AO378" t="s">
        <v>1963</v>
      </c>
      <c r="AP378" t="s">
        <v>1964</v>
      </c>
      <c r="AQ378" t="s">
        <v>74</v>
      </c>
      <c r="AR378" t="s">
        <v>1950</v>
      </c>
      <c r="AS378" t="s">
        <v>1965</v>
      </c>
      <c r="AT378" t="s">
        <v>6659</v>
      </c>
      <c r="AU378">
        <v>2023</v>
      </c>
      <c r="AV378">
        <v>282</v>
      </c>
      <c r="AW378" t="s">
        <v>74</v>
      </c>
      <c r="AX378" t="s">
        <v>74</v>
      </c>
      <c r="AY378" t="s">
        <v>74</v>
      </c>
      <c r="AZ378" t="s">
        <v>74</v>
      </c>
      <c r="BA378" t="s">
        <v>74</v>
      </c>
      <c r="BB378" t="s">
        <v>74</v>
      </c>
      <c r="BC378" t="s">
        <v>74</v>
      </c>
      <c r="BD378">
        <v>128377</v>
      </c>
      <c r="BE378" t="s">
        <v>6835</v>
      </c>
      <c r="BF378" t="str">
        <f>HYPERLINK("http://dx.doi.org/10.1016/j.energy.2023.128377","http://dx.doi.org/10.1016/j.energy.2023.128377")</f>
        <v>http://dx.doi.org/10.1016/j.energy.2023.128377</v>
      </c>
      <c r="BG378" t="s">
        <v>74</v>
      </c>
      <c r="BH378" t="s">
        <v>74</v>
      </c>
      <c r="BI378">
        <v>17</v>
      </c>
      <c r="BJ378" t="s">
        <v>1967</v>
      </c>
      <c r="BK378" t="s">
        <v>100</v>
      </c>
      <c r="BL378" t="s">
        <v>1967</v>
      </c>
      <c r="BM378" t="s">
        <v>6836</v>
      </c>
      <c r="BN378" t="s">
        <v>74</v>
      </c>
      <c r="BO378" t="s">
        <v>295</v>
      </c>
      <c r="BP378" t="s">
        <v>74</v>
      </c>
      <c r="BQ378" t="s">
        <v>74</v>
      </c>
      <c r="BR378" t="s">
        <v>104</v>
      </c>
      <c r="BS378" t="s">
        <v>6837</v>
      </c>
      <c r="BT378" t="str">
        <f>HYPERLINK("https%3A%2F%2Fwww.webofscience.com%2Fwos%2Fwoscc%2Ffull-record%2FWOS:001046399400001","View Full Record in Web of Science")</f>
        <v>View Full Record in Web of Science</v>
      </c>
    </row>
    <row r="379" spans="1:72" x14ac:dyDescent="0.15">
      <c r="A379" t="s">
        <v>72</v>
      </c>
      <c r="B379" t="s">
        <v>6838</v>
      </c>
      <c r="C379" t="s">
        <v>74</v>
      </c>
      <c r="D379" t="s">
        <v>74</v>
      </c>
      <c r="E379" t="s">
        <v>74</v>
      </c>
      <c r="F379" t="s">
        <v>6839</v>
      </c>
      <c r="G379" t="s">
        <v>74</v>
      </c>
      <c r="H379" t="s">
        <v>74</v>
      </c>
      <c r="I379" t="s">
        <v>6840</v>
      </c>
      <c r="J379" t="s">
        <v>6841</v>
      </c>
      <c r="K379" t="s">
        <v>74</v>
      </c>
      <c r="L379" t="s">
        <v>74</v>
      </c>
      <c r="M379" t="s">
        <v>78</v>
      </c>
      <c r="N379" t="s">
        <v>79</v>
      </c>
      <c r="O379" t="s">
        <v>74</v>
      </c>
      <c r="P379" t="s">
        <v>74</v>
      </c>
      <c r="Q379" t="s">
        <v>74</v>
      </c>
      <c r="R379" t="s">
        <v>74</v>
      </c>
      <c r="S379" t="s">
        <v>74</v>
      </c>
      <c r="T379" t="s">
        <v>6842</v>
      </c>
      <c r="U379" t="s">
        <v>6843</v>
      </c>
      <c r="V379" t="s">
        <v>6844</v>
      </c>
      <c r="W379" t="s">
        <v>6845</v>
      </c>
      <c r="X379" t="s">
        <v>6846</v>
      </c>
      <c r="Y379" t="s">
        <v>6847</v>
      </c>
      <c r="Z379" t="s">
        <v>6848</v>
      </c>
      <c r="AA379" t="s">
        <v>74</v>
      </c>
      <c r="AB379" t="s">
        <v>74</v>
      </c>
      <c r="AC379" t="s">
        <v>74</v>
      </c>
      <c r="AD379" t="s">
        <v>74</v>
      </c>
      <c r="AE379" t="s">
        <v>74</v>
      </c>
      <c r="AF379" t="s">
        <v>74</v>
      </c>
      <c r="AG379">
        <v>15</v>
      </c>
      <c r="AH379">
        <v>0</v>
      </c>
      <c r="AI379">
        <v>0</v>
      </c>
      <c r="AJ379">
        <v>0</v>
      </c>
      <c r="AK379">
        <v>0</v>
      </c>
      <c r="AL379" t="s">
        <v>90</v>
      </c>
      <c r="AM379" t="s">
        <v>91</v>
      </c>
      <c r="AN379" t="s">
        <v>92</v>
      </c>
      <c r="AO379" t="s">
        <v>6849</v>
      </c>
      <c r="AP379" t="s">
        <v>6850</v>
      </c>
      <c r="AQ379" t="s">
        <v>74</v>
      </c>
      <c r="AR379" t="s">
        <v>6851</v>
      </c>
      <c r="AS379" t="s">
        <v>6852</v>
      </c>
      <c r="AT379" t="s">
        <v>6618</v>
      </c>
      <c r="AU379">
        <v>2023</v>
      </c>
      <c r="AV379">
        <v>202</v>
      </c>
      <c r="AW379" t="s">
        <v>74</v>
      </c>
      <c r="AX379" t="s">
        <v>74</v>
      </c>
      <c r="AY379" t="s">
        <v>74</v>
      </c>
      <c r="AZ379" t="s">
        <v>74</v>
      </c>
      <c r="BA379" t="s">
        <v>74</v>
      </c>
      <c r="BB379" t="s">
        <v>74</v>
      </c>
      <c r="BC379" t="s">
        <v>74</v>
      </c>
      <c r="BD379">
        <v>109905</v>
      </c>
      <c r="BE379" t="s">
        <v>6853</v>
      </c>
      <c r="BF379" t="str">
        <f>HYPERLINK("http://dx.doi.org/10.1016/j.spl.2023.109905","http://dx.doi.org/10.1016/j.spl.2023.109905")</f>
        <v>http://dx.doi.org/10.1016/j.spl.2023.109905</v>
      </c>
      <c r="BG379" t="s">
        <v>74</v>
      </c>
      <c r="BH379" t="s">
        <v>74</v>
      </c>
      <c r="BI379">
        <v>6</v>
      </c>
      <c r="BJ379" t="s">
        <v>6854</v>
      </c>
      <c r="BK379" t="s">
        <v>100</v>
      </c>
      <c r="BL379" t="s">
        <v>101</v>
      </c>
      <c r="BM379" t="s">
        <v>6855</v>
      </c>
      <c r="BN379" t="s">
        <v>74</v>
      </c>
      <c r="BO379" t="s">
        <v>74</v>
      </c>
      <c r="BP379" t="s">
        <v>74</v>
      </c>
      <c r="BQ379" t="s">
        <v>74</v>
      </c>
      <c r="BR379" t="s">
        <v>104</v>
      </c>
      <c r="BS379" t="s">
        <v>6856</v>
      </c>
      <c r="BT379" t="str">
        <f>HYPERLINK("https%3A%2F%2Fwww.webofscience.com%2Fwos%2Fwoscc%2Ffull-record%2FWOS:001058469500001","View Full Record in Web of Science")</f>
        <v>View Full Record in Web of Science</v>
      </c>
    </row>
    <row r="380" spans="1:72" x14ac:dyDescent="0.15">
      <c r="A380" t="s">
        <v>72</v>
      </c>
      <c r="B380" t="s">
        <v>6857</v>
      </c>
      <c r="C380" t="s">
        <v>74</v>
      </c>
      <c r="D380" t="s">
        <v>74</v>
      </c>
      <c r="E380" t="s">
        <v>74</v>
      </c>
      <c r="F380" t="s">
        <v>6858</v>
      </c>
      <c r="G380" t="s">
        <v>74</v>
      </c>
      <c r="H380" t="s">
        <v>74</v>
      </c>
      <c r="I380" t="s">
        <v>6859</v>
      </c>
      <c r="J380" t="s">
        <v>6860</v>
      </c>
      <c r="K380" t="s">
        <v>74</v>
      </c>
      <c r="L380" t="s">
        <v>74</v>
      </c>
      <c r="M380" t="s">
        <v>78</v>
      </c>
      <c r="N380" t="s">
        <v>79</v>
      </c>
      <c r="O380" t="s">
        <v>74</v>
      </c>
      <c r="P380" t="s">
        <v>74</v>
      </c>
      <c r="Q380" t="s">
        <v>74</v>
      </c>
      <c r="R380" t="s">
        <v>74</v>
      </c>
      <c r="S380" t="s">
        <v>74</v>
      </c>
      <c r="T380" t="s">
        <v>6861</v>
      </c>
      <c r="U380" t="s">
        <v>6862</v>
      </c>
      <c r="V380" t="s">
        <v>6863</v>
      </c>
      <c r="W380" t="s">
        <v>6864</v>
      </c>
      <c r="X380" t="s">
        <v>74</v>
      </c>
      <c r="Y380" t="s">
        <v>6865</v>
      </c>
      <c r="Z380" t="s">
        <v>6866</v>
      </c>
      <c r="AA380" t="s">
        <v>74</v>
      </c>
      <c r="AB380" t="s">
        <v>74</v>
      </c>
      <c r="AC380" t="s">
        <v>6867</v>
      </c>
      <c r="AD380" t="s">
        <v>6868</v>
      </c>
      <c r="AE380" t="s">
        <v>6869</v>
      </c>
      <c r="AF380" t="s">
        <v>74</v>
      </c>
      <c r="AG380">
        <v>39</v>
      </c>
      <c r="AH380">
        <v>0</v>
      </c>
      <c r="AI380">
        <v>0</v>
      </c>
      <c r="AJ380">
        <v>1</v>
      </c>
      <c r="AK380">
        <v>1</v>
      </c>
      <c r="AL380" t="s">
        <v>955</v>
      </c>
      <c r="AM380" t="s">
        <v>956</v>
      </c>
      <c r="AN380" t="s">
        <v>957</v>
      </c>
      <c r="AO380" t="s">
        <v>6870</v>
      </c>
      <c r="AP380" t="s">
        <v>6871</v>
      </c>
      <c r="AQ380" t="s">
        <v>74</v>
      </c>
      <c r="AR380" t="s">
        <v>6872</v>
      </c>
      <c r="AS380" t="s">
        <v>6873</v>
      </c>
      <c r="AT380" t="s">
        <v>6618</v>
      </c>
      <c r="AU380">
        <v>2023</v>
      </c>
      <c r="AV380">
        <v>413</v>
      </c>
      <c r="AW380" t="s">
        <v>74</v>
      </c>
      <c r="AX380" t="s">
        <v>74</v>
      </c>
      <c r="AY380" t="s">
        <v>74</v>
      </c>
      <c r="AZ380" t="s">
        <v>74</v>
      </c>
      <c r="BA380" t="s">
        <v>74</v>
      </c>
      <c r="BB380" t="s">
        <v>74</v>
      </c>
      <c r="BC380" t="s">
        <v>74</v>
      </c>
      <c r="BD380">
        <v>112498</v>
      </c>
      <c r="BE380" t="s">
        <v>6874</v>
      </c>
      <c r="BF380" t="str">
        <f>HYPERLINK("http://dx.doi.org/10.1016/j.nucengdes.2023.112498","http://dx.doi.org/10.1016/j.nucengdes.2023.112498")</f>
        <v>http://dx.doi.org/10.1016/j.nucengdes.2023.112498</v>
      </c>
      <c r="BG380" t="s">
        <v>74</v>
      </c>
      <c r="BH380" t="s">
        <v>74</v>
      </c>
      <c r="BI380">
        <v>20</v>
      </c>
      <c r="BJ380" t="s">
        <v>1623</v>
      </c>
      <c r="BK380" t="s">
        <v>100</v>
      </c>
      <c r="BL380" t="s">
        <v>1623</v>
      </c>
      <c r="BM380" t="s">
        <v>6875</v>
      </c>
      <c r="BN380" t="s">
        <v>74</v>
      </c>
      <c r="BO380" t="s">
        <v>74</v>
      </c>
      <c r="BP380" t="s">
        <v>74</v>
      </c>
      <c r="BQ380" t="s">
        <v>74</v>
      </c>
      <c r="BR380" t="s">
        <v>104</v>
      </c>
      <c r="BS380" t="s">
        <v>6876</v>
      </c>
      <c r="BT380" t="str">
        <f>HYPERLINK("https%3A%2F%2Fwww.webofscience.com%2Fwos%2Fwoscc%2Ffull-record%2FWOS:001047496700001","View Full Record in Web of Science")</f>
        <v>View Full Record in Web of Science</v>
      </c>
    </row>
    <row r="381" spans="1:72" x14ac:dyDescent="0.15">
      <c r="A381" t="s">
        <v>72</v>
      </c>
      <c r="B381" t="s">
        <v>6877</v>
      </c>
      <c r="C381" t="s">
        <v>74</v>
      </c>
      <c r="D381" t="s">
        <v>74</v>
      </c>
      <c r="E381" t="s">
        <v>74</v>
      </c>
      <c r="F381" t="s">
        <v>6878</v>
      </c>
      <c r="G381" t="s">
        <v>74</v>
      </c>
      <c r="H381" t="s">
        <v>74</v>
      </c>
      <c r="I381" t="s">
        <v>6879</v>
      </c>
      <c r="J381" t="s">
        <v>6880</v>
      </c>
      <c r="K381" t="s">
        <v>74</v>
      </c>
      <c r="L381" t="s">
        <v>74</v>
      </c>
      <c r="M381" t="s">
        <v>78</v>
      </c>
      <c r="N381" t="s">
        <v>79</v>
      </c>
      <c r="O381" t="s">
        <v>74</v>
      </c>
      <c r="P381" t="s">
        <v>74</v>
      </c>
      <c r="Q381" t="s">
        <v>74</v>
      </c>
      <c r="R381" t="s">
        <v>74</v>
      </c>
      <c r="S381" t="s">
        <v>74</v>
      </c>
      <c r="T381" t="s">
        <v>6881</v>
      </c>
      <c r="U381" t="s">
        <v>6882</v>
      </c>
      <c r="V381" t="s">
        <v>6883</v>
      </c>
      <c r="W381" t="s">
        <v>6884</v>
      </c>
      <c r="X381" t="s">
        <v>6885</v>
      </c>
      <c r="Y381" t="s">
        <v>6886</v>
      </c>
      <c r="Z381" t="s">
        <v>6887</v>
      </c>
      <c r="AA381" t="s">
        <v>74</v>
      </c>
      <c r="AB381" t="s">
        <v>74</v>
      </c>
      <c r="AC381" t="s">
        <v>6888</v>
      </c>
      <c r="AD381" t="s">
        <v>6889</v>
      </c>
      <c r="AE381" t="s">
        <v>6890</v>
      </c>
      <c r="AF381" t="s">
        <v>74</v>
      </c>
      <c r="AG381">
        <v>50</v>
      </c>
      <c r="AH381">
        <v>0</v>
      </c>
      <c r="AI381">
        <v>0</v>
      </c>
      <c r="AJ381">
        <v>0</v>
      </c>
      <c r="AK381">
        <v>0</v>
      </c>
      <c r="AL381" t="s">
        <v>173</v>
      </c>
      <c r="AM381" t="s">
        <v>121</v>
      </c>
      <c r="AN381" t="s">
        <v>174</v>
      </c>
      <c r="AO381" t="s">
        <v>6891</v>
      </c>
      <c r="AP381" t="s">
        <v>6892</v>
      </c>
      <c r="AQ381" t="s">
        <v>74</v>
      </c>
      <c r="AR381" t="s">
        <v>6893</v>
      </c>
      <c r="AS381" t="s">
        <v>6894</v>
      </c>
      <c r="AT381" t="s">
        <v>6659</v>
      </c>
      <c r="AU381">
        <v>2023</v>
      </c>
      <c r="AV381">
        <v>467</v>
      </c>
      <c r="AW381" t="s">
        <v>74</v>
      </c>
      <c r="AX381" t="s">
        <v>74</v>
      </c>
      <c r="AY381" t="s">
        <v>74</v>
      </c>
      <c r="AZ381" t="s">
        <v>74</v>
      </c>
      <c r="BA381" t="s">
        <v>74</v>
      </c>
      <c r="BB381" t="s">
        <v>74</v>
      </c>
      <c r="BC381" t="s">
        <v>74</v>
      </c>
      <c r="BD381">
        <v>143078</v>
      </c>
      <c r="BE381" t="s">
        <v>6895</v>
      </c>
      <c r="BF381" t="str">
        <f>HYPERLINK("http://dx.doi.org/10.1016/j.electacta.2023.143078","http://dx.doi.org/10.1016/j.electacta.2023.143078")</f>
        <v>http://dx.doi.org/10.1016/j.electacta.2023.143078</v>
      </c>
      <c r="BG381" t="s">
        <v>74</v>
      </c>
      <c r="BH381" t="s">
        <v>74</v>
      </c>
      <c r="BI381">
        <v>12</v>
      </c>
      <c r="BJ381" t="s">
        <v>6896</v>
      </c>
      <c r="BK381" t="s">
        <v>100</v>
      </c>
      <c r="BL381" t="s">
        <v>6896</v>
      </c>
      <c r="BM381" t="s">
        <v>6897</v>
      </c>
      <c r="BN381" t="s">
        <v>74</v>
      </c>
      <c r="BO381" t="s">
        <v>74</v>
      </c>
      <c r="BP381" t="s">
        <v>74</v>
      </c>
      <c r="BQ381" t="s">
        <v>74</v>
      </c>
      <c r="BR381" t="s">
        <v>104</v>
      </c>
      <c r="BS381" t="s">
        <v>6898</v>
      </c>
      <c r="BT381" t="str">
        <f>HYPERLINK("https%3A%2F%2Fwww.webofscience.com%2Fwos%2Fwoscc%2Ffull-record%2FWOS:001070633600001","View Full Record in Web of Science")</f>
        <v>View Full Record in Web of Science</v>
      </c>
    </row>
    <row r="382" spans="1:72" x14ac:dyDescent="0.15">
      <c r="A382" t="s">
        <v>72</v>
      </c>
      <c r="B382" t="s">
        <v>6899</v>
      </c>
      <c r="C382" t="s">
        <v>74</v>
      </c>
      <c r="D382" t="s">
        <v>74</v>
      </c>
      <c r="E382" t="s">
        <v>74</v>
      </c>
      <c r="F382" t="s">
        <v>6900</v>
      </c>
      <c r="G382" t="s">
        <v>74</v>
      </c>
      <c r="H382" t="s">
        <v>74</v>
      </c>
      <c r="I382" t="s">
        <v>6901</v>
      </c>
      <c r="J382" t="s">
        <v>6902</v>
      </c>
      <c r="K382" t="s">
        <v>74</v>
      </c>
      <c r="L382" t="s">
        <v>74</v>
      </c>
      <c r="M382" t="s">
        <v>78</v>
      </c>
      <c r="N382" t="s">
        <v>79</v>
      </c>
      <c r="O382" t="s">
        <v>74</v>
      </c>
      <c r="P382" t="s">
        <v>74</v>
      </c>
      <c r="Q382" t="s">
        <v>74</v>
      </c>
      <c r="R382" t="s">
        <v>74</v>
      </c>
      <c r="S382" t="s">
        <v>74</v>
      </c>
      <c r="T382" t="s">
        <v>6903</v>
      </c>
      <c r="U382" t="s">
        <v>74</v>
      </c>
      <c r="V382" t="s">
        <v>6904</v>
      </c>
      <c r="W382" t="s">
        <v>6905</v>
      </c>
      <c r="X382" t="s">
        <v>6906</v>
      </c>
      <c r="Y382" t="s">
        <v>6907</v>
      </c>
      <c r="Z382" t="s">
        <v>6908</v>
      </c>
      <c r="AA382" t="s">
        <v>6909</v>
      </c>
      <c r="AB382" t="s">
        <v>6910</v>
      </c>
      <c r="AC382" t="s">
        <v>74</v>
      </c>
      <c r="AD382" t="s">
        <v>74</v>
      </c>
      <c r="AE382" t="s">
        <v>74</v>
      </c>
      <c r="AF382" t="s">
        <v>74</v>
      </c>
      <c r="AG382">
        <v>65</v>
      </c>
      <c r="AH382">
        <v>0</v>
      </c>
      <c r="AI382">
        <v>0</v>
      </c>
      <c r="AJ382">
        <v>12</v>
      </c>
      <c r="AK382">
        <v>12</v>
      </c>
      <c r="AL382" t="s">
        <v>173</v>
      </c>
      <c r="AM382" t="s">
        <v>121</v>
      </c>
      <c r="AN382" t="s">
        <v>174</v>
      </c>
      <c r="AO382" t="s">
        <v>6911</v>
      </c>
      <c r="AP382" t="s">
        <v>6912</v>
      </c>
      <c r="AQ382" t="s">
        <v>74</v>
      </c>
      <c r="AR382" t="s">
        <v>6913</v>
      </c>
      <c r="AS382" t="s">
        <v>6914</v>
      </c>
      <c r="AT382" t="s">
        <v>6618</v>
      </c>
      <c r="AU382">
        <v>2023</v>
      </c>
      <c r="AV382">
        <v>148</v>
      </c>
      <c r="AW382" t="s">
        <v>74</v>
      </c>
      <c r="AX382" t="s">
        <v>74</v>
      </c>
      <c r="AY382" t="s">
        <v>74</v>
      </c>
      <c r="AZ382" t="s">
        <v>74</v>
      </c>
      <c r="BA382" t="s">
        <v>74</v>
      </c>
      <c r="BB382" t="s">
        <v>74</v>
      </c>
      <c r="BC382" t="s">
        <v>74</v>
      </c>
      <c r="BD382">
        <v>107903</v>
      </c>
      <c r="BE382" t="s">
        <v>6915</v>
      </c>
      <c r="BF382" t="str">
        <f>HYPERLINK("http://dx.doi.org/10.1016/j.chb.2023.107903","http://dx.doi.org/10.1016/j.chb.2023.107903")</f>
        <v>http://dx.doi.org/10.1016/j.chb.2023.107903</v>
      </c>
      <c r="BG382" t="s">
        <v>74</v>
      </c>
      <c r="BH382" t="s">
        <v>74</v>
      </c>
      <c r="BI382">
        <v>8</v>
      </c>
      <c r="BJ382" t="s">
        <v>6916</v>
      </c>
      <c r="BK382" t="s">
        <v>627</v>
      </c>
      <c r="BL382" t="s">
        <v>795</v>
      </c>
      <c r="BM382" t="s">
        <v>6917</v>
      </c>
      <c r="BN382" t="s">
        <v>74</v>
      </c>
      <c r="BO382" t="s">
        <v>295</v>
      </c>
      <c r="BP382" t="s">
        <v>74</v>
      </c>
      <c r="BQ382" t="s">
        <v>74</v>
      </c>
      <c r="BR382" t="s">
        <v>104</v>
      </c>
      <c r="BS382" t="s">
        <v>6918</v>
      </c>
      <c r="BT382" t="str">
        <f>HYPERLINK("https%3A%2F%2Fwww.webofscience.com%2Fwos%2Fwoscc%2Ffull-record%2FWOS:001062417300001","View Full Record in Web of Science")</f>
        <v>View Full Record in Web of Science</v>
      </c>
    </row>
    <row r="383" spans="1:72" x14ac:dyDescent="0.15">
      <c r="A383" t="s">
        <v>72</v>
      </c>
      <c r="B383" t="s">
        <v>6919</v>
      </c>
      <c r="C383" t="s">
        <v>74</v>
      </c>
      <c r="D383" t="s">
        <v>74</v>
      </c>
      <c r="E383" t="s">
        <v>74</v>
      </c>
      <c r="F383" t="s">
        <v>6920</v>
      </c>
      <c r="G383" t="s">
        <v>74</v>
      </c>
      <c r="H383" t="s">
        <v>74</v>
      </c>
      <c r="I383" t="s">
        <v>6921</v>
      </c>
      <c r="J383" t="s">
        <v>6666</v>
      </c>
      <c r="K383" t="s">
        <v>74</v>
      </c>
      <c r="L383" t="s">
        <v>74</v>
      </c>
      <c r="M383" t="s">
        <v>78</v>
      </c>
      <c r="N383" t="s">
        <v>79</v>
      </c>
      <c r="O383" t="s">
        <v>74</v>
      </c>
      <c r="P383" t="s">
        <v>74</v>
      </c>
      <c r="Q383" t="s">
        <v>74</v>
      </c>
      <c r="R383" t="s">
        <v>74</v>
      </c>
      <c r="S383" t="s">
        <v>74</v>
      </c>
      <c r="T383" t="s">
        <v>6922</v>
      </c>
      <c r="U383" t="s">
        <v>6923</v>
      </c>
      <c r="V383" t="s">
        <v>6924</v>
      </c>
      <c r="W383" t="s">
        <v>6925</v>
      </c>
      <c r="X383" t="s">
        <v>6926</v>
      </c>
      <c r="Y383" t="s">
        <v>6927</v>
      </c>
      <c r="Z383" t="s">
        <v>6928</v>
      </c>
      <c r="AA383" t="s">
        <v>6929</v>
      </c>
      <c r="AB383" t="s">
        <v>6930</v>
      </c>
      <c r="AC383" t="s">
        <v>6931</v>
      </c>
      <c r="AD383" t="s">
        <v>6932</v>
      </c>
      <c r="AE383" t="s">
        <v>6933</v>
      </c>
      <c r="AF383" t="s">
        <v>74</v>
      </c>
      <c r="AG383">
        <v>45</v>
      </c>
      <c r="AH383">
        <v>0</v>
      </c>
      <c r="AI383">
        <v>0</v>
      </c>
      <c r="AJ383">
        <v>1</v>
      </c>
      <c r="AK383">
        <v>1</v>
      </c>
      <c r="AL383" t="s">
        <v>173</v>
      </c>
      <c r="AM383" t="s">
        <v>121</v>
      </c>
      <c r="AN383" t="s">
        <v>174</v>
      </c>
      <c r="AO383" t="s">
        <v>6674</v>
      </c>
      <c r="AP383" t="s">
        <v>6675</v>
      </c>
      <c r="AQ383" t="s">
        <v>74</v>
      </c>
      <c r="AR383" t="s">
        <v>6676</v>
      </c>
      <c r="AS383" t="s">
        <v>6677</v>
      </c>
      <c r="AT383" t="s">
        <v>6618</v>
      </c>
      <c r="AU383">
        <v>2023</v>
      </c>
      <c r="AV383">
        <v>126</v>
      </c>
      <c r="AW383" t="s">
        <v>74</v>
      </c>
      <c r="AX383" t="s">
        <v>337</v>
      </c>
      <c r="AY383" t="s">
        <v>74</v>
      </c>
      <c r="AZ383" t="s">
        <v>74</v>
      </c>
      <c r="BA383" t="s">
        <v>74</v>
      </c>
      <c r="BB383" t="s">
        <v>74</v>
      </c>
      <c r="BC383" t="s">
        <v>74</v>
      </c>
      <c r="BD383">
        <v>106760</v>
      </c>
      <c r="BE383" t="s">
        <v>6934</v>
      </c>
      <c r="BF383" t="str">
        <f>HYPERLINK("http://dx.doi.org/10.1016/j.engappai.2023.106760","http://dx.doi.org/10.1016/j.engappai.2023.106760")</f>
        <v>http://dx.doi.org/10.1016/j.engappai.2023.106760</v>
      </c>
      <c r="BG383" t="s">
        <v>74</v>
      </c>
      <c r="BH383" t="s">
        <v>74</v>
      </c>
      <c r="BI383">
        <v>11</v>
      </c>
      <c r="BJ383" t="s">
        <v>6679</v>
      </c>
      <c r="BK383" t="s">
        <v>100</v>
      </c>
      <c r="BL383" t="s">
        <v>6680</v>
      </c>
      <c r="BM383" t="s">
        <v>6935</v>
      </c>
      <c r="BN383" t="s">
        <v>74</v>
      </c>
      <c r="BO383" t="s">
        <v>74</v>
      </c>
      <c r="BP383" t="s">
        <v>74</v>
      </c>
      <c r="BQ383" t="s">
        <v>74</v>
      </c>
      <c r="BR383" t="s">
        <v>104</v>
      </c>
      <c r="BS383" t="s">
        <v>6936</v>
      </c>
      <c r="BT383" t="str">
        <f>HYPERLINK("https%3A%2F%2Fwww.webofscience.com%2Fwos%2Fwoscc%2Ffull-record%2FWOS:001042651200001","View Full Record in Web of Science")</f>
        <v>View Full Record in Web of Science</v>
      </c>
    </row>
    <row r="384" spans="1:72" x14ac:dyDescent="0.15">
      <c r="A384" t="s">
        <v>72</v>
      </c>
      <c r="B384" t="s">
        <v>6937</v>
      </c>
      <c r="C384" t="s">
        <v>74</v>
      </c>
      <c r="D384" t="s">
        <v>74</v>
      </c>
      <c r="E384" t="s">
        <v>74</v>
      </c>
      <c r="F384" t="s">
        <v>6938</v>
      </c>
      <c r="G384" t="s">
        <v>74</v>
      </c>
      <c r="H384" t="s">
        <v>74</v>
      </c>
      <c r="I384" t="s">
        <v>6939</v>
      </c>
      <c r="J384" t="s">
        <v>6860</v>
      </c>
      <c r="K384" t="s">
        <v>74</v>
      </c>
      <c r="L384" t="s">
        <v>74</v>
      </c>
      <c r="M384" t="s">
        <v>78</v>
      </c>
      <c r="N384" t="s">
        <v>79</v>
      </c>
      <c r="O384" t="s">
        <v>74</v>
      </c>
      <c r="P384" t="s">
        <v>74</v>
      </c>
      <c r="Q384" t="s">
        <v>74</v>
      </c>
      <c r="R384" t="s">
        <v>74</v>
      </c>
      <c r="S384" t="s">
        <v>74</v>
      </c>
      <c r="T384" t="s">
        <v>74</v>
      </c>
      <c r="U384" t="s">
        <v>6940</v>
      </c>
      <c r="V384" t="s">
        <v>6941</v>
      </c>
      <c r="W384" t="s">
        <v>6942</v>
      </c>
      <c r="X384" t="s">
        <v>6943</v>
      </c>
      <c r="Y384" t="s">
        <v>6944</v>
      </c>
      <c r="Z384" t="s">
        <v>6945</v>
      </c>
      <c r="AA384" t="s">
        <v>74</v>
      </c>
      <c r="AB384" t="s">
        <v>6946</v>
      </c>
      <c r="AC384" t="s">
        <v>74</v>
      </c>
      <c r="AD384" t="s">
        <v>74</v>
      </c>
      <c r="AE384" t="s">
        <v>74</v>
      </c>
      <c r="AF384" t="s">
        <v>74</v>
      </c>
      <c r="AG384">
        <v>23</v>
      </c>
      <c r="AH384">
        <v>0</v>
      </c>
      <c r="AI384">
        <v>0</v>
      </c>
      <c r="AJ384">
        <v>0</v>
      </c>
      <c r="AK384">
        <v>0</v>
      </c>
      <c r="AL384" t="s">
        <v>955</v>
      </c>
      <c r="AM384" t="s">
        <v>956</v>
      </c>
      <c r="AN384" t="s">
        <v>957</v>
      </c>
      <c r="AO384" t="s">
        <v>6870</v>
      </c>
      <c r="AP384" t="s">
        <v>6871</v>
      </c>
      <c r="AQ384" t="s">
        <v>74</v>
      </c>
      <c r="AR384" t="s">
        <v>6872</v>
      </c>
      <c r="AS384" t="s">
        <v>6873</v>
      </c>
      <c r="AT384" t="s">
        <v>6618</v>
      </c>
      <c r="AU384">
        <v>2023</v>
      </c>
      <c r="AV384">
        <v>413</v>
      </c>
      <c r="AW384" t="s">
        <v>74</v>
      </c>
      <c r="AX384" t="s">
        <v>74</v>
      </c>
      <c r="AY384" t="s">
        <v>74</v>
      </c>
      <c r="AZ384" t="s">
        <v>74</v>
      </c>
      <c r="BA384" t="s">
        <v>74</v>
      </c>
      <c r="BB384" t="s">
        <v>74</v>
      </c>
      <c r="BC384" t="s">
        <v>74</v>
      </c>
      <c r="BD384">
        <v>112512</v>
      </c>
      <c r="BE384" t="s">
        <v>6947</v>
      </c>
      <c r="BF384" t="str">
        <f>HYPERLINK("http://dx.doi.org/10.1016/j.nucengdes.2023.112512","http://dx.doi.org/10.1016/j.nucengdes.2023.112512")</f>
        <v>http://dx.doi.org/10.1016/j.nucengdes.2023.112512</v>
      </c>
      <c r="BG384" t="s">
        <v>74</v>
      </c>
      <c r="BH384" t="s">
        <v>74</v>
      </c>
      <c r="BI384">
        <v>8</v>
      </c>
      <c r="BJ384" t="s">
        <v>1623</v>
      </c>
      <c r="BK384" t="s">
        <v>100</v>
      </c>
      <c r="BL384" t="s">
        <v>1623</v>
      </c>
      <c r="BM384" t="s">
        <v>6948</v>
      </c>
      <c r="BN384" t="s">
        <v>74</v>
      </c>
      <c r="BO384" t="s">
        <v>74</v>
      </c>
      <c r="BP384" t="s">
        <v>74</v>
      </c>
      <c r="BQ384" t="s">
        <v>74</v>
      </c>
      <c r="BR384" t="s">
        <v>104</v>
      </c>
      <c r="BS384" t="s">
        <v>6949</v>
      </c>
      <c r="BT384" t="str">
        <f>HYPERLINK("https%3A%2F%2Fwww.webofscience.com%2Fwos%2Fwoscc%2Ffull-record%2FWOS:001047714500001","View Full Record in Web of Science")</f>
        <v>View Full Record in Web of Science</v>
      </c>
    </row>
    <row r="385" spans="1:72" x14ac:dyDescent="0.15">
      <c r="A385" t="s">
        <v>72</v>
      </c>
      <c r="B385" t="s">
        <v>6950</v>
      </c>
      <c r="C385" t="s">
        <v>74</v>
      </c>
      <c r="D385" t="s">
        <v>74</v>
      </c>
      <c r="E385" t="s">
        <v>74</v>
      </c>
      <c r="F385" t="s">
        <v>6951</v>
      </c>
      <c r="G385" t="s">
        <v>74</v>
      </c>
      <c r="H385" t="s">
        <v>74</v>
      </c>
      <c r="I385" t="s">
        <v>6952</v>
      </c>
      <c r="J385" t="s">
        <v>6953</v>
      </c>
      <c r="K385" t="s">
        <v>74</v>
      </c>
      <c r="L385" t="s">
        <v>74</v>
      </c>
      <c r="M385" t="s">
        <v>78</v>
      </c>
      <c r="N385" t="s">
        <v>79</v>
      </c>
      <c r="O385" t="s">
        <v>74</v>
      </c>
      <c r="P385" t="s">
        <v>74</v>
      </c>
      <c r="Q385" t="s">
        <v>74</v>
      </c>
      <c r="R385" t="s">
        <v>74</v>
      </c>
      <c r="S385" t="s">
        <v>74</v>
      </c>
      <c r="T385" t="s">
        <v>6954</v>
      </c>
      <c r="U385" t="s">
        <v>6955</v>
      </c>
      <c r="V385" t="s">
        <v>6956</v>
      </c>
      <c r="W385" t="s">
        <v>6957</v>
      </c>
      <c r="X385" t="s">
        <v>6958</v>
      </c>
      <c r="Y385" t="s">
        <v>6959</v>
      </c>
      <c r="Z385" t="s">
        <v>6960</v>
      </c>
      <c r="AA385" t="s">
        <v>74</v>
      </c>
      <c r="AB385" t="s">
        <v>74</v>
      </c>
      <c r="AC385" t="s">
        <v>6961</v>
      </c>
      <c r="AD385" t="s">
        <v>6961</v>
      </c>
      <c r="AE385" t="s">
        <v>6962</v>
      </c>
      <c r="AF385" t="s">
        <v>74</v>
      </c>
      <c r="AG385">
        <v>39</v>
      </c>
      <c r="AH385">
        <v>0</v>
      </c>
      <c r="AI385">
        <v>0</v>
      </c>
      <c r="AJ385">
        <v>0</v>
      </c>
      <c r="AK385">
        <v>0</v>
      </c>
      <c r="AL385" t="s">
        <v>120</v>
      </c>
      <c r="AM385" t="s">
        <v>121</v>
      </c>
      <c r="AN385" t="s">
        <v>122</v>
      </c>
      <c r="AO385" t="s">
        <v>6963</v>
      </c>
      <c r="AP385" t="s">
        <v>6964</v>
      </c>
      <c r="AQ385" t="s">
        <v>74</v>
      </c>
      <c r="AR385" t="s">
        <v>6965</v>
      </c>
      <c r="AS385" t="s">
        <v>6966</v>
      </c>
      <c r="AT385" t="s">
        <v>6618</v>
      </c>
      <c r="AU385">
        <v>2023</v>
      </c>
      <c r="AV385">
        <v>79</v>
      </c>
      <c r="AW385" t="s">
        <v>74</v>
      </c>
      <c r="AX385" t="s">
        <v>74</v>
      </c>
      <c r="AY385" t="s">
        <v>74</v>
      </c>
      <c r="AZ385" t="s">
        <v>74</v>
      </c>
      <c r="BA385" t="s">
        <v>74</v>
      </c>
      <c r="BB385" t="s">
        <v>74</v>
      </c>
      <c r="BC385" t="s">
        <v>74</v>
      </c>
      <c r="BD385">
        <v>104928</v>
      </c>
      <c r="BE385" t="s">
        <v>6967</v>
      </c>
      <c r="BF385" t="str">
        <f>HYPERLINK("http://dx.doi.org/10.1016/j.msard.2023.104928","http://dx.doi.org/10.1016/j.msard.2023.104928")</f>
        <v>http://dx.doi.org/10.1016/j.msard.2023.104928</v>
      </c>
      <c r="BG385" t="s">
        <v>74</v>
      </c>
      <c r="BH385" t="s">
        <v>74</v>
      </c>
      <c r="BI385">
        <v>8</v>
      </c>
      <c r="BJ385" t="s">
        <v>4188</v>
      </c>
      <c r="BK385" t="s">
        <v>100</v>
      </c>
      <c r="BL385" t="s">
        <v>4189</v>
      </c>
      <c r="BM385" t="s">
        <v>6968</v>
      </c>
      <c r="BN385">
        <v>37657308</v>
      </c>
      <c r="BO385" t="s">
        <v>74</v>
      </c>
      <c r="BP385" t="s">
        <v>74</v>
      </c>
      <c r="BQ385" t="s">
        <v>74</v>
      </c>
      <c r="BR385" t="s">
        <v>104</v>
      </c>
      <c r="BS385" t="s">
        <v>6969</v>
      </c>
      <c r="BT385" t="str">
        <f>HYPERLINK("https%3A%2F%2Fwww.webofscience.com%2Fwos%2Fwoscc%2Ffull-record%2FWOS:001069742300001","View Full Record in Web of Science")</f>
        <v>View Full Record in Web of Science</v>
      </c>
    </row>
    <row r="386" spans="1:72" x14ac:dyDescent="0.15">
      <c r="A386" t="s">
        <v>72</v>
      </c>
      <c r="B386" t="s">
        <v>6970</v>
      </c>
      <c r="C386" t="s">
        <v>74</v>
      </c>
      <c r="D386" t="s">
        <v>74</v>
      </c>
      <c r="E386" t="s">
        <v>74</v>
      </c>
      <c r="F386" t="s">
        <v>6971</v>
      </c>
      <c r="G386" t="s">
        <v>74</v>
      </c>
      <c r="H386" t="s">
        <v>74</v>
      </c>
      <c r="I386" t="s">
        <v>6972</v>
      </c>
      <c r="J386" t="s">
        <v>4314</v>
      </c>
      <c r="K386" t="s">
        <v>74</v>
      </c>
      <c r="L386" t="s">
        <v>74</v>
      </c>
      <c r="M386" t="s">
        <v>78</v>
      </c>
      <c r="N386" t="s">
        <v>79</v>
      </c>
      <c r="O386" t="s">
        <v>74</v>
      </c>
      <c r="P386" t="s">
        <v>74</v>
      </c>
      <c r="Q386" t="s">
        <v>74</v>
      </c>
      <c r="R386" t="s">
        <v>74</v>
      </c>
      <c r="S386" t="s">
        <v>74</v>
      </c>
      <c r="T386" t="s">
        <v>6973</v>
      </c>
      <c r="U386" t="s">
        <v>6974</v>
      </c>
      <c r="V386" t="s">
        <v>6975</v>
      </c>
      <c r="W386" t="s">
        <v>6976</v>
      </c>
      <c r="X386" t="s">
        <v>6977</v>
      </c>
      <c r="Y386" t="s">
        <v>6978</v>
      </c>
      <c r="Z386" t="s">
        <v>6979</v>
      </c>
      <c r="AA386" t="s">
        <v>74</v>
      </c>
      <c r="AB386" t="s">
        <v>74</v>
      </c>
      <c r="AC386" t="s">
        <v>6980</v>
      </c>
      <c r="AD386" t="s">
        <v>6981</v>
      </c>
      <c r="AE386" t="s">
        <v>6982</v>
      </c>
      <c r="AF386" t="s">
        <v>74</v>
      </c>
      <c r="AG386">
        <v>25</v>
      </c>
      <c r="AH386">
        <v>0</v>
      </c>
      <c r="AI386">
        <v>0</v>
      </c>
      <c r="AJ386">
        <v>2</v>
      </c>
      <c r="AK386">
        <v>2</v>
      </c>
      <c r="AL386" t="s">
        <v>514</v>
      </c>
      <c r="AM386" t="s">
        <v>515</v>
      </c>
      <c r="AN386" t="s">
        <v>516</v>
      </c>
      <c r="AO386" t="s">
        <v>4325</v>
      </c>
      <c r="AP386" t="s">
        <v>4326</v>
      </c>
      <c r="AQ386" t="s">
        <v>74</v>
      </c>
      <c r="AR386" t="s">
        <v>4327</v>
      </c>
      <c r="AS386" t="s">
        <v>4328</v>
      </c>
      <c r="AT386" t="s">
        <v>6618</v>
      </c>
      <c r="AU386">
        <v>2023</v>
      </c>
      <c r="AV386">
        <v>193</v>
      </c>
      <c r="AW386" t="s">
        <v>74</v>
      </c>
      <c r="AX386" t="s">
        <v>74</v>
      </c>
      <c r="AY386" t="s">
        <v>74</v>
      </c>
      <c r="AZ386" t="s">
        <v>74</v>
      </c>
      <c r="BA386" t="s">
        <v>74</v>
      </c>
      <c r="BB386" t="s">
        <v>74</v>
      </c>
      <c r="BC386" t="s">
        <v>74</v>
      </c>
      <c r="BD386">
        <v>108534</v>
      </c>
      <c r="BE386" t="s">
        <v>6983</v>
      </c>
      <c r="BF386" t="str">
        <f>HYPERLINK("http://dx.doi.org/10.1016/j.ijthermalsci.2023.108534","http://dx.doi.org/10.1016/j.ijthermalsci.2023.108534")</f>
        <v>http://dx.doi.org/10.1016/j.ijthermalsci.2023.108534</v>
      </c>
      <c r="BG386" t="s">
        <v>74</v>
      </c>
      <c r="BH386" t="s">
        <v>74</v>
      </c>
      <c r="BI386">
        <v>10</v>
      </c>
      <c r="BJ386" t="s">
        <v>4330</v>
      </c>
      <c r="BK386" t="s">
        <v>100</v>
      </c>
      <c r="BL386" t="s">
        <v>4331</v>
      </c>
      <c r="BM386" t="s">
        <v>6984</v>
      </c>
      <c r="BN386" t="s">
        <v>74</v>
      </c>
      <c r="BO386" t="s">
        <v>74</v>
      </c>
      <c r="BP386" t="s">
        <v>74</v>
      </c>
      <c r="BQ386" t="s">
        <v>74</v>
      </c>
      <c r="BR386" t="s">
        <v>104</v>
      </c>
      <c r="BS386" t="s">
        <v>6985</v>
      </c>
      <c r="BT386" t="str">
        <f>HYPERLINK("https%3A%2F%2Fwww.webofscience.com%2Fwos%2Fwoscc%2Ffull-record%2FWOS:001048671200001","View Full Record in Web of Science")</f>
        <v>View Full Record in Web of Science</v>
      </c>
    </row>
    <row r="387" spans="1:72" x14ac:dyDescent="0.15">
      <c r="A387" t="s">
        <v>72</v>
      </c>
      <c r="B387" t="s">
        <v>6986</v>
      </c>
      <c r="C387" t="s">
        <v>74</v>
      </c>
      <c r="D387" t="s">
        <v>74</v>
      </c>
      <c r="E387" t="s">
        <v>74</v>
      </c>
      <c r="F387" t="s">
        <v>6987</v>
      </c>
      <c r="G387" t="s">
        <v>74</v>
      </c>
      <c r="H387" t="s">
        <v>74</v>
      </c>
      <c r="I387" t="s">
        <v>6988</v>
      </c>
      <c r="J387" t="s">
        <v>6989</v>
      </c>
      <c r="K387" t="s">
        <v>74</v>
      </c>
      <c r="L387" t="s">
        <v>74</v>
      </c>
      <c r="M387" t="s">
        <v>78</v>
      </c>
      <c r="N387" t="s">
        <v>79</v>
      </c>
      <c r="O387" t="s">
        <v>74</v>
      </c>
      <c r="P387" t="s">
        <v>74</v>
      </c>
      <c r="Q387" t="s">
        <v>74</v>
      </c>
      <c r="R387" t="s">
        <v>74</v>
      </c>
      <c r="S387" t="s">
        <v>74</v>
      </c>
      <c r="T387" t="s">
        <v>6990</v>
      </c>
      <c r="U387" t="s">
        <v>6991</v>
      </c>
      <c r="V387" t="s">
        <v>6992</v>
      </c>
      <c r="W387" t="s">
        <v>6993</v>
      </c>
      <c r="X387" t="s">
        <v>6994</v>
      </c>
      <c r="Y387" t="s">
        <v>6995</v>
      </c>
      <c r="Z387" t="s">
        <v>6996</v>
      </c>
      <c r="AA387" t="s">
        <v>74</v>
      </c>
      <c r="AB387" t="s">
        <v>74</v>
      </c>
      <c r="AC387" t="s">
        <v>6997</v>
      </c>
      <c r="AD387" t="s">
        <v>252</v>
      </c>
      <c r="AE387" t="s">
        <v>6998</v>
      </c>
      <c r="AF387" t="s">
        <v>74</v>
      </c>
      <c r="AG387">
        <v>35</v>
      </c>
      <c r="AH387">
        <v>0</v>
      </c>
      <c r="AI387">
        <v>0</v>
      </c>
      <c r="AJ387">
        <v>6</v>
      </c>
      <c r="AK387">
        <v>6</v>
      </c>
      <c r="AL387" t="s">
        <v>173</v>
      </c>
      <c r="AM387" t="s">
        <v>121</v>
      </c>
      <c r="AN387" t="s">
        <v>174</v>
      </c>
      <c r="AO387" t="s">
        <v>6999</v>
      </c>
      <c r="AP387" t="s">
        <v>7000</v>
      </c>
      <c r="AQ387" t="s">
        <v>74</v>
      </c>
      <c r="AR387" t="s">
        <v>7001</v>
      </c>
      <c r="AS387" t="s">
        <v>7002</v>
      </c>
      <c r="AT387" t="s">
        <v>6618</v>
      </c>
      <c r="AU387">
        <v>2023</v>
      </c>
      <c r="AV387">
        <v>236</v>
      </c>
      <c r="AW387" t="s">
        <v>74</v>
      </c>
      <c r="AX387" t="s">
        <v>74</v>
      </c>
      <c r="AY387" t="s">
        <v>74</v>
      </c>
      <c r="AZ387" t="s">
        <v>74</v>
      </c>
      <c r="BA387" t="s">
        <v>74</v>
      </c>
      <c r="BB387" t="s">
        <v>74</v>
      </c>
      <c r="BC387" t="s">
        <v>74</v>
      </c>
      <c r="BD387">
        <v>115669</v>
      </c>
      <c r="BE387" t="s">
        <v>7003</v>
      </c>
      <c r="BF387" t="str">
        <f>HYPERLINK("http://dx.doi.org/10.1016/j.scriptamat.2023.115669","http://dx.doi.org/10.1016/j.scriptamat.2023.115669")</f>
        <v>http://dx.doi.org/10.1016/j.scriptamat.2023.115669</v>
      </c>
      <c r="BG387" t="s">
        <v>74</v>
      </c>
      <c r="BH387" t="s">
        <v>74</v>
      </c>
      <c r="BI387">
        <v>6</v>
      </c>
      <c r="BJ387" t="s">
        <v>7004</v>
      </c>
      <c r="BK387" t="s">
        <v>100</v>
      </c>
      <c r="BL387" t="s">
        <v>7005</v>
      </c>
      <c r="BM387" t="s">
        <v>7006</v>
      </c>
      <c r="BN387" t="s">
        <v>74</v>
      </c>
      <c r="BO387" t="s">
        <v>74</v>
      </c>
      <c r="BP387" t="s">
        <v>74</v>
      </c>
      <c r="BQ387" t="s">
        <v>74</v>
      </c>
      <c r="BR387" t="s">
        <v>104</v>
      </c>
      <c r="BS387" t="s">
        <v>7007</v>
      </c>
      <c r="BT387" t="str">
        <f>HYPERLINK("https%3A%2F%2Fwww.webofscience.com%2Fwos%2Fwoscc%2Ffull-record%2FWOS:001047028600001","View Full Record in Web of Science")</f>
        <v>View Full Record in Web of Science</v>
      </c>
    </row>
    <row r="388" spans="1:72" x14ac:dyDescent="0.15">
      <c r="A388" t="s">
        <v>72</v>
      </c>
      <c r="B388" t="s">
        <v>7008</v>
      </c>
      <c r="C388" t="s">
        <v>74</v>
      </c>
      <c r="D388" t="s">
        <v>74</v>
      </c>
      <c r="E388" t="s">
        <v>74</v>
      </c>
      <c r="F388" t="s">
        <v>7009</v>
      </c>
      <c r="G388" t="s">
        <v>74</v>
      </c>
      <c r="H388" t="s">
        <v>74</v>
      </c>
      <c r="I388" t="s">
        <v>7010</v>
      </c>
      <c r="J388" t="s">
        <v>7011</v>
      </c>
      <c r="K388" t="s">
        <v>74</v>
      </c>
      <c r="L388" t="s">
        <v>74</v>
      </c>
      <c r="M388" t="s">
        <v>78</v>
      </c>
      <c r="N388" t="s">
        <v>79</v>
      </c>
      <c r="O388" t="s">
        <v>74</v>
      </c>
      <c r="P388" t="s">
        <v>74</v>
      </c>
      <c r="Q388" t="s">
        <v>74</v>
      </c>
      <c r="R388" t="s">
        <v>74</v>
      </c>
      <c r="S388" t="s">
        <v>74</v>
      </c>
      <c r="T388" t="s">
        <v>7012</v>
      </c>
      <c r="U388" t="s">
        <v>7013</v>
      </c>
      <c r="V388" t="s">
        <v>7014</v>
      </c>
      <c r="W388" t="s">
        <v>7015</v>
      </c>
      <c r="X388" t="s">
        <v>7016</v>
      </c>
      <c r="Y388" t="s">
        <v>7017</v>
      </c>
      <c r="Z388" t="s">
        <v>7018</v>
      </c>
      <c r="AA388" t="s">
        <v>74</v>
      </c>
      <c r="AB388" t="s">
        <v>74</v>
      </c>
      <c r="AC388" t="s">
        <v>7019</v>
      </c>
      <c r="AD388" t="s">
        <v>7020</v>
      </c>
      <c r="AE388" t="s">
        <v>7021</v>
      </c>
      <c r="AF388" t="s">
        <v>74</v>
      </c>
      <c r="AG388">
        <v>43</v>
      </c>
      <c r="AH388">
        <v>0</v>
      </c>
      <c r="AI388">
        <v>0</v>
      </c>
      <c r="AJ388">
        <v>1</v>
      </c>
      <c r="AK388">
        <v>1</v>
      </c>
      <c r="AL388" t="s">
        <v>7022</v>
      </c>
      <c r="AM388" t="s">
        <v>121</v>
      </c>
      <c r="AN388" t="s">
        <v>7023</v>
      </c>
      <c r="AO388" t="s">
        <v>7024</v>
      </c>
      <c r="AP388" t="s">
        <v>7025</v>
      </c>
      <c r="AQ388" t="s">
        <v>74</v>
      </c>
      <c r="AR388" t="s">
        <v>7026</v>
      </c>
      <c r="AS388" t="s">
        <v>7027</v>
      </c>
      <c r="AT388" t="s">
        <v>6618</v>
      </c>
      <c r="AU388">
        <v>2023</v>
      </c>
      <c r="AV388">
        <v>134</v>
      </c>
      <c r="AW388" t="s">
        <v>74</v>
      </c>
      <c r="AX388" t="s">
        <v>74</v>
      </c>
      <c r="AY388" t="s">
        <v>74</v>
      </c>
      <c r="AZ388" t="s">
        <v>74</v>
      </c>
      <c r="BA388" t="s">
        <v>74</v>
      </c>
      <c r="BB388" t="s">
        <v>74</v>
      </c>
      <c r="BC388" t="s">
        <v>74</v>
      </c>
      <c r="BD388">
        <v>103428</v>
      </c>
      <c r="BE388" t="s">
        <v>7028</v>
      </c>
      <c r="BF388" t="str">
        <f>HYPERLINK("http://dx.doi.org/10.1016/j.cose.2023.103428","http://dx.doi.org/10.1016/j.cose.2023.103428")</f>
        <v>http://dx.doi.org/10.1016/j.cose.2023.103428</v>
      </c>
      <c r="BG388" t="s">
        <v>74</v>
      </c>
      <c r="BH388" t="s">
        <v>74</v>
      </c>
      <c r="BI388">
        <v>8</v>
      </c>
      <c r="BJ388" t="s">
        <v>7029</v>
      </c>
      <c r="BK388" t="s">
        <v>100</v>
      </c>
      <c r="BL388" t="s">
        <v>563</v>
      </c>
      <c r="BM388" t="s">
        <v>7030</v>
      </c>
      <c r="BN388" t="s">
        <v>74</v>
      </c>
      <c r="BO388" t="s">
        <v>74</v>
      </c>
      <c r="BP388" t="s">
        <v>74</v>
      </c>
      <c r="BQ388" t="s">
        <v>74</v>
      </c>
      <c r="BR388" t="s">
        <v>104</v>
      </c>
      <c r="BS388" t="s">
        <v>7031</v>
      </c>
      <c r="BT388" t="str">
        <f>HYPERLINK("https%3A%2F%2Fwww.webofscience.com%2Fwos%2Fwoscc%2Ffull-record%2FWOS:001062701100001","View Full Record in Web of Science")</f>
        <v>View Full Record in Web of Science</v>
      </c>
    </row>
    <row r="389" spans="1:72" x14ac:dyDescent="0.15">
      <c r="A389" t="s">
        <v>72</v>
      </c>
      <c r="B389" t="s">
        <v>7032</v>
      </c>
      <c r="C389" t="s">
        <v>74</v>
      </c>
      <c r="D389" t="s">
        <v>74</v>
      </c>
      <c r="E389" t="s">
        <v>74</v>
      </c>
      <c r="F389" t="s">
        <v>7033</v>
      </c>
      <c r="G389" t="s">
        <v>74</v>
      </c>
      <c r="H389" t="s">
        <v>74</v>
      </c>
      <c r="I389" t="s">
        <v>7034</v>
      </c>
      <c r="J389" t="s">
        <v>6953</v>
      </c>
      <c r="K389" t="s">
        <v>74</v>
      </c>
      <c r="L389" t="s">
        <v>74</v>
      </c>
      <c r="M389" t="s">
        <v>78</v>
      </c>
      <c r="N389" t="s">
        <v>241</v>
      </c>
      <c r="O389" t="s">
        <v>74</v>
      </c>
      <c r="P389" t="s">
        <v>74</v>
      </c>
      <c r="Q389" t="s">
        <v>74</v>
      </c>
      <c r="R389" t="s">
        <v>74</v>
      </c>
      <c r="S389" t="s">
        <v>74</v>
      </c>
      <c r="T389" t="s">
        <v>7035</v>
      </c>
      <c r="U389" t="s">
        <v>7036</v>
      </c>
      <c r="V389" t="s">
        <v>7037</v>
      </c>
      <c r="W389" t="s">
        <v>7038</v>
      </c>
      <c r="X389" t="s">
        <v>7039</v>
      </c>
      <c r="Y389" t="s">
        <v>7040</v>
      </c>
      <c r="Z389" t="s">
        <v>7041</v>
      </c>
      <c r="AA389" t="s">
        <v>74</v>
      </c>
      <c r="AB389" t="s">
        <v>74</v>
      </c>
      <c r="AC389" t="s">
        <v>7042</v>
      </c>
      <c r="AD389" t="s">
        <v>7043</v>
      </c>
      <c r="AE389" t="s">
        <v>7044</v>
      </c>
      <c r="AF389" t="s">
        <v>74</v>
      </c>
      <c r="AG389">
        <v>35</v>
      </c>
      <c r="AH389">
        <v>0</v>
      </c>
      <c r="AI389">
        <v>0</v>
      </c>
      <c r="AJ389">
        <v>0</v>
      </c>
      <c r="AK389">
        <v>0</v>
      </c>
      <c r="AL389" t="s">
        <v>120</v>
      </c>
      <c r="AM389" t="s">
        <v>121</v>
      </c>
      <c r="AN389" t="s">
        <v>122</v>
      </c>
      <c r="AO389" t="s">
        <v>6963</v>
      </c>
      <c r="AP389" t="s">
        <v>6964</v>
      </c>
      <c r="AQ389" t="s">
        <v>74</v>
      </c>
      <c r="AR389" t="s">
        <v>6965</v>
      </c>
      <c r="AS389" t="s">
        <v>6966</v>
      </c>
      <c r="AT389" t="s">
        <v>6618</v>
      </c>
      <c r="AU389">
        <v>2023</v>
      </c>
      <c r="AV389">
        <v>79</v>
      </c>
      <c r="AW389" t="s">
        <v>74</v>
      </c>
      <c r="AX389" t="s">
        <v>74</v>
      </c>
      <c r="AY389" t="s">
        <v>74</v>
      </c>
      <c r="AZ389" t="s">
        <v>74</v>
      </c>
      <c r="BA389" t="s">
        <v>74</v>
      </c>
      <c r="BB389" t="s">
        <v>74</v>
      </c>
      <c r="BC389" t="s">
        <v>74</v>
      </c>
      <c r="BD389">
        <v>104956</v>
      </c>
      <c r="BE389" t="s">
        <v>7045</v>
      </c>
      <c r="BF389" t="str">
        <f>HYPERLINK("http://dx.doi.org/10.1016/j.msard.2023.104956","http://dx.doi.org/10.1016/j.msard.2023.104956")</f>
        <v>http://dx.doi.org/10.1016/j.msard.2023.104956</v>
      </c>
      <c r="BG389" t="s">
        <v>74</v>
      </c>
      <c r="BH389" t="s">
        <v>74</v>
      </c>
      <c r="BI389">
        <v>8</v>
      </c>
      <c r="BJ389" t="s">
        <v>4188</v>
      </c>
      <c r="BK389" t="s">
        <v>100</v>
      </c>
      <c r="BL389" t="s">
        <v>4189</v>
      </c>
      <c r="BM389" t="s">
        <v>7046</v>
      </c>
      <c r="BN389">
        <v>37660457</v>
      </c>
      <c r="BO389" t="s">
        <v>74</v>
      </c>
      <c r="BP389" t="s">
        <v>74</v>
      </c>
      <c r="BQ389" t="s">
        <v>74</v>
      </c>
      <c r="BR389" t="s">
        <v>104</v>
      </c>
      <c r="BS389" t="s">
        <v>7047</v>
      </c>
      <c r="BT389" t="str">
        <f>HYPERLINK("https%3A%2F%2Fwww.webofscience.com%2Fwos%2Fwoscc%2Ffull-record%2FWOS:001070706200001","View Full Record in Web of Science")</f>
        <v>View Full Record in Web of Science</v>
      </c>
    </row>
    <row r="390" spans="1:72" x14ac:dyDescent="0.15">
      <c r="A390" t="s">
        <v>72</v>
      </c>
      <c r="B390" t="s">
        <v>7048</v>
      </c>
      <c r="C390" t="s">
        <v>74</v>
      </c>
      <c r="D390" t="s">
        <v>74</v>
      </c>
      <c r="E390" t="s">
        <v>74</v>
      </c>
      <c r="F390" t="s">
        <v>7049</v>
      </c>
      <c r="G390" t="s">
        <v>74</v>
      </c>
      <c r="H390" t="s">
        <v>74</v>
      </c>
      <c r="I390" t="s">
        <v>7050</v>
      </c>
      <c r="J390" t="s">
        <v>7051</v>
      </c>
      <c r="K390" t="s">
        <v>74</v>
      </c>
      <c r="L390" t="s">
        <v>74</v>
      </c>
      <c r="M390" t="s">
        <v>78</v>
      </c>
      <c r="N390" t="s">
        <v>79</v>
      </c>
      <c r="O390" t="s">
        <v>74</v>
      </c>
      <c r="P390" t="s">
        <v>74</v>
      </c>
      <c r="Q390" t="s">
        <v>74</v>
      </c>
      <c r="R390" t="s">
        <v>74</v>
      </c>
      <c r="S390" t="s">
        <v>74</v>
      </c>
      <c r="T390" t="s">
        <v>7052</v>
      </c>
      <c r="U390" t="s">
        <v>7053</v>
      </c>
      <c r="V390" t="s">
        <v>7054</v>
      </c>
      <c r="W390" t="s">
        <v>7055</v>
      </c>
      <c r="X390" t="s">
        <v>7056</v>
      </c>
      <c r="Y390" t="s">
        <v>7057</v>
      </c>
      <c r="Z390" t="s">
        <v>7058</v>
      </c>
      <c r="AA390" t="s">
        <v>74</v>
      </c>
      <c r="AB390" t="s">
        <v>74</v>
      </c>
      <c r="AC390" t="s">
        <v>7059</v>
      </c>
      <c r="AD390" t="s">
        <v>7060</v>
      </c>
      <c r="AE390" t="s">
        <v>7061</v>
      </c>
      <c r="AF390" t="s">
        <v>74</v>
      </c>
      <c r="AG390">
        <v>53</v>
      </c>
      <c r="AH390">
        <v>0</v>
      </c>
      <c r="AI390">
        <v>0</v>
      </c>
      <c r="AJ390">
        <v>0</v>
      </c>
      <c r="AK390">
        <v>0</v>
      </c>
      <c r="AL390" t="s">
        <v>90</v>
      </c>
      <c r="AM390" t="s">
        <v>91</v>
      </c>
      <c r="AN390" t="s">
        <v>92</v>
      </c>
      <c r="AO390" t="s">
        <v>7062</v>
      </c>
      <c r="AP390" t="s">
        <v>7063</v>
      </c>
      <c r="AQ390" t="s">
        <v>74</v>
      </c>
      <c r="AR390" t="s">
        <v>7064</v>
      </c>
      <c r="AS390" t="s">
        <v>7065</v>
      </c>
      <c r="AT390" t="s">
        <v>6618</v>
      </c>
      <c r="AU390">
        <v>2023</v>
      </c>
      <c r="AV390">
        <v>230</v>
      </c>
      <c r="AW390" t="s">
        <v>74</v>
      </c>
      <c r="AX390" t="s">
        <v>74</v>
      </c>
      <c r="AY390" t="s">
        <v>74</v>
      </c>
      <c r="AZ390" t="s">
        <v>74</v>
      </c>
      <c r="BA390" t="s">
        <v>74</v>
      </c>
      <c r="BB390" t="s">
        <v>74</v>
      </c>
      <c r="BC390" t="s">
        <v>74</v>
      </c>
      <c r="BD390">
        <v>212210</v>
      </c>
      <c r="BE390" t="s">
        <v>7066</v>
      </c>
      <c r="BF390" t="str">
        <f>HYPERLINK("http://dx.doi.org/10.1016/j.geoen.2023.212210","http://dx.doi.org/10.1016/j.geoen.2023.212210")</f>
        <v>http://dx.doi.org/10.1016/j.geoen.2023.212210</v>
      </c>
      <c r="BG390" t="s">
        <v>74</v>
      </c>
      <c r="BH390" t="s">
        <v>74</v>
      </c>
      <c r="BI390">
        <v>10</v>
      </c>
      <c r="BJ390" t="s">
        <v>7067</v>
      </c>
      <c r="BK390" t="s">
        <v>100</v>
      </c>
      <c r="BL390" t="s">
        <v>277</v>
      </c>
      <c r="BM390" t="s">
        <v>7068</v>
      </c>
      <c r="BN390" t="s">
        <v>74</v>
      </c>
      <c r="BO390" t="s">
        <v>74</v>
      </c>
      <c r="BP390" t="s">
        <v>74</v>
      </c>
      <c r="BQ390" t="s">
        <v>74</v>
      </c>
      <c r="BR390" t="s">
        <v>104</v>
      </c>
      <c r="BS390" t="s">
        <v>7069</v>
      </c>
      <c r="BT390" t="str">
        <f>HYPERLINK("https%3A%2F%2Fwww.webofscience.com%2Fwos%2Fwoscc%2Ffull-record%2FWOS:001064697200001","View Full Record in Web of Science")</f>
        <v>View Full Record in Web of Science</v>
      </c>
    </row>
    <row r="391" spans="1:72" x14ac:dyDescent="0.15">
      <c r="A391" t="s">
        <v>72</v>
      </c>
      <c r="B391" t="s">
        <v>7070</v>
      </c>
      <c r="C391" t="s">
        <v>74</v>
      </c>
      <c r="D391" t="s">
        <v>74</v>
      </c>
      <c r="E391" t="s">
        <v>74</v>
      </c>
      <c r="F391" t="s">
        <v>7071</v>
      </c>
      <c r="G391" t="s">
        <v>74</v>
      </c>
      <c r="H391" t="s">
        <v>74</v>
      </c>
      <c r="I391" t="s">
        <v>7072</v>
      </c>
      <c r="J391" t="s">
        <v>7073</v>
      </c>
      <c r="K391" t="s">
        <v>74</v>
      </c>
      <c r="L391" t="s">
        <v>74</v>
      </c>
      <c r="M391" t="s">
        <v>78</v>
      </c>
      <c r="N391" t="s">
        <v>79</v>
      </c>
      <c r="O391" t="s">
        <v>74</v>
      </c>
      <c r="P391" t="s">
        <v>74</v>
      </c>
      <c r="Q391" t="s">
        <v>74</v>
      </c>
      <c r="R391" t="s">
        <v>74</v>
      </c>
      <c r="S391" t="s">
        <v>74</v>
      </c>
      <c r="T391" t="s">
        <v>7074</v>
      </c>
      <c r="U391" t="s">
        <v>7075</v>
      </c>
      <c r="V391" t="s">
        <v>7076</v>
      </c>
      <c r="W391" t="s">
        <v>7077</v>
      </c>
      <c r="X391" t="s">
        <v>7078</v>
      </c>
      <c r="Y391" t="s">
        <v>7079</v>
      </c>
      <c r="Z391" t="s">
        <v>7080</v>
      </c>
      <c r="AA391" t="s">
        <v>74</v>
      </c>
      <c r="AB391" t="s">
        <v>74</v>
      </c>
      <c r="AC391" t="s">
        <v>74</v>
      </c>
      <c r="AD391" t="s">
        <v>74</v>
      </c>
      <c r="AE391" t="s">
        <v>74</v>
      </c>
      <c r="AF391" t="s">
        <v>74</v>
      </c>
      <c r="AG391">
        <v>24</v>
      </c>
      <c r="AH391">
        <v>0</v>
      </c>
      <c r="AI391">
        <v>0</v>
      </c>
      <c r="AJ391">
        <v>0</v>
      </c>
      <c r="AK391">
        <v>0</v>
      </c>
      <c r="AL391" t="s">
        <v>147</v>
      </c>
      <c r="AM391" t="s">
        <v>148</v>
      </c>
      <c r="AN391" t="s">
        <v>149</v>
      </c>
      <c r="AO391" t="s">
        <v>7081</v>
      </c>
      <c r="AP391" t="s">
        <v>7082</v>
      </c>
      <c r="AQ391" t="s">
        <v>74</v>
      </c>
      <c r="AR391" t="s">
        <v>7083</v>
      </c>
      <c r="AS391" t="s">
        <v>7084</v>
      </c>
      <c r="AT391" t="s">
        <v>6659</v>
      </c>
      <c r="AU391">
        <v>2023</v>
      </c>
      <c r="AV391">
        <v>676</v>
      </c>
      <c r="AW391" t="s">
        <v>74</v>
      </c>
      <c r="AX391" t="s">
        <v>74</v>
      </c>
      <c r="AY391" t="s">
        <v>74</v>
      </c>
      <c r="AZ391" t="s">
        <v>74</v>
      </c>
      <c r="BA391" t="s">
        <v>74</v>
      </c>
      <c r="BB391">
        <v>296</v>
      </c>
      <c r="BC391">
        <v>317</v>
      </c>
      <c r="BD391" t="s">
        <v>74</v>
      </c>
      <c r="BE391" t="s">
        <v>7085</v>
      </c>
      <c r="BF391" t="str">
        <f>HYPERLINK("http://dx.doi.org/10.1016/j.laa.2023.07.017","http://dx.doi.org/10.1016/j.laa.2023.07.017")</f>
        <v>http://dx.doi.org/10.1016/j.laa.2023.07.017</v>
      </c>
      <c r="BG391" t="s">
        <v>74</v>
      </c>
      <c r="BH391" t="s">
        <v>74</v>
      </c>
      <c r="BI391">
        <v>22</v>
      </c>
      <c r="BJ391" t="s">
        <v>99</v>
      </c>
      <c r="BK391" t="s">
        <v>100</v>
      </c>
      <c r="BL391" t="s">
        <v>101</v>
      </c>
      <c r="BM391" t="s">
        <v>7086</v>
      </c>
      <c r="BN391" t="s">
        <v>74</v>
      </c>
      <c r="BO391" t="s">
        <v>74</v>
      </c>
      <c r="BP391" t="s">
        <v>74</v>
      </c>
      <c r="BQ391" t="s">
        <v>74</v>
      </c>
      <c r="BR391" t="s">
        <v>104</v>
      </c>
      <c r="BS391" t="s">
        <v>7087</v>
      </c>
      <c r="BT391" t="str">
        <f>HYPERLINK("https%3A%2F%2Fwww.webofscience.com%2Fwos%2Fwoscc%2Ffull-record%2FWOS:001052906200001","View Full Record in Web of Science")</f>
        <v>View Full Record in Web of Science</v>
      </c>
    </row>
    <row r="392" spans="1:72" x14ac:dyDescent="0.15">
      <c r="A392" t="s">
        <v>72</v>
      </c>
      <c r="B392" t="s">
        <v>7088</v>
      </c>
      <c r="C392" t="s">
        <v>74</v>
      </c>
      <c r="D392" t="s">
        <v>74</v>
      </c>
      <c r="E392" t="s">
        <v>74</v>
      </c>
      <c r="F392" t="s">
        <v>7089</v>
      </c>
      <c r="G392" t="s">
        <v>74</v>
      </c>
      <c r="H392" t="s">
        <v>74</v>
      </c>
      <c r="I392" t="s">
        <v>7090</v>
      </c>
      <c r="J392" t="s">
        <v>5302</v>
      </c>
      <c r="K392" t="s">
        <v>74</v>
      </c>
      <c r="L392" t="s">
        <v>74</v>
      </c>
      <c r="M392" t="s">
        <v>78</v>
      </c>
      <c r="N392" t="s">
        <v>79</v>
      </c>
      <c r="O392" t="s">
        <v>74</v>
      </c>
      <c r="P392" t="s">
        <v>74</v>
      </c>
      <c r="Q392" t="s">
        <v>74</v>
      </c>
      <c r="R392" t="s">
        <v>74</v>
      </c>
      <c r="S392" t="s">
        <v>74</v>
      </c>
      <c r="T392" t="s">
        <v>7091</v>
      </c>
      <c r="U392" t="s">
        <v>7092</v>
      </c>
      <c r="V392" t="s">
        <v>7093</v>
      </c>
      <c r="W392" t="s">
        <v>7094</v>
      </c>
      <c r="X392" t="s">
        <v>7095</v>
      </c>
      <c r="Y392" t="s">
        <v>7096</v>
      </c>
      <c r="Z392" t="s">
        <v>7097</v>
      </c>
      <c r="AA392" t="s">
        <v>7098</v>
      </c>
      <c r="AB392" t="s">
        <v>7099</v>
      </c>
      <c r="AC392" t="s">
        <v>7100</v>
      </c>
      <c r="AD392" t="s">
        <v>7101</v>
      </c>
      <c r="AE392" t="s">
        <v>7102</v>
      </c>
      <c r="AF392" t="s">
        <v>74</v>
      </c>
      <c r="AG392">
        <v>45</v>
      </c>
      <c r="AH392">
        <v>0</v>
      </c>
      <c r="AI392">
        <v>0</v>
      </c>
      <c r="AJ392">
        <v>0</v>
      </c>
      <c r="AK392">
        <v>0</v>
      </c>
      <c r="AL392" t="s">
        <v>475</v>
      </c>
      <c r="AM392" t="s">
        <v>476</v>
      </c>
      <c r="AN392" t="s">
        <v>477</v>
      </c>
      <c r="AO392" t="s">
        <v>5315</v>
      </c>
      <c r="AP392" t="s">
        <v>5316</v>
      </c>
      <c r="AQ392" t="s">
        <v>74</v>
      </c>
      <c r="AR392" t="s">
        <v>5317</v>
      </c>
      <c r="AS392" t="s">
        <v>5318</v>
      </c>
      <c r="AT392" t="s">
        <v>6659</v>
      </c>
      <c r="AU392">
        <v>2023</v>
      </c>
      <c r="AV392">
        <v>236</v>
      </c>
      <c r="AW392" t="s">
        <v>74</v>
      </c>
      <c r="AX392">
        <v>2</v>
      </c>
      <c r="AY392" t="s">
        <v>74</v>
      </c>
      <c r="AZ392" t="s">
        <v>74</v>
      </c>
      <c r="BA392" t="s">
        <v>74</v>
      </c>
      <c r="BB392" t="s">
        <v>74</v>
      </c>
      <c r="BC392" t="s">
        <v>74</v>
      </c>
      <c r="BD392">
        <v>116712</v>
      </c>
      <c r="BE392" t="s">
        <v>7103</v>
      </c>
      <c r="BF392" t="str">
        <f>HYPERLINK("http://dx.doi.org/10.1016/j.envres.2023.116712","http://dx.doi.org/10.1016/j.envres.2023.116712")</f>
        <v>http://dx.doi.org/10.1016/j.envres.2023.116712</v>
      </c>
      <c r="BG392" t="s">
        <v>74</v>
      </c>
      <c r="BH392" t="s">
        <v>74</v>
      </c>
      <c r="BI392">
        <v>10</v>
      </c>
      <c r="BJ392" t="s">
        <v>5320</v>
      </c>
      <c r="BK392" t="s">
        <v>100</v>
      </c>
      <c r="BL392" t="s">
        <v>5321</v>
      </c>
      <c r="BM392" t="s">
        <v>7104</v>
      </c>
      <c r="BN392">
        <v>37482128</v>
      </c>
      <c r="BO392" t="s">
        <v>74</v>
      </c>
      <c r="BP392" t="s">
        <v>74</v>
      </c>
      <c r="BQ392" t="s">
        <v>74</v>
      </c>
      <c r="BR392" t="s">
        <v>104</v>
      </c>
      <c r="BS392" t="s">
        <v>7105</v>
      </c>
      <c r="BT392" t="str">
        <f>HYPERLINK("https%3A%2F%2Fwww.webofscience.com%2Fwos%2Fwoscc%2Ffull-record%2FWOS:001053585400001","View Full Record in Web of Science")</f>
        <v>View Full Record in Web of Science</v>
      </c>
    </row>
    <row r="393" spans="1:72" x14ac:dyDescent="0.15">
      <c r="A393" t="s">
        <v>72</v>
      </c>
      <c r="B393" t="s">
        <v>7106</v>
      </c>
      <c r="C393" t="s">
        <v>74</v>
      </c>
      <c r="D393" t="s">
        <v>74</v>
      </c>
      <c r="E393" t="s">
        <v>74</v>
      </c>
      <c r="F393" t="s">
        <v>7107</v>
      </c>
      <c r="G393" t="s">
        <v>74</v>
      </c>
      <c r="H393" t="s">
        <v>74</v>
      </c>
      <c r="I393" t="s">
        <v>7108</v>
      </c>
      <c r="J393" t="s">
        <v>7109</v>
      </c>
      <c r="K393" t="s">
        <v>74</v>
      </c>
      <c r="L393" t="s">
        <v>74</v>
      </c>
      <c r="M393" t="s">
        <v>78</v>
      </c>
      <c r="N393" t="s">
        <v>79</v>
      </c>
      <c r="O393" t="s">
        <v>74</v>
      </c>
      <c r="P393" t="s">
        <v>74</v>
      </c>
      <c r="Q393" t="s">
        <v>74</v>
      </c>
      <c r="R393" t="s">
        <v>74</v>
      </c>
      <c r="S393" t="s">
        <v>74</v>
      </c>
      <c r="T393" t="s">
        <v>7110</v>
      </c>
      <c r="U393" t="s">
        <v>7111</v>
      </c>
      <c r="V393" t="s">
        <v>7112</v>
      </c>
      <c r="W393" t="s">
        <v>7113</v>
      </c>
      <c r="X393" t="s">
        <v>7114</v>
      </c>
      <c r="Y393" t="s">
        <v>7115</v>
      </c>
      <c r="Z393" t="s">
        <v>7116</v>
      </c>
      <c r="AA393" t="s">
        <v>74</v>
      </c>
      <c r="AB393" t="s">
        <v>74</v>
      </c>
      <c r="AC393" t="s">
        <v>7117</v>
      </c>
      <c r="AD393" t="s">
        <v>252</v>
      </c>
      <c r="AE393" t="s">
        <v>7118</v>
      </c>
      <c r="AF393" t="s">
        <v>74</v>
      </c>
      <c r="AG393">
        <v>40</v>
      </c>
      <c r="AH393">
        <v>0</v>
      </c>
      <c r="AI393">
        <v>0</v>
      </c>
      <c r="AJ393">
        <v>13</v>
      </c>
      <c r="AK393">
        <v>13</v>
      </c>
      <c r="AL393" t="s">
        <v>90</v>
      </c>
      <c r="AM393" t="s">
        <v>91</v>
      </c>
      <c r="AN393" t="s">
        <v>92</v>
      </c>
      <c r="AO393" t="s">
        <v>7119</v>
      </c>
      <c r="AP393" t="s">
        <v>7120</v>
      </c>
      <c r="AQ393" t="s">
        <v>74</v>
      </c>
      <c r="AR393" t="s">
        <v>7121</v>
      </c>
      <c r="AS393" t="s">
        <v>7122</v>
      </c>
      <c r="AT393" t="s">
        <v>6618</v>
      </c>
      <c r="AU393">
        <v>2023</v>
      </c>
      <c r="AV393">
        <v>173</v>
      </c>
      <c r="AW393" t="s">
        <v>74</v>
      </c>
      <c r="AX393">
        <v>1</v>
      </c>
      <c r="AY393" t="s">
        <v>74</v>
      </c>
      <c r="AZ393" t="s">
        <v>74</v>
      </c>
      <c r="BA393" t="s">
        <v>74</v>
      </c>
      <c r="BB393" t="s">
        <v>74</v>
      </c>
      <c r="BC393" t="s">
        <v>74</v>
      </c>
      <c r="BD393">
        <v>113211</v>
      </c>
      <c r="BE393" t="s">
        <v>7123</v>
      </c>
      <c r="BF393" t="str">
        <f>HYPERLINK("http://dx.doi.org/10.1016/j.foodres.2023.113211","http://dx.doi.org/10.1016/j.foodres.2023.113211")</f>
        <v>http://dx.doi.org/10.1016/j.foodres.2023.113211</v>
      </c>
      <c r="BG393" t="s">
        <v>74</v>
      </c>
      <c r="BH393" t="s">
        <v>74</v>
      </c>
      <c r="BI393">
        <v>11</v>
      </c>
      <c r="BJ393" t="s">
        <v>1033</v>
      </c>
      <c r="BK393" t="s">
        <v>100</v>
      </c>
      <c r="BL393" t="s">
        <v>1033</v>
      </c>
      <c r="BM393" t="s">
        <v>7124</v>
      </c>
      <c r="BN393" t="s">
        <v>74</v>
      </c>
      <c r="BO393" t="s">
        <v>74</v>
      </c>
      <c r="BP393" t="s">
        <v>74</v>
      </c>
      <c r="BQ393" t="s">
        <v>74</v>
      </c>
      <c r="BR393" t="s">
        <v>104</v>
      </c>
      <c r="BS393" t="s">
        <v>7125</v>
      </c>
      <c r="BT393" t="str">
        <f>HYPERLINK("https%3A%2F%2Fwww.webofscience.com%2Fwos%2Fwoscc%2Ffull-record%2FWOS:001042970500001","View Full Record in Web of Science")</f>
        <v>View Full Record in Web of Science</v>
      </c>
    </row>
    <row r="394" spans="1:72" x14ac:dyDescent="0.15">
      <c r="A394" t="s">
        <v>72</v>
      </c>
      <c r="B394" t="s">
        <v>7126</v>
      </c>
      <c r="C394" t="s">
        <v>74</v>
      </c>
      <c r="D394" t="s">
        <v>74</v>
      </c>
      <c r="E394" t="s">
        <v>74</v>
      </c>
      <c r="F394" t="s">
        <v>7127</v>
      </c>
      <c r="G394" t="s">
        <v>74</v>
      </c>
      <c r="H394" t="s">
        <v>74</v>
      </c>
      <c r="I394" t="s">
        <v>7128</v>
      </c>
      <c r="J394" t="s">
        <v>7129</v>
      </c>
      <c r="K394" t="s">
        <v>74</v>
      </c>
      <c r="L394" t="s">
        <v>74</v>
      </c>
      <c r="M394" t="s">
        <v>78</v>
      </c>
      <c r="N394" t="s">
        <v>79</v>
      </c>
      <c r="O394" t="s">
        <v>74</v>
      </c>
      <c r="P394" t="s">
        <v>74</v>
      </c>
      <c r="Q394" t="s">
        <v>74</v>
      </c>
      <c r="R394" t="s">
        <v>74</v>
      </c>
      <c r="S394" t="s">
        <v>74</v>
      </c>
      <c r="T394" t="s">
        <v>7130</v>
      </c>
      <c r="U394" t="s">
        <v>7131</v>
      </c>
      <c r="V394" t="s">
        <v>7132</v>
      </c>
      <c r="W394" t="s">
        <v>7133</v>
      </c>
      <c r="X394" t="s">
        <v>7134</v>
      </c>
      <c r="Y394" t="s">
        <v>7135</v>
      </c>
      <c r="Z394" t="s">
        <v>7136</v>
      </c>
      <c r="AA394" t="s">
        <v>7137</v>
      </c>
      <c r="AB394" t="s">
        <v>7138</v>
      </c>
      <c r="AC394" t="s">
        <v>7139</v>
      </c>
      <c r="AD394" t="s">
        <v>7140</v>
      </c>
      <c r="AE394" t="s">
        <v>7141</v>
      </c>
      <c r="AF394" t="s">
        <v>74</v>
      </c>
      <c r="AG394">
        <v>59</v>
      </c>
      <c r="AH394">
        <v>0</v>
      </c>
      <c r="AI394">
        <v>0</v>
      </c>
      <c r="AJ394">
        <v>0</v>
      </c>
      <c r="AK394">
        <v>0</v>
      </c>
      <c r="AL394" t="s">
        <v>173</v>
      </c>
      <c r="AM394" t="s">
        <v>121</v>
      </c>
      <c r="AN394" t="s">
        <v>174</v>
      </c>
      <c r="AO394" t="s">
        <v>7142</v>
      </c>
      <c r="AP394" t="s">
        <v>74</v>
      </c>
      <c r="AQ394" t="s">
        <v>74</v>
      </c>
      <c r="AR394" t="s">
        <v>7143</v>
      </c>
      <c r="AS394" t="s">
        <v>7144</v>
      </c>
      <c r="AT394" t="s">
        <v>6618</v>
      </c>
      <c r="AU394">
        <v>2023</v>
      </c>
      <c r="AV394">
        <v>202</v>
      </c>
      <c r="AW394" t="s">
        <v>74</v>
      </c>
      <c r="AX394" t="s">
        <v>74</v>
      </c>
      <c r="AY394" t="s">
        <v>74</v>
      </c>
      <c r="AZ394" t="s">
        <v>74</v>
      </c>
      <c r="BA394" t="s">
        <v>74</v>
      </c>
      <c r="BB394" t="s">
        <v>74</v>
      </c>
      <c r="BC394" t="s">
        <v>74</v>
      </c>
      <c r="BD394">
        <v>108285</v>
      </c>
      <c r="BE394" t="s">
        <v>7145</v>
      </c>
      <c r="BF394" t="str">
        <f>HYPERLINK("http://dx.doi.org/10.1016/j.mineng.2023.108285","http://dx.doi.org/10.1016/j.mineng.2023.108285")</f>
        <v>http://dx.doi.org/10.1016/j.mineng.2023.108285</v>
      </c>
      <c r="BG394" t="s">
        <v>74</v>
      </c>
      <c r="BH394" t="s">
        <v>74</v>
      </c>
      <c r="BI394">
        <v>20</v>
      </c>
      <c r="BJ394" t="s">
        <v>7146</v>
      </c>
      <c r="BK394" t="s">
        <v>100</v>
      </c>
      <c r="BL394" t="s">
        <v>7147</v>
      </c>
      <c r="BM394" t="s">
        <v>7148</v>
      </c>
      <c r="BN394" t="s">
        <v>74</v>
      </c>
      <c r="BO394" t="s">
        <v>295</v>
      </c>
      <c r="BP394" t="s">
        <v>74</v>
      </c>
      <c r="BQ394" t="s">
        <v>74</v>
      </c>
      <c r="BR394" t="s">
        <v>104</v>
      </c>
      <c r="BS394" t="s">
        <v>7149</v>
      </c>
      <c r="BT394" t="str">
        <f>HYPERLINK("https%3A%2F%2Fwww.webofscience.com%2Fwos%2Fwoscc%2Ffull-record%2FWOS:001054054200001","View Full Record in Web of Science")</f>
        <v>View Full Record in Web of Science</v>
      </c>
    </row>
    <row r="395" spans="1:72" x14ac:dyDescent="0.15">
      <c r="A395" t="s">
        <v>72</v>
      </c>
      <c r="B395" t="s">
        <v>7150</v>
      </c>
      <c r="C395" t="s">
        <v>74</v>
      </c>
      <c r="D395" t="s">
        <v>74</v>
      </c>
      <c r="E395" t="s">
        <v>74</v>
      </c>
      <c r="F395" t="s">
        <v>7151</v>
      </c>
      <c r="G395" t="s">
        <v>74</v>
      </c>
      <c r="H395" t="s">
        <v>74</v>
      </c>
      <c r="I395" t="s">
        <v>7152</v>
      </c>
      <c r="J395" t="s">
        <v>7153</v>
      </c>
      <c r="K395" t="s">
        <v>74</v>
      </c>
      <c r="L395" t="s">
        <v>74</v>
      </c>
      <c r="M395" t="s">
        <v>78</v>
      </c>
      <c r="N395" t="s">
        <v>79</v>
      </c>
      <c r="O395" t="s">
        <v>74</v>
      </c>
      <c r="P395" t="s">
        <v>74</v>
      </c>
      <c r="Q395" t="s">
        <v>74</v>
      </c>
      <c r="R395" t="s">
        <v>74</v>
      </c>
      <c r="S395" t="s">
        <v>74</v>
      </c>
      <c r="T395" t="s">
        <v>7154</v>
      </c>
      <c r="U395" t="s">
        <v>74</v>
      </c>
      <c r="V395" t="s">
        <v>7155</v>
      </c>
      <c r="W395" t="s">
        <v>7156</v>
      </c>
      <c r="X395" t="s">
        <v>7157</v>
      </c>
      <c r="Y395" t="s">
        <v>7158</v>
      </c>
      <c r="Z395" t="s">
        <v>7159</v>
      </c>
      <c r="AA395" t="s">
        <v>7160</v>
      </c>
      <c r="AB395" t="s">
        <v>7161</v>
      </c>
      <c r="AC395" t="s">
        <v>74</v>
      </c>
      <c r="AD395" t="s">
        <v>74</v>
      </c>
      <c r="AE395" t="s">
        <v>74</v>
      </c>
      <c r="AF395" t="s">
        <v>74</v>
      </c>
      <c r="AG395">
        <v>6</v>
      </c>
      <c r="AH395">
        <v>0</v>
      </c>
      <c r="AI395">
        <v>0</v>
      </c>
      <c r="AJ395">
        <v>1</v>
      </c>
      <c r="AK395">
        <v>1</v>
      </c>
      <c r="AL395" t="s">
        <v>329</v>
      </c>
      <c r="AM395" t="s">
        <v>330</v>
      </c>
      <c r="AN395" t="s">
        <v>331</v>
      </c>
      <c r="AO395" t="s">
        <v>7162</v>
      </c>
      <c r="AP395" t="s">
        <v>7163</v>
      </c>
      <c r="AQ395" t="s">
        <v>74</v>
      </c>
      <c r="AR395" t="s">
        <v>7153</v>
      </c>
      <c r="AS395" t="s">
        <v>7164</v>
      </c>
      <c r="AT395" t="s">
        <v>6618</v>
      </c>
      <c r="AU395">
        <v>2023</v>
      </c>
      <c r="AV395">
        <v>177</v>
      </c>
      <c r="AW395" t="s">
        <v>74</v>
      </c>
      <c r="AX395" t="s">
        <v>74</v>
      </c>
      <c r="AY395" t="s">
        <v>74</v>
      </c>
      <c r="AZ395" t="s">
        <v>74</v>
      </c>
      <c r="BA395" t="s">
        <v>74</v>
      </c>
      <c r="BB395" t="s">
        <v>74</v>
      </c>
      <c r="BC395" t="s">
        <v>74</v>
      </c>
      <c r="BD395">
        <v>107800</v>
      </c>
      <c r="BE395" t="s">
        <v>7165</v>
      </c>
      <c r="BF395" t="str">
        <f>HYPERLINK("http://dx.doi.org/10.1016/j.maturitas.2023.107800","http://dx.doi.org/10.1016/j.maturitas.2023.107800")</f>
        <v>http://dx.doi.org/10.1016/j.maturitas.2023.107800</v>
      </c>
      <c r="BG395" t="s">
        <v>74</v>
      </c>
      <c r="BH395" t="s">
        <v>74</v>
      </c>
      <c r="BI395">
        <v>3</v>
      </c>
      <c r="BJ395" t="s">
        <v>7166</v>
      </c>
      <c r="BK395" t="s">
        <v>100</v>
      </c>
      <c r="BL395" t="s">
        <v>7166</v>
      </c>
      <c r="BM395" t="s">
        <v>7167</v>
      </c>
      <c r="BN395">
        <v>37506561</v>
      </c>
      <c r="BO395" t="s">
        <v>74</v>
      </c>
      <c r="BP395" t="s">
        <v>74</v>
      </c>
      <c r="BQ395" t="s">
        <v>74</v>
      </c>
      <c r="BR395" t="s">
        <v>104</v>
      </c>
      <c r="BS395" t="s">
        <v>7168</v>
      </c>
      <c r="BT395" t="str">
        <f>HYPERLINK("https%3A%2F%2Fwww.webofscience.com%2Fwos%2Fwoscc%2Ffull-record%2FWOS:001048879800001","View Full Record in Web of Science")</f>
        <v>View Full Record in Web of Science</v>
      </c>
    </row>
    <row r="396" spans="1:72" x14ac:dyDescent="0.15">
      <c r="A396" t="s">
        <v>72</v>
      </c>
      <c r="B396" t="s">
        <v>7169</v>
      </c>
      <c r="C396" t="s">
        <v>74</v>
      </c>
      <c r="D396" t="s">
        <v>74</v>
      </c>
      <c r="E396" t="s">
        <v>74</v>
      </c>
      <c r="F396" t="s">
        <v>7170</v>
      </c>
      <c r="G396" t="s">
        <v>74</v>
      </c>
      <c r="H396" t="s">
        <v>74</v>
      </c>
      <c r="I396" t="s">
        <v>7171</v>
      </c>
      <c r="J396" t="s">
        <v>7172</v>
      </c>
      <c r="K396" t="s">
        <v>74</v>
      </c>
      <c r="L396" t="s">
        <v>74</v>
      </c>
      <c r="M396" t="s">
        <v>78</v>
      </c>
      <c r="N396" t="s">
        <v>79</v>
      </c>
      <c r="O396" t="s">
        <v>74</v>
      </c>
      <c r="P396" t="s">
        <v>74</v>
      </c>
      <c r="Q396" t="s">
        <v>74</v>
      </c>
      <c r="R396" t="s">
        <v>74</v>
      </c>
      <c r="S396" t="s">
        <v>74</v>
      </c>
      <c r="T396" t="s">
        <v>7173</v>
      </c>
      <c r="U396" t="s">
        <v>7174</v>
      </c>
      <c r="V396" t="s">
        <v>7175</v>
      </c>
      <c r="W396" t="s">
        <v>7176</v>
      </c>
      <c r="X396" t="s">
        <v>7177</v>
      </c>
      <c r="Y396" t="s">
        <v>7178</v>
      </c>
      <c r="Z396" t="s">
        <v>7179</v>
      </c>
      <c r="AA396" t="s">
        <v>74</v>
      </c>
      <c r="AB396" t="s">
        <v>74</v>
      </c>
      <c r="AC396" t="s">
        <v>7180</v>
      </c>
      <c r="AD396" t="s">
        <v>7180</v>
      </c>
      <c r="AE396" t="s">
        <v>7181</v>
      </c>
      <c r="AF396" t="s">
        <v>74</v>
      </c>
      <c r="AG396">
        <v>60</v>
      </c>
      <c r="AH396">
        <v>0</v>
      </c>
      <c r="AI396">
        <v>0</v>
      </c>
      <c r="AJ396">
        <v>14</v>
      </c>
      <c r="AK396">
        <v>14</v>
      </c>
      <c r="AL396" t="s">
        <v>173</v>
      </c>
      <c r="AM396" t="s">
        <v>121</v>
      </c>
      <c r="AN396" t="s">
        <v>174</v>
      </c>
      <c r="AO396" t="s">
        <v>7182</v>
      </c>
      <c r="AP396" t="s">
        <v>7183</v>
      </c>
      <c r="AQ396" t="s">
        <v>74</v>
      </c>
      <c r="AR396" t="s">
        <v>7184</v>
      </c>
      <c r="AS396" t="s">
        <v>7185</v>
      </c>
      <c r="AT396" t="s">
        <v>6618</v>
      </c>
      <c r="AU396">
        <v>2023</v>
      </c>
      <c r="AV396">
        <v>189</v>
      </c>
      <c r="AW396" t="s">
        <v>74</v>
      </c>
      <c r="AX396" t="s">
        <v>74</v>
      </c>
      <c r="AY396" t="s">
        <v>74</v>
      </c>
      <c r="AZ396" t="s">
        <v>74</v>
      </c>
      <c r="BA396" t="s">
        <v>74</v>
      </c>
      <c r="BB396" t="s">
        <v>74</v>
      </c>
      <c r="BC396" t="s">
        <v>74</v>
      </c>
      <c r="BD396">
        <v>105438</v>
      </c>
      <c r="BE396" t="s">
        <v>7186</v>
      </c>
      <c r="BF396" t="str">
        <f>HYPERLINK("http://dx.doi.org/10.1016/j.mechmachtheory.2023.105438","http://dx.doi.org/10.1016/j.mechmachtheory.2023.105438")</f>
        <v>http://dx.doi.org/10.1016/j.mechmachtheory.2023.105438</v>
      </c>
      <c r="BG396" t="s">
        <v>74</v>
      </c>
      <c r="BH396" t="s">
        <v>74</v>
      </c>
      <c r="BI396">
        <v>22</v>
      </c>
      <c r="BJ396" t="s">
        <v>7187</v>
      </c>
      <c r="BK396" t="s">
        <v>100</v>
      </c>
      <c r="BL396" t="s">
        <v>873</v>
      </c>
      <c r="BM396" t="s">
        <v>7188</v>
      </c>
      <c r="BN396" t="s">
        <v>74</v>
      </c>
      <c r="BO396" t="s">
        <v>295</v>
      </c>
      <c r="BP396" t="s">
        <v>74</v>
      </c>
      <c r="BQ396" t="s">
        <v>74</v>
      </c>
      <c r="BR396" t="s">
        <v>104</v>
      </c>
      <c r="BS396" t="s">
        <v>7189</v>
      </c>
      <c r="BT396" t="str">
        <f>HYPERLINK("https%3A%2F%2Fwww.webofscience.com%2Fwos%2Fwoscc%2Ffull-record%2FWOS:001047596500001","View Full Record in Web of Science")</f>
        <v>View Full Record in Web of Science</v>
      </c>
    </row>
    <row r="397" spans="1:72" x14ac:dyDescent="0.15">
      <c r="A397" t="s">
        <v>72</v>
      </c>
      <c r="B397" t="s">
        <v>7190</v>
      </c>
      <c r="C397" t="s">
        <v>74</v>
      </c>
      <c r="D397" t="s">
        <v>74</v>
      </c>
      <c r="E397" t="s">
        <v>74</v>
      </c>
      <c r="F397" t="s">
        <v>7191</v>
      </c>
      <c r="G397" t="s">
        <v>74</v>
      </c>
      <c r="H397" t="s">
        <v>74</v>
      </c>
      <c r="I397" t="s">
        <v>7192</v>
      </c>
      <c r="J397" t="s">
        <v>7193</v>
      </c>
      <c r="K397" t="s">
        <v>74</v>
      </c>
      <c r="L397" t="s">
        <v>74</v>
      </c>
      <c r="M397" t="s">
        <v>78</v>
      </c>
      <c r="N397" t="s">
        <v>79</v>
      </c>
      <c r="O397" t="s">
        <v>74</v>
      </c>
      <c r="P397" t="s">
        <v>74</v>
      </c>
      <c r="Q397" t="s">
        <v>74</v>
      </c>
      <c r="R397" t="s">
        <v>74</v>
      </c>
      <c r="S397" t="s">
        <v>74</v>
      </c>
      <c r="T397" t="s">
        <v>7194</v>
      </c>
      <c r="U397" t="s">
        <v>7195</v>
      </c>
      <c r="V397" t="s">
        <v>7196</v>
      </c>
      <c r="W397" t="s">
        <v>7197</v>
      </c>
      <c r="X397" t="s">
        <v>7198</v>
      </c>
      <c r="Y397" t="s">
        <v>7199</v>
      </c>
      <c r="Z397" t="s">
        <v>7200</v>
      </c>
      <c r="AA397" t="s">
        <v>7201</v>
      </c>
      <c r="AB397" t="s">
        <v>74</v>
      </c>
      <c r="AC397" t="s">
        <v>7202</v>
      </c>
      <c r="AD397" t="s">
        <v>7203</v>
      </c>
      <c r="AE397" t="s">
        <v>7204</v>
      </c>
      <c r="AF397" t="s">
        <v>74</v>
      </c>
      <c r="AG397">
        <v>52</v>
      </c>
      <c r="AH397">
        <v>0</v>
      </c>
      <c r="AI397">
        <v>0</v>
      </c>
      <c r="AJ397">
        <v>6</v>
      </c>
      <c r="AK397">
        <v>6</v>
      </c>
      <c r="AL397" t="s">
        <v>90</v>
      </c>
      <c r="AM397" t="s">
        <v>91</v>
      </c>
      <c r="AN397" t="s">
        <v>92</v>
      </c>
      <c r="AO397" t="s">
        <v>7205</v>
      </c>
      <c r="AP397" t="s">
        <v>74</v>
      </c>
      <c r="AQ397" t="s">
        <v>74</v>
      </c>
      <c r="AR397" t="s">
        <v>7206</v>
      </c>
      <c r="AS397" t="s">
        <v>7207</v>
      </c>
      <c r="AT397" t="s">
        <v>6618</v>
      </c>
      <c r="AU397">
        <v>2023</v>
      </c>
      <c r="AV397">
        <v>32</v>
      </c>
      <c r="AW397" t="s">
        <v>74</v>
      </c>
      <c r="AX397" t="s">
        <v>74</v>
      </c>
      <c r="AY397" t="s">
        <v>74</v>
      </c>
      <c r="AZ397" t="s">
        <v>74</v>
      </c>
      <c r="BA397" t="s">
        <v>74</v>
      </c>
      <c r="BB397" t="s">
        <v>74</v>
      </c>
      <c r="BC397" t="s">
        <v>74</v>
      </c>
      <c r="BD397">
        <v>103262</v>
      </c>
      <c r="BE397" t="s">
        <v>7208</v>
      </c>
      <c r="BF397" t="str">
        <f>HYPERLINK("http://dx.doi.org/10.1016/j.eti.2023.103262","http://dx.doi.org/10.1016/j.eti.2023.103262")</f>
        <v>http://dx.doi.org/10.1016/j.eti.2023.103262</v>
      </c>
      <c r="BG397" t="s">
        <v>74</v>
      </c>
      <c r="BH397" t="s">
        <v>74</v>
      </c>
      <c r="BI397">
        <v>10</v>
      </c>
      <c r="BJ397" t="s">
        <v>7209</v>
      </c>
      <c r="BK397" t="s">
        <v>100</v>
      </c>
      <c r="BL397" t="s">
        <v>7210</v>
      </c>
      <c r="BM397" t="s">
        <v>7211</v>
      </c>
      <c r="BN397" t="s">
        <v>74</v>
      </c>
      <c r="BO397" t="s">
        <v>295</v>
      </c>
      <c r="BP397" t="s">
        <v>74</v>
      </c>
      <c r="BQ397" t="s">
        <v>74</v>
      </c>
      <c r="BR397" t="s">
        <v>104</v>
      </c>
      <c r="BS397" t="s">
        <v>7212</v>
      </c>
      <c r="BT397" t="str">
        <f>HYPERLINK("https%3A%2F%2Fwww.webofscience.com%2Fwos%2Fwoscc%2Ffull-record%2FWOS:001045444300001","View Full Record in Web of Science")</f>
        <v>View Full Record in Web of Science</v>
      </c>
    </row>
    <row r="398" spans="1:72" x14ac:dyDescent="0.15">
      <c r="A398" t="s">
        <v>72</v>
      </c>
      <c r="B398" t="s">
        <v>7213</v>
      </c>
      <c r="C398" t="s">
        <v>74</v>
      </c>
      <c r="D398" t="s">
        <v>74</v>
      </c>
      <c r="E398" t="s">
        <v>74</v>
      </c>
      <c r="F398" t="s">
        <v>7214</v>
      </c>
      <c r="G398" t="s">
        <v>74</v>
      </c>
      <c r="H398" t="s">
        <v>74</v>
      </c>
      <c r="I398" t="s">
        <v>7215</v>
      </c>
      <c r="J398" t="s">
        <v>7109</v>
      </c>
      <c r="K398" t="s">
        <v>74</v>
      </c>
      <c r="L398" t="s">
        <v>74</v>
      </c>
      <c r="M398" t="s">
        <v>78</v>
      </c>
      <c r="N398" t="s">
        <v>79</v>
      </c>
      <c r="O398" t="s">
        <v>74</v>
      </c>
      <c r="P398" t="s">
        <v>74</v>
      </c>
      <c r="Q398" t="s">
        <v>74</v>
      </c>
      <c r="R398" t="s">
        <v>74</v>
      </c>
      <c r="S398" t="s">
        <v>74</v>
      </c>
      <c r="T398" t="s">
        <v>7216</v>
      </c>
      <c r="U398" t="s">
        <v>7217</v>
      </c>
      <c r="V398" t="s">
        <v>7218</v>
      </c>
      <c r="W398" t="s">
        <v>7219</v>
      </c>
      <c r="X398" t="s">
        <v>7220</v>
      </c>
      <c r="Y398" t="s">
        <v>7221</v>
      </c>
      <c r="Z398" t="s">
        <v>7222</v>
      </c>
      <c r="AA398" t="s">
        <v>7223</v>
      </c>
      <c r="AB398" t="s">
        <v>7224</v>
      </c>
      <c r="AC398" t="s">
        <v>7225</v>
      </c>
      <c r="AD398" t="s">
        <v>7226</v>
      </c>
      <c r="AE398" t="s">
        <v>7227</v>
      </c>
      <c r="AF398" t="s">
        <v>74</v>
      </c>
      <c r="AG398">
        <v>54</v>
      </c>
      <c r="AH398">
        <v>0</v>
      </c>
      <c r="AI398">
        <v>0</v>
      </c>
      <c r="AJ398">
        <v>37</v>
      </c>
      <c r="AK398">
        <v>37</v>
      </c>
      <c r="AL398" t="s">
        <v>90</v>
      </c>
      <c r="AM398" t="s">
        <v>91</v>
      </c>
      <c r="AN398" t="s">
        <v>92</v>
      </c>
      <c r="AO398" t="s">
        <v>7119</v>
      </c>
      <c r="AP398" t="s">
        <v>7120</v>
      </c>
      <c r="AQ398" t="s">
        <v>74</v>
      </c>
      <c r="AR398" t="s">
        <v>7121</v>
      </c>
      <c r="AS398" t="s">
        <v>7122</v>
      </c>
      <c r="AT398" t="s">
        <v>6618</v>
      </c>
      <c r="AU398">
        <v>2023</v>
      </c>
      <c r="AV398">
        <v>173</v>
      </c>
      <c r="AW398" t="s">
        <v>74</v>
      </c>
      <c r="AX398">
        <v>1</v>
      </c>
      <c r="AY398" t="s">
        <v>74</v>
      </c>
      <c r="AZ398" t="s">
        <v>74</v>
      </c>
      <c r="BA398" t="s">
        <v>74</v>
      </c>
      <c r="BB398" t="s">
        <v>74</v>
      </c>
      <c r="BC398" t="s">
        <v>74</v>
      </c>
      <c r="BD398">
        <v>113243</v>
      </c>
      <c r="BE398" t="s">
        <v>7228</v>
      </c>
      <c r="BF398" t="str">
        <f>HYPERLINK("http://dx.doi.org/10.1016/j.foodres.2023.113243","http://dx.doi.org/10.1016/j.foodres.2023.113243")</f>
        <v>http://dx.doi.org/10.1016/j.foodres.2023.113243</v>
      </c>
      <c r="BG398" t="s">
        <v>74</v>
      </c>
      <c r="BH398" t="s">
        <v>74</v>
      </c>
      <c r="BI398">
        <v>8</v>
      </c>
      <c r="BJ398" t="s">
        <v>1033</v>
      </c>
      <c r="BK398" t="s">
        <v>100</v>
      </c>
      <c r="BL398" t="s">
        <v>1033</v>
      </c>
      <c r="BM398" t="s">
        <v>7229</v>
      </c>
      <c r="BN398" t="s">
        <v>74</v>
      </c>
      <c r="BO398" t="s">
        <v>74</v>
      </c>
      <c r="BP398" t="s">
        <v>74</v>
      </c>
      <c r="BQ398" t="s">
        <v>74</v>
      </c>
      <c r="BR398" t="s">
        <v>104</v>
      </c>
      <c r="BS398" t="s">
        <v>7230</v>
      </c>
      <c r="BT398" t="str">
        <f>HYPERLINK("https%3A%2F%2Fwww.webofscience.com%2Fwos%2Fwoscc%2Ffull-record%2FWOS:001047040200001","View Full Record in Web of Science")</f>
        <v>View Full Record in Web of Science</v>
      </c>
    </row>
    <row r="399" spans="1:72" x14ac:dyDescent="0.15">
      <c r="A399" t="s">
        <v>72</v>
      </c>
      <c r="B399" t="s">
        <v>7231</v>
      </c>
      <c r="C399" t="s">
        <v>74</v>
      </c>
      <c r="D399" t="s">
        <v>74</v>
      </c>
      <c r="E399" t="s">
        <v>74</v>
      </c>
      <c r="F399" t="s">
        <v>7232</v>
      </c>
      <c r="G399" t="s">
        <v>74</v>
      </c>
      <c r="H399" t="s">
        <v>74</v>
      </c>
      <c r="I399" t="s">
        <v>7233</v>
      </c>
      <c r="J399" t="s">
        <v>6604</v>
      </c>
      <c r="K399" t="s">
        <v>74</v>
      </c>
      <c r="L399" t="s">
        <v>74</v>
      </c>
      <c r="M399" t="s">
        <v>78</v>
      </c>
      <c r="N399" t="s">
        <v>79</v>
      </c>
      <c r="O399" t="s">
        <v>74</v>
      </c>
      <c r="P399" t="s">
        <v>74</v>
      </c>
      <c r="Q399" t="s">
        <v>74</v>
      </c>
      <c r="R399" t="s">
        <v>74</v>
      </c>
      <c r="S399" t="s">
        <v>74</v>
      </c>
      <c r="T399" t="s">
        <v>7234</v>
      </c>
      <c r="U399" t="s">
        <v>7235</v>
      </c>
      <c r="V399" t="s">
        <v>7236</v>
      </c>
      <c r="W399" t="s">
        <v>7237</v>
      </c>
      <c r="X399" t="s">
        <v>7238</v>
      </c>
      <c r="Y399" t="s">
        <v>7239</v>
      </c>
      <c r="Z399" t="s">
        <v>7240</v>
      </c>
      <c r="AA399" t="s">
        <v>74</v>
      </c>
      <c r="AB399" t="s">
        <v>74</v>
      </c>
      <c r="AC399" t="s">
        <v>7241</v>
      </c>
      <c r="AD399" t="s">
        <v>7242</v>
      </c>
      <c r="AE399" t="s">
        <v>7243</v>
      </c>
      <c r="AF399" t="s">
        <v>74</v>
      </c>
      <c r="AG399">
        <v>101</v>
      </c>
      <c r="AH399">
        <v>0</v>
      </c>
      <c r="AI399">
        <v>0</v>
      </c>
      <c r="AJ399">
        <v>2</v>
      </c>
      <c r="AK399">
        <v>2</v>
      </c>
      <c r="AL399" t="s">
        <v>147</v>
      </c>
      <c r="AM399" t="s">
        <v>148</v>
      </c>
      <c r="AN399" t="s">
        <v>149</v>
      </c>
      <c r="AO399" t="s">
        <v>6614</v>
      </c>
      <c r="AP399" t="s">
        <v>6615</v>
      </c>
      <c r="AQ399" t="s">
        <v>74</v>
      </c>
      <c r="AR399" t="s">
        <v>6616</v>
      </c>
      <c r="AS399" t="s">
        <v>6617</v>
      </c>
      <c r="AT399" t="s">
        <v>6618</v>
      </c>
      <c r="AU399">
        <v>2023</v>
      </c>
      <c r="AV399">
        <v>90</v>
      </c>
      <c r="AW399" t="s">
        <v>74</v>
      </c>
      <c r="AX399" t="s">
        <v>74</v>
      </c>
      <c r="AY399" t="s">
        <v>74</v>
      </c>
      <c r="AZ399" t="s">
        <v>74</v>
      </c>
      <c r="BA399" t="s">
        <v>74</v>
      </c>
      <c r="BB399" t="s">
        <v>74</v>
      </c>
      <c r="BC399" t="s">
        <v>74</v>
      </c>
      <c r="BD399">
        <v>102857</v>
      </c>
      <c r="BE399" t="s">
        <v>7244</v>
      </c>
      <c r="BF399" t="str">
        <f>HYPERLINK("http://dx.doi.org/10.1016/j.irfa.2023.102857","http://dx.doi.org/10.1016/j.irfa.2023.102857")</f>
        <v>http://dx.doi.org/10.1016/j.irfa.2023.102857</v>
      </c>
      <c r="BG399" t="s">
        <v>74</v>
      </c>
      <c r="BH399" t="s">
        <v>74</v>
      </c>
      <c r="BI399">
        <v>15</v>
      </c>
      <c r="BJ399" t="s">
        <v>2824</v>
      </c>
      <c r="BK399" t="s">
        <v>627</v>
      </c>
      <c r="BL399" t="s">
        <v>628</v>
      </c>
      <c r="BM399" t="s">
        <v>7245</v>
      </c>
      <c r="BN399" t="s">
        <v>74</v>
      </c>
      <c r="BO399" t="s">
        <v>295</v>
      </c>
      <c r="BP399" t="s">
        <v>74</v>
      </c>
      <c r="BQ399" t="s">
        <v>74</v>
      </c>
      <c r="BR399" t="s">
        <v>104</v>
      </c>
      <c r="BS399" t="s">
        <v>7246</v>
      </c>
      <c r="BT399" t="str">
        <f>HYPERLINK("https%3A%2F%2Fwww.webofscience.com%2Fwos%2Fwoscc%2Ffull-record%2FWOS:001062622100001","View Full Record in Web of Science")</f>
        <v>View Full Record in Web of Science</v>
      </c>
    </row>
    <row r="400" spans="1:72" x14ac:dyDescent="0.15">
      <c r="A400" t="s">
        <v>72</v>
      </c>
      <c r="B400" t="s">
        <v>7247</v>
      </c>
      <c r="C400" t="s">
        <v>74</v>
      </c>
      <c r="D400" t="s">
        <v>74</v>
      </c>
      <c r="E400" t="s">
        <v>74</v>
      </c>
      <c r="F400" t="s">
        <v>7248</v>
      </c>
      <c r="G400" t="s">
        <v>74</v>
      </c>
      <c r="H400" t="s">
        <v>74</v>
      </c>
      <c r="I400" t="s">
        <v>7249</v>
      </c>
      <c r="J400" t="s">
        <v>3303</v>
      </c>
      <c r="K400" t="s">
        <v>74</v>
      </c>
      <c r="L400" t="s">
        <v>74</v>
      </c>
      <c r="M400" t="s">
        <v>78</v>
      </c>
      <c r="N400" t="s">
        <v>79</v>
      </c>
      <c r="O400" t="s">
        <v>74</v>
      </c>
      <c r="P400" t="s">
        <v>74</v>
      </c>
      <c r="Q400" t="s">
        <v>74</v>
      </c>
      <c r="R400" t="s">
        <v>74</v>
      </c>
      <c r="S400" t="s">
        <v>74</v>
      </c>
      <c r="T400" t="s">
        <v>7250</v>
      </c>
      <c r="U400" t="s">
        <v>7251</v>
      </c>
      <c r="V400" t="s">
        <v>7252</v>
      </c>
      <c r="W400" t="s">
        <v>7253</v>
      </c>
      <c r="X400" t="s">
        <v>7254</v>
      </c>
      <c r="Y400" t="s">
        <v>7255</v>
      </c>
      <c r="Z400" t="s">
        <v>7256</v>
      </c>
      <c r="AA400" t="s">
        <v>7257</v>
      </c>
      <c r="AB400" t="s">
        <v>7258</v>
      </c>
      <c r="AC400" t="s">
        <v>74</v>
      </c>
      <c r="AD400" t="s">
        <v>74</v>
      </c>
      <c r="AE400" t="s">
        <v>74</v>
      </c>
      <c r="AF400" t="s">
        <v>74</v>
      </c>
      <c r="AG400">
        <v>90</v>
      </c>
      <c r="AH400">
        <v>0</v>
      </c>
      <c r="AI400">
        <v>0</v>
      </c>
      <c r="AJ400">
        <v>2</v>
      </c>
      <c r="AK400">
        <v>2</v>
      </c>
      <c r="AL400" t="s">
        <v>120</v>
      </c>
      <c r="AM400" t="s">
        <v>121</v>
      </c>
      <c r="AN400" t="s">
        <v>122</v>
      </c>
      <c r="AO400" t="s">
        <v>3314</v>
      </c>
      <c r="AP400" t="s">
        <v>3315</v>
      </c>
      <c r="AQ400" t="s">
        <v>74</v>
      </c>
      <c r="AR400" t="s">
        <v>3316</v>
      </c>
      <c r="AS400" t="s">
        <v>3317</v>
      </c>
      <c r="AT400" t="s">
        <v>6618</v>
      </c>
      <c r="AU400">
        <v>2023</v>
      </c>
      <c r="AV400">
        <v>239</v>
      </c>
      <c r="AW400" t="s">
        <v>74</v>
      </c>
      <c r="AX400" t="s">
        <v>74</v>
      </c>
      <c r="AY400" t="s">
        <v>74</v>
      </c>
      <c r="AZ400" t="s">
        <v>74</v>
      </c>
      <c r="BA400" t="s">
        <v>74</v>
      </c>
      <c r="BB400" t="s">
        <v>74</v>
      </c>
      <c r="BC400" t="s">
        <v>74</v>
      </c>
      <c r="BD400">
        <v>109531</v>
      </c>
      <c r="BE400" t="s">
        <v>7259</v>
      </c>
      <c r="BF400" t="str">
        <f>HYPERLINK("http://dx.doi.org/10.1016/j.ress.2023.109531","http://dx.doi.org/10.1016/j.ress.2023.109531")</f>
        <v>http://dx.doi.org/10.1016/j.ress.2023.109531</v>
      </c>
      <c r="BG400" t="s">
        <v>74</v>
      </c>
      <c r="BH400" t="s">
        <v>74</v>
      </c>
      <c r="BI400">
        <v>32</v>
      </c>
      <c r="BJ400" t="s">
        <v>3319</v>
      </c>
      <c r="BK400" t="s">
        <v>100</v>
      </c>
      <c r="BL400" t="s">
        <v>3320</v>
      </c>
      <c r="BM400" t="s">
        <v>7260</v>
      </c>
      <c r="BN400" t="s">
        <v>74</v>
      </c>
      <c r="BO400" t="s">
        <v>295</v>
      </c>
      <c r="BP400" t="s">
        <v>74</v>
      </c>
      <c r="BQ400" t="s">
        <v>74</v>
      </c>
      <c r="BR400" t="s">
        <v>104</v>
      </c>
      <c r="BS400" t="s">
        <v>7261</v>
      </c>
      <c r="BT400" t="str">
        <f>HYPERLINK("https%3A%2F%2Fwww.webofscience.com%2Fwos%2Fwoscc%2Ffull-record%2FWOS:001052593500001","View Full Record in Web of Science")</f>
        <v>View Full Record in Web of Science</v>
      </c>
    </row>
    <row r="401" spans="1:72" x14ac:dyDescent="0.15">
      <c r="A401" t="s">
        <v>72</v>
      </c>
      <c r="B401" t="s">
        <v>7262</v>
      </c>
      <c r="C401" t="s">
        <v>74</v>
      </c>
      <c r="D401" t="s">
        <v>74</v>
      </c>
      <c r="E401" t="s">
        <v>74</v>
      </c>
      <c r="F401" t="s">
        <v>7263</v>
      </c>
      <c r="G401" t="s">
        <v>74</v>
      </c>
      <c r="H401" t="s">
        <v>74</v>
      </c>
      <c r="I401" t="s">
        <v>7264</v>
      </c>
      <c r="J401" t="s">
        <v>7265</v>
      </c>
      <c r="K401" t="s">
        <v>74</v>
      </c>
      <c r="L401" t="s">
        <v>74</v>
      </c>
      <c r="M401" t="s">
        <v>78</v>
      </c>
      <c r="N401" t="s">
        <v>79</v>
      </c>
      <c r="O401" t="s">
        <v>74</v>
      </c>
      <c r="P401" t="s">
        <v>74</v>
      </c>
      <c r="Q401" t="s">
        <v>74</v>
      </c>
      <c r="R401" t="s">
        <v>74</v>
      </c>
      <c r="S401" t="s">
        <v>74</v>
      </c>
      <c r="T401" t="s">
        <v>7266</v>
      </c>
      <c r="U401" t="s">
        <v>7267</v>
      </c>
      <c r="V401" t="s">
        <v>7268</v>
      </c>
      <c r="W401" t="s">
        <v>7269</v>
      </c>
      <c r="X401" t="s">
        <v>7270</v>
      </c>
      <c r="Y401" t="s">
        <v>7271</v>
      </c>
      <c r="Z401" t="s">
        <v>7272</v>
      </c>
      <c r="AA401" t="s">
        <v>74</v>
      </c>
      <c r="AB401" t="s">
        <v>74</v>
      </c>
      <c r="AC401" t="s">
        <v>7273</v>
      </c>
      <c r="AD401" t="s">
        <v>7274</v>
      </c>
      <c r="AE401" t="s">
        <v>7275</v>
      </c>
      <c r="AF401" t="s">
        <v>74</v>
      </c>
      <c r="AG401">
        <v>14</v>
      </c>
      <c r="AH401">
        <v>0</v>
      </c>
      <c r="AI401">
        <v>0</v>
      </c>
      <c r="AJ401">
        <v>2</v>
      </c>
      <c r="AK401">
        <v>2</v>
      </c>
      <c r="AL401" t="s">
        <v>475</v>
      </c>
      <c r="AM401" t="s">
        <v>476</v>
      </c>
      <c r="AN401" t="s">
        <v>477</v>
      </c>
      <c r="AO401" t="s">
        <v>7276</v>
      </c>
      <c r="AP401" t="s">
        <v>7277</v>
      </c>
      <c r="AQ401" t="s">
        <v>74</v>
      </c>
      <c r="AR401" t="s">
        <v>7278</v>
      </c>
      <c r="AS401" t="s">
        <v>7279</v>
      </c>
      <c r="AT401" t="s">
        <v>6659</v>
      </c>
      <c r="AU401">
        <v>2023</v>
      </c>
      <c r="AV401">
        <v>633</v>
      </c>
      <c r="AW401" t="s">
        <v>74</v>
      </c>
      <c r="AX401" t="s">
        <v>74</v>
      </c>
      <c r="AY401" t="s">
        <v>74</v>
      </c>
      <c r="AZ401" t="s">
        <v>74</v>
      </c>
      <c r="BA401" t="s">
        <v>74</v>
      </c>
      <c r="BB401">
        <v>464</v>
      </c>
      <c r="BC401">
        <v>473</v>
      </c>
      <c r="BD401" t="s">
        <v>74</v>
      </c>
      <c r="BE401" t="s">
        <v>7280</v>
      </c>
      <c r="BF401" t="str">
        <f>HYPERLINK("http://dx.doi.org/10.1016/j.jalgebra.2023.06.027","http://dx.doi.org/10.1016/j.jalgebra.2023.06.027")</f>
        <v>http://dx.doi.org/10.1016/j.jalgebra.2023.06.027</v>
      </c>
      <c r="BG401" t="s">
        <v>74</v>
      </c>
      <c r="BH401" t="s">
        <v>74</v>
      </c>
      <c r="BI401">
        <v>10</v>
      </c>
      <c r="BJ401" t="s">
        <v>101</v>
      </c>
      <c r="BK401" t="s">
        <v>100</v>
      </c>
      <c r="BL401" t="s">
        <v>101</v>
      </c>
      <c r="BM401" t="s">
        <v>7281</v>
      </c>
      <c r="BN401" t="s">
        <v>74</v>
      </c>
      <c r="BO401" t="s">
        <v>103</v>
      </c>
      <c r="BP401" t="s">
        <v>74</v>
      </c>
      <c r="BQ401" t="s">
        <v>74</v>
      </c>
      <c r="BR401" t="s">
        <v>104</v>
      </c>
      <c r="BS401" t="s">
        <v>7282</v>
      </c>
      <c r="BT401" t="str">
        <f>HYPERLINK("https%3A%2F%2Fwww.webofscience.com%2Fwos%2Fwoscc%2Ffull-record%2FWOS:001048684500001","View Full Record in Web of Science")</f>
        <v>View Full Record in Web of Science</v>
      </c>
    </row>
    <row r="402" spans="1:72" x14ac:dyDescent="0.15">
      <c r="A402" t="s">
        <v>72</v>
      </c>
      <c r="B402" t="s">
        <v>7283</v>
      </c>
      <c r="C402" t="s">
        <v>74</v>
      </c>
      <c r="D402" t="s">
        <v>74</v>
      </c>
      <c r="E402" t="s">
        <v>74</v>
      </c>
      <c r="F402" t="s">
        <v>7284</v>
      </c>
      <c r="G402" t="s">
        <v>74</v>
      </c>
      <c r="H402" t="s">
        <v>74</v>
      </c>
      <c r="I402" t="s">
        <v>7285</v>
      </c>
      <c r="J402" t="s">
        <v>7286</v>
      </c>
      <c r="K402" t="s">
        <v>74</v>
      </c>
      <c r="L402" t="s">
        <v>74</v>
      </c>
      <c r="M402" t="s">
        <v>78</v>
      </c>
      <c r="N402" t="s">
        <v>79</v>
      </c>
      <c r="O402" t="s">
        <v>74</v>
      </c>
      <c r="P402" t="s">
        <v>74</v>
      </c>
      <c r="Q402" t="s">
        <v>74</v>
      </c>
      <c r="R402" t="s">
        <v>74</v>
      </c>
      <c r="S402" t="s">
        <v>74</v>
      </c>
      <c r="T402" t="s">
        <v>7287</v>
      </c>
      <c r="U402" t="s">
        <v>7288</v>
      </c>
      <c r="V402" t="s">
        <v>7289</v>
      </c>
      <c r="W402" t="s">
        <v>7290</v>
      </c>
      <c r="X402" t="s">
        <v>7291</v>
      </c>
      <c r="Y402" t="s">
        <v>7292</v>
      </c>
      <c r="Z402" t="s">
        <v>7293</v>
      </c>
      <c r="AA402" t="s">
        <v>74</v>
      </c>
      <c r="AB402" t="s">
        <v>74</v>
      </c>
      <c r="AC402" t="s">
        <v>7294</v>
      </c>
      <c r="AD402" t="s">
        <v>7295</v>
      </c>
      <c r="AE402" t="s">
        <v>7296</v>
      </c>
      <c r="AF402" t="s">
        <v>74</v>
      </c>
      <c r="AG402">
        <v>72</v>
      </c>
      <c r="AH402">
        <v>0</v>
      </c>
      <c r="AI402">
        <v>0</v>
      </c>
      <c r="AJ402">
        <v>0</v>
      </c>
      <c r="AK402">
        <v>0</v>
      </c>
      <c r="AL402" t="s">
        <v>90</v>
      </c>
      <c r="AM402" t="s">
        <v>91</v>
      </c>
      <c r="AN402" t="s">
        <v>92</v>
      </c>
      <c r="AO402" t="s">
        <v>7297</v>
      </c>
      <c r="AP402" t="s">
        <v>7298</v>
      </c>
      <c r="AQ402" t="s">
        <v>74</v>
      </c>
      <c r="AR402" t="s">
        <v>7299</v>
      </c>
      <c r="AS402" t="s">
        <v>7300</v>
      </c>
      <c r="AT402" t="s">
        <v>6618</v>
      </c>
      <c r="AU402">
        <v>2023</v>
      </c>
      <c r="AV402">
        <v>93</v>
      </c>
      <c r="AW402" t="s">
        <v>74</v>
      </c>
      <c r="AX402" t="s">
        <v>74</v>
      </c>
      <c r="AY402" t="s">
        <v>74</v>
      </c>
      <c r="AZ402" t="s">
        <v>74</v>
      </c>
      <c r="BA402" t="s">
        <v>74</v>
      </c>
      <c r="BB402" t="s">
        <v>74</v>
      </c>
      <c r="BC402" t="s">
        <v>74</v>
      </c>
      <c r="BD402">
        <v>102061</v>
      </c>
      <c r="BE402" t="s">
        <v>7301</v>
      </c>
      <c r="BF402" t="str">
        <f>HYPERLINK("http://dx.doi.org/10.1016/j.vlsi.2023.102061","http://dx.doi.org/10.1016/j.vlsi.2023.102061")</f>
        <v>http://dx.doi.org/10.1016/j.vlsi.2023.102061</v>
      </c>
      <c r="BG402" t="s">
        <v>74</v>
      </c>
      <c r="BH402" t="s">
        <v>74</v>
      </c>
      <c r="BI402">
        <v>10</v>
      </c>
      <c r="BJ402" t="s">
        <v>7302</v>
      </c>
      <c r="BK402" t="s">
        <v>100</v>
      </c>
      <c r="BL402" t="s">
        <v>3649</v>
      </c>
      <c r="BM402" t="s">
        <v>7303</v>
      </c>
      <c r="BN402" t="s">
        <v>74</v>
      </c>
      <c r="BO402" t="s">
        <v>74</v>
      </c>
      <c r="BP402" t="s">
        <v>74</v>
      </c>
      <c r="BQ402" t="s">
        <v>74</v>
      </c>
      <c r="BR402" t="s">
        <v>104</v>
      </c>
      <c r="BS402" t="s">
        <v>7304</v>
      </c>
      <c r="BT402" t="str">
        <f>HYPERLINK("https%3A%2F%2Fwww.webofscience.com%2Fwos%2Fwoscc%2Ffull-record%2FWOS:001060522000001","View Full Record in Web of Science")</f>
        <v>View Full Record in Web of Science</v>
      </c>
    </row>
    <row r="403" spans="1:72" x14ac:dyDescent="0.15">
      <c r="A403" t="s">
        <v>72</v>
      </c>
      <c r="B403" t="s">
        <v>7305</v>
      </c>
      <c r="C403" t="s">
        <v>74</v>
      </c>
      <c r="D403" t="s">
        <v>74</v>
      </c>
      <c r="E403" t="s">
        <v>74</v>
      </c>
      <c r="F403" t="s">
        <v>7306</v>
      </c>
      <c r="G403" t="s">
        <v>74</v>
      </c>
      <c r="H403" t="s">
        <v>74</v>
      </c>
      <c r="I403" t="s">
        <v>7307</v>
      </c>
      <c r="J403" t="s">
        <v>7193</v>
      </c>
      <c r="K403" t="s">
        <v>74</v>
      </c>
      <c r="L403" t="s">
        <v>74</v>
      </c>
      <c r="M403" t="s">
        <v>78</v>
      </c>
      <c r="N403" t="s">
        <v>79</v>
      </c>
      <c r="O403" t="s">
        <v>74</v>
      </c>
      <c r="P403" t="s">
        <v>74</v>
      </c>
      <c r="Q403" t="s">
        <v>74</v>
      </c>
      <c r="R403" t="s">
        <v>74</v>
      </c>
      <c r="S403" t="s">
        <v>74</v>
      </c>
      <c r="T403" t="s">
        <v>7308</v>
      </c>
      <c r="U403" t="s">
        <v>7309</v>
      </c>
      <c r="V403" t="s">
        <v>7310</v>
      </c>
      <c r="W403" t="s">
        <v>7311</v>
      </c>
      <c r="X403" t="s">
        <v>7312</v>
      </c>
      <c r="Y403" t="s">
        <v>7313</v>
      </c>
      <c r="Z403" t="s">
        <v>7314</v>
      </c>
      <c r="AA403" t="s">
        <v>74</v>
      </c>
      <c r="AB403" t="s">
        <v>74</v>
      </c>
      <c r="AC403" t="s">
        <v>7315</v>
      </c>
      <c r="AD403" t="s">
        <v>7316</v>
      </c>
      <c r="AE403" t="s">
        <v>7317</v>
      </c>
      <c r="AF403" t="s">
        <v>74</v>
      </c>
      <c r="AG403">
        <v>74</v>
      </c>
      <c r="AH403">
        <v>0</v>
      </c>
      <c r="AI403">
        <v>0</v>
      </c>
      <c r="AJ403">
        <v>2</v>
      </c>
      <c r="AK403">
        <v>2</v>
      </c>
      <c r="AL403" t="s">
        <v>90</v>
      </c>
      <c r="AM403" t="s">
        <v>91</v>
      </c>
      <c r="AN403" t="s">
        <v>92</v>
      </c>
      <c r="AO403" t="s">
        <v>7205</v>
      </c>
      <c r="AP403" t="s">
        <v>74</v>
      </c>
      <c r="AQ403" t="s">
        <v>74</v>
      </c>
      <c r="AR403" t="s">
        <v>7206</v>
      </c>
      <c r="AS403" t="s">
        <v>7207</v>
      </c>
      <c r="AT403" t="s">
        <v>6618</v>
      </c>
      <c r="AU403">
        <v>2023</v>
      </c>
      <c r="AV403">
        <v>32</v>
      </c>
      <c r="AW403" t="s">
        <v>74</v>
      </c>
      <c r="AX403" t="s">
        <v>74</v>
      </c>
      <c r="AY403" t="s">
        <v>74</v>
      </c>
      <c r="AZ403" t="s">
        <v>74</v>
      </c>
      <c r="BA403" t="s">
        <v>74</v>
      </c>
      <c r="BB403" t="s">
        <v>74</v>
      </c>
      <c r="BC403" t="s">
        <v>74</v>
      </c>
      <c r="BD403">
        <v>103298</v>
      </c>
      <c r="BE403" t="s">
        <v>7318</v>
      </c>
      <c r="BF403" t="str">
        <f>HYPERLINK("http://dx.doi.org/10.1016/j.eti.2023.103298","http://dx.doi.org/10.1016/j.eti.2023.103298")</f>
        <v>http://dx.doi.org/10.1016/j.eti.2023.103298</v>
      </c>
      <c r="BG403" t="s">
        <v>74</v>
      </c>
      <c r="BH403" t="s">
        <v>74</v>
      </c>
      <c r="BI403">
        <v>12</v>
      </c>
      <c r="BJ403" t="s">
        <v>7209</v>
      </c>
      <c r="BK403" t="s">
        <v>100</v>
      </c>
      <c r="BL403" t="s">
        <v>7210</v>
      </c>
      <c r="BM403" t="s">
        <v>7319</v>
      </c>
      <c r="BN403" t="s">
        <v>74</v>
      </c>
      <c r="BO403" t="s">
        <v>3613</v>
      </c>
      <c r="BP403" t="s">
        <v>74</v>
      </c>
      <c r="BQ403" t="s">
        <v>74</v>
      </c>
      <c r="BR403" t="s">
        <v>104</v>
      </c>
      <c r="BS403" t="s">
        <v>7320</v>
      </c>
      <c r="BT403" t="str">
        <f>HYPERLINK("https%3A%2F%2Fwww.webofscience.com%2Fwos%2Fwoscc%2Ffull-record%2FWOS:001062020400001","View Full Record in Web of Science")</f>
        <v>View Full Record in Web of Science</v>
      </c>
    </row>
    <row r="404" spans="1:72" x14ac:dyDescent="0.15">
      <c r="A404" t="s">
        <v>72</v>
      </c>
      <c r="B404" t="s">
        <v>7321</v>
      </c>
      <c r="C404" t="s">
        <v>74</v>
      </c>
      <c r="D404" t="s">
        <v>74</v>
      </c>
      <c r="E404" t="s">
        <v>74</v>
      </c>
      <c r="F404" t="s">
        <v>7322</v>
      </c>
      <c r="G404" t="s">
        <v>74</v>
      </c>
      <c r="H404" t="s">
        <v>74</v>
      </c>
      <c r="I404" t="s">
        <v>7323</v>
      </c>
      <c r="J404" t="s">
        <v>7324</v>
      </c>
      <c r="K404" t="s">
        <v>74</v>
      </c>
      <c r="L404" t="s">
        <v>74</v>
      </c>
      <c r="M404" t="s">
        <v>78</v>
      </c>
      <c r="N404" t="s">
        <v>79</v>
      </c>
      <c r="O404" t="s">
        <v>74</v>
      </c>
      <c r="P404" t="s">
        <v>74</v>
      </c>
      <c r="Q404" t="s">
        <v>74</v>
      </c>
      <c r="R404" t="s">
        <v>74</v>
      </c>
      <c r="S404" t="s">
        <v>74</v>
      </c>
      <c r="T404" t="s">
        <v>7325</v>
      </c>
      <c r="U404" t="s">
        <v>7326</v>
      </c>
      <c r="V404" t="s">
        <v>7327</v>
      </c>
      <c r="W404" t="s">
        <v>7328</v>
      </c>
      <c r="X404" t="s">
        <v>7329</v>
      </c>
      <c r="Y404" t="s">
        <v>7330</v>
      </c>
      <c r="Z404" t="s">
        <v>7331</v>
      </c>
      <c r="AA404" t="s">
        <v>74</v>
      </c>
      <c r="AB404" t="s">
        <v>74</v>
      </c>
      <c r="AC404" t="s">
        <v>7332</v>
      </c>
      <c r="AD404" t="s">
        <v>7333</v>
      </c>
      <c r="AE404" t="s">
        <v>7334</v>
      </c>
      <c r="AF404" t="s">
        <v>74</v>
      </c>
      <c r="AG404">
        <v>38</v>
      </c>
      <c r="AH404">
        <v>0</v>
      </c>
      <c r="AI404">
        <v>0</v>
      </c>
      <c r="AJ404">
        <v>10</v>
      </c>
      <c r="AK404">
        <v>10</v>
      </c>
      <c r="AL404" t="s">
        <v>90</v>
      </c>
      <c r="AM404" t="s">
        <v>91</v>
      </c>
      <c r="AN404" t="s">
        <v>92</v>
      </c>
      <c r="AO404" t="s">
        <v>7335</v>
      </c>
      <c r="AP404" t="s">
        <v>7336</v>
      </c>
      <c r="AQ404" t="s">
        <v>74</v>
      </c>
      <c r="AR404" t="s">
        <v>7337</v>
      </c>
      <c r="AS404" t="s">
        <v>7338</v>
      </c>
      <c r="AT404" t="s">
        <v>6659</v>
      </c>
      <c r="AU404">
        <v>2023</v>
      </c>
      <c r="AV404">
        <v>546</v>
      </c>
      <c r="AW404" t="s">
        <v>74</v>
      </c>
      <c r="AX404" t="s">
        <v>74</v>
      </c>
      <c r="AY404" t="s">
        <v>74</v>
      </c>
      <c r="AZ404" t="s">
        <v>74</v>
      </c>
      <c r="BA404" t="s">
        <v>74</v>
      </c>
      <c r="BB404" t="s">
        <v>74</v>
      </c>
      <c r="BC404" t="s">
        <v>74</v>
      </c>
      <c r="BD404">
        <v>129746</v>
      </c>
      <c r="BE404" t="s">
        <v>7339</v>
      </c>
      <c r="BF404" t="str">
        <f>HYPERLINK("http://dx.doi.org/10.1016/j.optcom.2023.129746","http://dx.doi.org/10.1016/j.optcom.2023.129746")</f>
        <v>http://dx.doi.org/10.1016/j.optcom.2023.129746</v>
      </c>
      <c r="BG404" t="s">
        <v>74</v>
      </c>
      <c r="BH404" t="s">
        <v>74</v>
      </c>
      <c r="BI404">
        <v>8</v>
      </c>
      <c r="BJ404" t="s">
        <v>2920</v>
      </c>
      <c r="BK404" t="s">
        <v>100</v>
      </c>
      <c r="BL404" t="s">
        <v>2920</v>
      </c>
      <c r="BM404" t="s">
        <v>7340</v>
      </c>
      <c r="BN404" t="s">
        <v>74</v>
      </c>
      <c r="BO404" t="s">
        <v>74</v>
      </c>
      <c r="BP404" t="s">
        <v>74</v>
      </c>
      <c r="BQ404" t="s">
        <v>74</v>
      </c>
      <c r="BR404" t="s">
        <v>104</v>
      </c>
      <c r="BS404" t="s">
        <v>7341</v>
      </c>
      <c r="BT404" t="str">
        <f>HYPERLINK("https%3A%2F%2Fwww.webofscience.com%2Fwos%2Fwoscc%2Ffull-record%2FWOS:001047765500001","View Full Record in Web of Science")</f>
        <v>View Full Record in Web of Science</v>
      </c>
    </row>
    <row r="405" spans="1:72" x14ac:dyDescent="0.15">
      <c r="A405" t="s">
        <v>72</v>
      </c>
      <c r="B405" t="s">
        <v>7342</v>
      </c>
      <c r="C405" t="s">
        <v>74</v>
      </c>
      <c r="D405" t="s">
        <v>74</v>
      </c>
      <c r="E405" t="s">
        <v>74</v>
      </c>
      <c r="F405" t="s">
        <v>7343</v>
      </c>
      <c r="G405" t="s">
        <v>74</v>
      </c>
      <c r="H405" t="s">
        <v>74</v>
      </c>
      <c r="I405" t="s">
        <v>7344</v>
      </c>
      <c r="J405" t="s">
        <v>7345</v>
      </c>
      <c r="K405" t="s">
        <v>74</v>
      </c>
      <c r="L405" t="s">
        <v>74</v>
      </c>
      <c r="M405" t="s">
        <v>78</v>
      </c>
      <c r="N405" t="s">
        <v>79</v>
      </c>
      <c r="O405" t="s">
        <v>74</v>
      </c>
      <c r="P405" t="s">
        <v>74</v>
      </c>
      <c r="Q405" t="s">
        <v>74</v>
      </c>
      <c r="R405" t="s">
        <v>74</v>
      </c>
      <c r="S405" t="s">
        <v>74</v>
      </c>
      <c r="T405" t="s">
        <v>7346</v>
      </c>
      <c r="U405" t="s">
        <v>7347</v>
      </c>
      <c r="V405" t="s">
        <v>7348</v>
      </c>
      <c r="W405" t="s">
        <v>7349</v>
      </c>
      <c r="X405" t="s">
        <v>7350</v>
      </c>
      <c r="Y405" t="s">
        <v>7351</v>
      </c>
      <c r="Z405" t="s">
        <v>7352</v>
      </c>
      <c r="AA405" t="s">
        <v>74</v>
      </c>
      <c r="AB405" t="s">
        <v>74</v>
      </c>
      <c r="AC405" t="s">
        <v>74</v>
      </c>
      <c r="AD405" t="s">
        <v>74</v>
      </c>
      <c r="AE405" t="s">
        <v>74</v>
      </c>
      <c r="AF405" t="s">
        <v>74</v>
      </c>
      <c r="AG405">
        <v>25</v>
      </c>
      <c r="AH405">
        <v>0</v>
      </c>
      <c r="AI405">
        <v>0</v>
      </c>
      <c r="AJ405">
        <v>0</v>
      </c>
      <c r="AK405">
        <v>0</v>
      </c>
      <c r="AL405" t="s">
        <v>475</v>
      </c>
      <c r="AM405" t="s">
        <v>476</v>
      </c>
      <c r="AN405" t="s">
        <v>477</v>
      </c>
      <c r="AO405" t="s">
        <v>7353</v>
      </c>
      <c r="AP405" t="s">
        <v>7354</v>
      </c>
      <c r="AQ405" t="s">
        <v>74</v>
      </c>
      <c r="AR405" t="s">
        <v>7355</v>
      </c>
      <c r="AS405" t="s">
        <v>7356</v>
      </c>
      <c r="AT405" t="s">
        <v>6618</v>
      </c>
      <c r="AU405">
        <v>2023</v>
      </c>
      <c r="AV405">
        <v>291</v>
      </c>
      <c r="AW405" t="s">
        <v>74</v>
      </c>
      <c r="AX405" t="s">
        <v>74</v>
      </c>
      <c r="AY405" t="s">
        <v>74</v>
      </c>
      <c r="AZ405" t="s">
        <v>74</v>
      </c>
      <c r="BA405" t="s">
        <v>74</v>
      </c>
      <c r="BB405">
        <v>321</v>
      </c>
      <c r="BC405">
        <v>329</v>
      </c>
      <c r="BD405" t="s">
        <v>74</v>
      </c>
      <c r="BE405" t="s">
        <v>7357</v>
      </c>
      <c r="BF405" t="str">
        <f>HYPERLINK("http://dx.doi.org/10.1016/j.jss.2023.06.008","http://dx.doi.org/10.1016/j.jss.2023.06.008")</f>
        <v>http://dx.doi.org/10.1016/j.jss.2023.06.008</v>
      </c>
      <c r="BG405" t="s">
        <v>74</v>
      </c>
      <c r="BH405" t="s">
        <v>74</v>
      </c>
      <c r="BI405">
        <v>9</v>
      </c>
      <c r="BJ405" t="s">
        <v>7358</v>
      </c>
      <c r="BK405" t="s">
        <v>100</v>
      </c>
      <c r="BL405" t="s">
        <v>7358</v>
      </c>
      <c r="BM405" t="s">
        <v>7359</v>
      </c>
      <c r="BN405">
        <v>37506431</v>
      </c>
      <c r="BO405" t="s">
        <v>74</v>
      </c>
      <c r="BP405" t="s">
        <v>74</v>
      </c>
      <c r="BQ405" t="s">
        <v>74</v>
      </c>
      <c r="BR405" t="s">
        <v>104</v>
      </c>
      <c r="BS405" t="s">
        <v>7360</v>
      </c>
      <c r="BT405" t="str">
        <f>HYPERLINK("https%3A%2F%2Fwww.webofscience.com%2Fwos%2Fwoscc%2Ffull-record%2FWOS:001049662800001","View Full Record in Web of Science")</f>
        <v>View Full Record in Web of Science</v>
      </c>
    </row>
    <row r="406" spans="1:72" x14ac:dyDescent="0.15">
      <c r="A406" t="s">
        <v>72</v>
      </c>
      <c r="B406" t="s">
        <v>7361</v>
      </c>
      <c r="C406" t="s">
        <v>74</v>
      </c>
      <c r="D406" t="s">
        <v>74</v>
      </c>
      <c r="E406" t="s">
        <v>74</v>
      </c>
      <c r="F406" t="s">
        <v>7362</v>
      </c>
      <c r="G406" t="s">
        <v>74</v>
      </c>
      <c r="H406" t="s">
        <v>74</v>
      </c>
      <c r="I406" t="s">
        <v>7363</v>
      </c>
      <c r="J406" t="s">
        <v>1587</v>
      </c>
      <c r="K406" t="s">
        <v>74</v>
      </c>
      <c r="L406" t="s">
        <v>74</v>
      </c>
      <c r="M406" t="s">
        <v>78</v>
      </c>
      <c r="N406" t="s">
        <v>79</v>
      </c>
      <c r="O406" t="s">
        <v>74</v>
      </c>
      <c r="P406" t="s">
        <v>74</v>
      </c>
      <c r="Q406" t="s">
        <v>74</v>
      </c>
      <c r="R406" t="s">
        <v>74</v>
      </c>
      <c r="S406" t="s">
        <v>74</v>
      </c>
      <c r="T406" t="s">
        <v>7364</v>
      </c>
      <c r="U406" t="s">
        <v>7365</v>
      </c>
      <c r="V406" t="s">
        <v>7366</v>
      </c>
      <c r="W406" t="s">
        <v>7367</v>
      </c>
      <c r="X406" t="s">
        <v>7368</v>
      </c>
      <c r="Y406" t="s">
        <v>7369</v>
      </c>
      <c r="Z406" t="s">
        <v>7370</v>
      </c>
      <c r="AA406" t="s">
        <v>74</v>
      </c>
      <c r="AB406" t="s">
        <v>74</v>
      </c>
      <c r="AC406" t="s">
        <v>7371</v>
      </c>
      <c r="AD406" t="s">
        <v>7372</v>
      </c>
      <c r="AE406" t="s">
        <v>7373</v>
      </c>
      <c r="AF406" t="s">
        <v>74</v>
      </c>
      <c r="AG406">
        <v>54</v>
      </c>
      <c r="AH406">
        <v>0</v>
      </c>
      <c r="AI406">
        <v>0</v>
      </c>
      <c r="AJ406">
        <v>23</v>
      </c>
      <c r="AK406">
        <v>23</v>
      </c>
      <c r="AL406" t="s">
        <v>90</v>
      </c>
      <c r="AM406" t="s">
        <v>91</v>
      </c>
      <c r="AN406" t="s">
        <v>92</v>
      </c>
      <c r="AO406" t="s">
        <v>1598</v>
      </c>
      <c r="AP406" t="s">
        <v>1599</v>
      </c>
      <c r="AQ406" t="s">
        <v>74</v>
      </c>
      <c r="AR406" t="s">
        <v>1600</v>
      </c>
      <c r="AS406" t="s">
        <v>1601</v>
      </c>
      <c r="AT406" t="s">
        <v>6659</v>
      </c>
      <c r="AU406">
        <v>2023</v>
      </c>
      <c r="AV406">
        <v>324</v>
      </c>
      <c r="AW406" t="s">
        <v>74</v>
      </c>
      <c r="AX406" t="s">
        <v>74</v>
      </c>
      <c r="AY406" t="s">
        <v>74</v>
      </c>
      <c r="AZ406" t="s">
        <v>74</v>
      </c>
      <c r="BA406" t="s">
        <v>74</v>
      </c>
      <c r="BB406" t="s">
        <v>74</v>
      </c>
      <c r="BC406" t="s">
        <v>74</v>
      </c>
      <c r="BD406">
        <v>124621</v>
      </c>
      <c r="BE406" t="s">
        <v>7374</v>
      </c>
      <c r="BF406" t="str">
        <f>HYPERLINK("http://dx.doi.org/10.1016/j.seppur.2023.124621","http://dx.doi.org/10.1016/j.seppur.2023.124621")</f>
        <v>http://dx.doi.org/10.1016/j.seppur.2023.124621</v>
      </c>
      <c r="BG406" t="s">
        <v>74</v>
      </c>
      <c r="BH406" t="s">
        <v>74</v>
      </c>
      <c r="BI406">
        <v>8</v>
      </c>
      <c r="BJ406" t="s">
        <v>1603</v>
      </c>
      <c r="BK406" t="s">
        <v>100</v>
      </c>
      <c r="BL406" t="s">
        <v>873</v>
      </c>
      <c r="BM406" t="s">
        <v>7375</v>
      </c>
      <c r="BN406" t="s">
        <v>74</v>
      </c>
      <c r="BO406" t="s">
        <v>74</v>
      </c>
      <c r="BP406" t="s">
        <v>74</v>
      </c>
      <c r="BQ406" t="s">
        <v>74</v>
      </c>
      <c r="BR406" t="s">
        <v>104</v>
      </c>
      <c r="BS406" t="s">
        <v>7376</v>
      </c>
      <c r="BT406" t="str">
        <f>HYPERLINK("https%3A%2F%2Fwww.webofscience.com%2Fwos%2Fwoscc%2Ffull-record%2FWOS:001046868600001","View Full Record in Web of Science")</f>
        <v>View Full Record in Web of Science</v>
      </c>
    </row>
    <row r="407" spans="1:72" x14ac:dyDescent="0.15">
      <c r="A407" t="s">
        <v>72</v>
      </c>
      <c r="B407" t="s">
        <v>7377</v>
      </c>
      <c r="C407" t="s">
        <v>74</v>
      </c>
      <c r="D407" t="s">
        <v>74</v>
      </c>
      <c r="E407" t="s">
        <v>74</v>
      </c>
      <c r="F407" t="s">
        <v>7378</v>
      </c>
      <c r="G407" t="s">
        <v>74</v>
      </c>
      <c r="H407" t="s">
        <v>74</v>
      </c>
      <c r="I407" t="s">
        <v>7379</v>
      </c>
      <c r="J407" t="s">
        <v>1524</v>
      </c>
      <c r="K407" t="s">
        <v>74</v>
      </c>
      <c r="L407" t="s">
        <v>74</v>
      </c>
      <c r="M407" t="s">
        <v>78</v>
      </c>
      <c r="N407" t="s">
        <v>79</v>
      </c>
      <c r="O407" t="s">
        <v>74</v>
      </c>
      <c r="P407" t="s">
        <v>74</v>
      </c>
      <c r="Q407" t="s">
        <v>74</v>
      </c>
      <c r="R407" t="s">
        <v>74</v>
      </c>
      <c r="S407" t="s">
        <v>74</v>
      </c>
      <c r="T407" t="s">
        <v>7380</v>
      </c>
      <c r="U407" t="s">
        <v>7381</v>
      </c>
      <c r="V407" t="s">
        <v>7382</v>
      </c>
      <c r="W407" t="s">
        <v>7383</v>
      </c>
      <c r="X407" t="s">
        <v>7384</v>
      </c>
      <c r="Y407" t="s">
        <v>7385</v>
      </c>
      <c r="Z407" t="s">
        <v>7386</v>
      </c>
      <c r="AA407" t="s">
        <v>74</v>
      </c>
      <c r="AB407" t="s">
        <v>74</v>
      </c>
      <c r="AC407" t="s">
        <v>7387</v>
      </c>
      <c r="AD407" t="s">
        <v>7388</v>
      </c>
      <c r="AE407" t="s">
        <v>7389</v>
      </c>
      <c r="AF407" t="s">
        <v>74</v>
      </c>
      <c r="AG407">
        <v>43</v>
      </c>
      <c r="AH407">
        <v>0</v>
      </c>
      <c r="AI407">
        <v>0</v>
      </c>
      <c r="AJ407">
        <v>5</v>
      </c>
      <c r="AK407">
        <v>5</v>
      </c>
      <c r="AL407" t="s">
        <v>90</v>
      </c>
      <c r="AM407" t="s">
        <v>91</v>
      </c>
      <c r="AN407" t="s">
        <v>92</v>
      </c>
      <c r="AO407" t="s">
        <v>1534</v>
      </c>
      <c r="AP407" t="s">
        <v>1535</v>
      </c>
      <c r="AQ407" t="s">
        <v>74</v>
      </c>
      <c r="AR407" t="s">
        <v>1536</v>
      </c>
      <c r="AS407" t="s">
        <v>1537</v>
      </c>
      <c r="AT407" t="s">
        <v>6659</v>
      </c>
      <c r="AU407">
        <v>2023</v>
      </c>
      <c r="AV407">
        <v>897</v>
      </c>
      <c r="AW407" t="s">
        <v>74</v>
      </c>
      <c r="AX407" t="s">
        <v>74</v>
      </c>
      <c r="AY407" t="s">
        <v>74</v>
      </c>
      <c r="AZ407" t="s">
        <v>74</v>
      </c>
      <c r="BA407" t="s">
        <v>74</v>
      </c>
      <c r="BB407" t="s">
        <v>74</v>
      </c>
      <c r="BC407" t="s">
        <v>74</v>
      </c>
      <c r="BD407">
        <v>165411</v>
      </c>
      <c r="BE407" t="s">
        <v>7390</v>
      </c>
      <c r="BF407" t="str">
        <f>HYPERLINK("http://dx.doi.org/10.1016/j.scitotenv.2023.165411","http://dx.doi.org/10.1016/j.scitotenv.2023.165411")</f>
        <v>http://dx.doi.org/10.1016/j.scitotenv.2023.165411</v>
      </c>
      <c r="BG407" t="s">
        <v>74</v>
      </c>
      <c r="BH407" t="s">
        <v>74</v>
      </c>
      <c r="BI407">
        <v>9</v>
      </c>
      <c r="BJ407" t="s">
        <v>1539</v>
      </c>
      <c r="BK407" t="s">
        <v>100</v>
      </c>
      <c r="BL407" t="s">
        <v>1540</v>
      </c>
      <c r="BM407" t="s">
        <v>7391</v>
      </c>
      <c r="BN407">
        <v>37423279</v>
      </c>
      <c r="BO407" t="s">
        <v>74</v>
      </c>
      <c r="BP407" t="s">
        <v>74</v>
      </c>
      <c r="BQ407" t="s">
        <v>74</v>
      </c>
      <c r="BR407" t="s">
        <v>104</v>
      </c>
      <c r="BS407" t="s">
        <v>7392</v>
      </c>
      <c r="BT407" t="str">
        <f>HYPERLINK("https%3A%2F%2Fwww.webofscience.com%2Fwos%2Fwoscc%2Ffull-record%2FWOS:001046815400001","View Full Record in Web of Science")</f>
        <v>View Full Record in Web of Science</v>
      </c>
    </row>
    <row r="408" spans="1:72" x14ac:dyDescent="0.15">
      <c r="A408" t="s">
        <v>72</v>
      </c>
      <c r="B408" t="s">
        <v>7393</v>
      </c>
      <c r="C408" t="s">
        <v>74</v>
      </c>
      <c r="D408" t="s">
        <v>74</v>
      </c>
      <c r="E408" t="s">
        <v>74</v>
      </c>
      <c r="F408" t="s">
        <v>7394</v>
      </c>
      <c r="G408" t="s">
        <v>74</v>
      </c>
      <c r="H408" t="s">
        <v>74</v>
      </c>
      <c r="I408" t="s">
        <v>7395</v>
      </c>
      <c r="J408" t="s">
        <v>7396</v>
      </c>
      <c r="K408" t="s">
        <v>74</v>
      </c>
      <c r="L408" t="s">
        <v>74</v>
      </c>
      <c r="M408" t="s">
        <v>78</v>
      </c>
      <c r="N408" t="s">
        <v>79</v>
      </c>
      <c r="O408" t="s">
        <v>74</v>
      </c>
      <c r="P408" t="s">
        <v>74</v>
      </c>
      <c r="Q408" t="s">
        <v>74</v>
      </c>
      <c r="R408" t="s">
        <v>74</v>
      </c>
      <c r="S408" t="s">
        <v>74</v>
      </c>
      <c r="T408" t="s">
        <v>7397</v>
      </c>
      <c r="U408" t="s">
        <v>7398</v>
      </c>
      <c r="V408" t="s">
        <v>7399</v>
      </c>
      <c r="W408" t="s">
        <v>7400</v>
      </c>
      <c r="X408" t="s">
        <v>7401</v>
      </c>
      <c r="Y408" t="s">
        <v>7402</v>
      </c>
      <c r="Z408" t="s">
        <v>7403</v>
      </c>
      <c r="AA408" t="s">
        <v>7404</v>
      </c>
      <c r="AB408" t="s">
        <v>7405</v>
      </c>
      <c r="AC408" t="s">
        <v>7406</v>
      </c>
      <c r="AD408" t="s">
        <v>3422</v>
      </c>
      <c r="AE408" t="s">
        <v>7407</v>
      </c>
      <c r="AF408" t="s">
        <v>74</v>
      </c>
      <c r="AG408">
        <v>61</v>
      </c>
      <c r="AH408">
        <v>0</v>
      </c>
      <c r="AI408">
        <v>0</v>
      </c>
      <c r="AJ408">
        <v>1</v>
      </c>
      <c r="AK408">
        <v>1</v>
      </c>
      <c r="AL408" t="s">
        <v>90</v>
      </c>
      <c r="AM408" t="s">
        <v>91</v>
      </c>
      <c r="AN408" t="s">
        <v>92</v>
      </c>
      <c r="AO408" t="s">
        <v>7408</v>
      </c>
      <c r="AP408" t="s">
        <v>7409</v>
      </c>
      <c r="AQ408" t="s">
        <v>74</v>
      </c>
      <c r="AR408" t="s">
        <v>7410</v>
      </c>
      <c r="AS408" t="s">
        <v>7411</v>
      </c>
      <c r="AT408" t="s">
        <v>6659</v>
      </c>
      <c r="AU408">
        <v>2023</v>
      </c>
      <c r="AV408">
        <v>1864</v>
      </c>
      <c r="AW408">
        <v>4</v>
      </c>
      <c r="AX408" t="s">
        <v>74</v>
      </c>
      <c r="AY408" t="s">
        <v>74</v>
      </c>
      <c r="AZ408" t="s">
        <v>74</v>
      </c>
      <c r="BA408" t="s">
        <v>74</v>
      </c>
      <c r="BB408" t="s">
        <v>74</v>
      </c>
      <c r="BC408" t="s">
        <v>74</v>
      </c>
      <c r="BD408">
        <v>148996</v>
      </c>
      <c r="BE408" t="s">
        <v>7412</v>
      </c>
      <c r="BF408" t="str">
        <f>HYPERLINK("http://dx.doi.org/10.1016/j.bbabio.2023.148996","http://dx.doi.org/10.1016/j.bbabio.2023.148996")</f>
        <v>http://dx.doi.org/10.1016/j.bbabio.2023.148996</v>
      </c>
      <c r="BG408" t="s">
        <v>74</v>
      </c>
      <c r="BH408" t="s">
        <v>74</v>
      </c>
      <c r="BI408">
        <v>7</v>
      </c>
      <c r="BJ408" t="s">
        <v>7413</v>
      </c>
      <c r="BK408" t="s">
        <v>100</v>
      </c>
      <c r="BL408" t="s">
        <v>7413</v>
      </c>
      <c r="BM408" t="s">
        <v>7414</v>
      </c>
      <c r="BN408">
        <v>37437858</v>
      </c>
      <c r="BO408" t="s">
        <v>74</v>
      </c>
      <c r="BP408" t="s">
        <v>74</v>
      </c>
      <c r="BQ408" t="s">
        <v>74</v>
      </c>
      <c r="BR408" t="s">
        <v>104</v>
      </c>
      <c r="BS408" t="s">
        <v>7415</v>
      </c>
      <c r="BT408" t="str">
        <f>HYPERLINK("https%3A%2F%2Fwww.webofscience.com%2Fwos%2Fwoscc%2Ffull-record%2FWOS:001060170400001","View Full Record in Web of Science")</f>
        <v>View Full Record in Web of Science</v>
      </c>
    </row>
    <row r="409" spans="1:72" x14ac:dyDescent="0.15">
      <c r="A409" t="s">
        <v>72</v>
      </c>
      <c r="B409" t="s">
        <v>7416</v>
      </c>
      <c r="C409" t="s">
        <v>74</v>
      </c>
      <c r="D409" t="s">
        <v>74</v>
      </c>
      <c r="E409" t="s">
        <v>74</v>
      </c>
      <c r="F409" t="s">
        <v>7417</v>
      </c>
      <c r="G409" t="s">
        <v>74</v>
      </c>
      <c r="H409" t="s">
        <v>74</v>
      </c>
      <c r="I409" t="s">
        <v>7418</v>
      </c>
      <c r="J409" t="s">
        <v>7172</v>
      </c>
      <c r="K409" t="s">
        <v>74</v>
      </c>
      <c r="L409" t="s">
        <v>74</v>
      </c>
      <c r="M409" t="s">
        <v>78</v>
      </c>
      <c r="N409" t="s">
        <v>79</v>
      </c>
      <c r="O409" t="s">
        <v>74</v>
      </c>
      <c r="P409" t="s">
        <v>74</v>
      </c>
      <c r="Q409" t="s">
        <v>74</v>
      </c>
      <c r="R409" t="s">
        <v>74</v>
      </c>
      <c r="S409" t="s">
        <v>74</v>
      </c>
      <c r="T409" t="s">
        <v>7419</v>
      </c>
      <c r="U409" t="s">
        <v>7420</v>
      </c>
      <c r="V409" t="s">
        <v>7421</v>
      </c>
      <c r="W409" t="s">
        <v>7422</v>
      </c>
      <c r="X409" t="s">
        <v>7423</v>
      </c>
      <c r="Y409" t="s">
        <v>7424</v>
      </c>
      <c r="Z409" t="s">
        <v>7425</v>
      </c>
      <c r="AA409" t="s">
        <v>7426</v>
      </c>
      <c r="AB409" t="s">
        <v>7427</v>
      </c>
      <c r="AC409" t="s">
        <v>7428</v>
      </c>
      <c r="AD409" t="s">
        <v>7429</v>
      </c>
      <c r="AE409" t="s">
        <v>7430</v>
      </c>
      <c r="AF409" t="s">
        <v>74</v>
      </c>
      <c r="AG409">
        <v>64</v>
      </c>
      <c r="AH409">
        <v>0</v>
      </c>
      <c r="AI409">
        <v>0</v>
      </c>
      <c r="AJ409">
        <v>7</v>
      </c>
      <c r="AK409">
        <v>7</v>
      </c>
      <c r="AL409" t="s">
        <v>173</v>
      </c>
      <c r="AM409" t="s">
        <v>121</v>
      </c>
      <c r="AN409" t="s">
        <v>174</v>
      </c>
      <c r="AO409" t="s">
        <v>7182</v>
      </c>
      <c r="AP409" t="s">
        <v>7183</v>
      </c>
      <c r="AQ409" t="s">
        <v>74</v>
      </c>
      <c r="AR409" t="s">
        <v>7184</v>
      </c>
      <c r="AS409" t="s">
        <v>7185</v>
      </c>
      <c r="AT409" t="s">
        <v>6618</v>
      </c>
      <c r="AU409">
        <v>2023</v>
      </c>
      <c r="AV409">
        <v>189</v>
      </c>
      <c r="AW409" t="s">
        <v>74</v>
      </c>
      <c r="AX409" t="s">
        <v>74</v>
      </c>
      <c r="AY409" t="s">
        <v>74</v>
      </c>
      <c r="AZ409" t="s">
        <v>74</v>
      </c>
      <c r="BA409" t="s">
        <v>74</v>
      </c>
      <c r="BB409" t="s">
        <v>74</v>
      </c>
      <c r="BC409" t="s">
        <v>74</v>
      </c>
      <c r="BD409">
        <v>105425</v>
      </c>
      <c r="BE409" t="s">
        <v>7431</v>
      </c>
      <c r="BF409" t="str">
        <f>HYPERLINK("http://dx.doi.org/10.1016/j.mechmachtheory.2023.105425","http://dx.doi.org/10.1016/j.mechmachtheory.2023.105425")</f>
        <v>http://dx.doi.org/10.1016/j.mechmachtheory.2023.105425</v>
      </c>
      <c r="BG409" t="s">
        <v>74</v>
      </c>
      <c r="BH409" t="s">
        <v>74</v>
      </c>
      <c r="BI409">
        <v>17</v>
      </c>
      <c r="BJ409" t="s">
        <v>7187</v>
      </c>
      <c r="BK409" t="s">
        <v>100</v>
      </c>
      <c r="BL409" t="s">
        <v>873</v>
      </c>
      <c r="BM409" t="s">
        <v>7432</v>
      </c>
      <c r="BN409" t="s">
        <v>74</v>
      </c>
      <c r="BO409" t="s">
        <v>74</v>
      </c>
      <c r="BP409" t="s">
        <v>74</v>
      </c>
      <c r="BQ409" t="s">
        <v>74</v>
      </c>
      <c r="BR409" t="s">
        <v>104</v>
      </c>
      <c r="BS409" t="s">
        <v>7433</v>
      </c>
      <c r="BT409" t="str">
        <f>HYPERLINK("https%3A%2F%2Fwww.webofscience.com%2Fwos%2Fwoscc%2Ffull-record%2FWOS:001046508100001","View Full Record in Web of Science")</f>
        <v>View Full Record in Web of Science</v>
      </c>
    </row>
    <row r="410" spans="1:72" x14ac:dyDescent="0.15">
      <c r="A410" t="s">
        <v>72</v>
      </c>
      <c r="B410" t="s">
        <v>7434</v>
      </c>
      <c r="C410" t="s">
        <v>74</v>
      </c>
      <c r="D410" t="s">
        <v>74</v>
      </c>
      <c r="E410" t="s">
        <v>74</v>
      </c>
      <c r="F410" t="s">
        <v>7435</v>
      </c>
      <c r="G410" t="s">
        <v>74</v>
      </c>
      <c r="H410" t="s">
        <v>74</v>
      </c>
      <c r="I410" t="s">
        <v>7436</v>
      </c>
      <c r="J410" t="s">
        <v>7437</v>
      </c>
      <c r="K410" t="s">
        <v>74</v>
      </c>
      <c r="L410" t="s">
        <v>74</v>
      </c>
      <c r="M410" t="s">
        <v>78</v>
      </c>
      <c r="N410" t="s">
        <v>79</v>
      </c>
      <c r="O410" t="s">
        <v>74</v>
      </c>
      <c r="P410" t="s">
        <v>74</v>
      </c>
      <c r="Q410" t="s">
        <v>74</v>
      </c>
      <c r="R410" t="s">
        <v>74</v>
      </c>
      <c r="S410" t="s">
        <v>74</v>
      </c>
      <c r="T410" t="s">
        <v>7438</v>
      </c>
      <c r="U410" t="s">
        <v>7439</v>
      </c>
      <c r="V410" t="s">
        <v>7440</v>
      </c>
      <c r="W410" t="s">
        <v>7441</v>
      </c>
      <c r="X410" t="s">
        <v>74</v>
      </c>
      <c r="Y410" t="s">
        <v>7442</v>
      </c>
      <c r="Z410" t="s">
        <v>7443</v>
      </c>
      <c r="AA410" t="s">
        <v>74</v>
      </c>
      <c r="AB410" t="s">
        <v>74</v>
      </c>
      <c r="AC410" t="s">
        <v>7444</v>
      </c>
      <c r="AD410" t="s">
        <v>7445</v>
      </c>
      <c r="AE410" t="s">
        <v>7446</v>
      </c>
      <c r="AF410" t="s">
        <v>74</v>
      </c>
      <c r="AG410">
        <v>35</v>
      </c>
      <c r="AH410">
        <v>0</v>
      </c>
      <c r="AI410">
        <v>0</v>
      </c>
      <c r="AJ410">
        <v>2</v>
      </c>
      <c r="AK410">
        <v>2</v>
      </c>
      <c r="AL410" t="s">
        <v>173</v>
      </c>
      <c r="AM410" t="s">
        <v>121</v>
      </c>
      <c r="AN410" t="s">
        <v>174</v>
      </c>
      <c r="AO410" t="s">
        <v>7447</v>
      </c>
      <c r="AP410" t="s">
        <v>7448</v>
      </c>
      <c r="AQ410" t="s">
        <v>74</v>
      </c>
      <c r="AR410" t="s">
        <v>7449</v>
      </c>
      <c r="AS410" t="s">
        <v>7450</v>
      </c>
      <c r="AT410" t="s">
        <v>6618</v>
      </c>
      <c r="AU410">
        <v>2023</v>
      </c>
      <c r="AV410">
        <v>159</v>
      </c>
      <c r="AW410" t="s">
        <v>74</v>
      </c>
      <c r="AX410" t="s">
        <v>74</v>
      </c>
      <c r="AY410" t="s">
        <v>74</v>
      </c>
      <c r="AZ410" t="s">
        <v>74</v>
      </c>
      <c r="BA410" t="s">
        <v>74</v>
      </c>
      <c r="BB410" t="s">
        <v>74</v>
      </c>
      <c r="BC410" t="s">
        <v>74</v>
      </c>
      <c r="BD410">
        <v>106350</v>
      </c>
      <c r="BE410" t="s">
        <v>7451</v>
      </c>
      <c r="BF410" t="str">
        <f>HYPERLINK("http://dx.doi.org/10.1016/j.cor.2023.106350","http://dx.doi.org/10.1016/j.cor.2023.106350")</f>
        <v>http://dx.doi.org/10.1016/j.cor.2023.106350</v>
      </c>
      <c r="BG410" t="s">
        <v>74</v>
      </c>
      <c r="BH410" t="s">
        <v>74</v>
      </c>
      <c r="BI410">
        <v>20</v>
      </c>
      <c r="BJ410" t="s">
        <v>7452</v>
      </c>
      <c r="BK410" t="s">
        <v>100</v>
      </c>
      <c r="BL410" t="s">
        <v>181</v>
      </c>
      <c r="BM410" t="s">
        <v>7453</v>
      </c>
      <c r="BN410" t="s">
        <v>74</v>
      </c>
      <c r="BO410" t="s">
        <v>74</v>
      </c>
      <c r="BP410" t="s">
        <v>74</v>
      </c>
      <c r="BQ410" t="s">
        <v>74</v>
      </c>
      <c r="BR410" t="s">
        <v>104</v>
      </c>
      <c r="BS410" t="s">
        <v>7454</v>
      </c>
      <c r="BT410" t="str">
        <f>HYPERLINK("https%3A%2F%2Fwww.webofscience.com%2Fwos%2Fwoscc%2Ffull-record%2FWOS:001048709900001","View Full Record in Web of Science")</f>
        <v>View Full Record in Web of Science</v>
      </c>
    </row>
    <row r="411" spans="1:72" x14ac:dyDescent="0.15">
      <c r="A411" t="s">
        <v>72</v>
      </c>
      <c r="B411" t="s">
        <v>7455</v>
      </c>
      <c r="C411" t="s">
        <v>74</v>
      </c>
      <c r="D411" t="s">
        <v>74</v>
      </c>
      <c r="E411" t="s">
        <v>74</v>
      </c>
      <c r="F411" t="s">
        <v>7456</v>
      </c>
      <c r="G411" t="s">
        <v>74</v>
      </c>
      <c r="H411" t="s">
        <v>74</v>
      </c>
      <c r="I411" t="s">
        <v>7457</v>
      </c>
      <c r="J411" t="s">
        <v>7129</v>
      </c>
      <c r="K411" t="s">
        <v>74</v>
      </c>
      <c r="L411" t="s">
        <v>74</v>
      </c>
      <c r="M411" t="s">
        <v>78</v>
      </c>
      <c r="N411" t="s">
        <v>79</v>
      </c>
      <c r="O411" t="s">
        <v>74</v>
      </c>
      <c r="P411" t="s">
        <v>74</v>
      </c>
      <c r="Q411" t="s">
        <v>74</v>
      </c>
      <c r="R411" t="s">
        <v>74</v>
      </c>
      <c r="S411" t="s">
        <v>74</v>
      </c>
      <c r="T411" t="s">
        <v>7458</v>
      </c>
      <c r="U411" t="s">
        <v>7459</v>
      </c>
      <c r="V411" t="s">
        <v>7460</v>
      </c>
      <c r="W411" t="s">
        <v>7461</v>
      </c>
      <c r="X411" t="s">
        <v>7462</v>
      </c>
      <c r="Y411" t="s">
        <v>7463</v>
      </c>
      <c r="Z411" t="s">
        <v>7464</v>
      </c>
      <c r="AA411" t="s">
        <v>74</v>
      </c>
      <c r="AB411" t="s">
        <v>74</v>
      </c>
      <c r="AC411" t="s">
        <v>74</v>
      </c>
      <c r="AD411" t="s">
        <v>74</v>
      </c>
      <c r="AE411" t="s">
        <v>74</v>
      </c>
      <c r="AF411" t="s">
        <v>74</v>
      </c>
      <c r="AG411">
        <v>72</v>
      </c>
      <c r="AH411">
        <v>0</v>
      </c>
      <c r="AI411">
        <v>0</v>
      </c>
      <c r="AJ411">
        <v>1</v>
      </c>
      <c r="AK411">
        <v>1</v>
      </c>
      <c r="AL411" t="s">
        <v>173</v>
      </c>
      <c r="AM411" t="s">
        <v>121</v>
      </c>
      <c r="AN411" t="s">
        <v>174</v>
      </c>
      <c r="AO411" t="s">
        <v>7142</v>
      </c>
      <c r="AP411" t="s">
        <v>74</v>
      </c>
      <c r="AQ411" t="s">
        <v>74</v>
      </c>
      <c r="AR411" t="s">
        <v>7143</v>
      </c>
      <c r="AS411" t="s">
        <v>7144</v>
      </c>
      <c r="AT411" t="s">
        <v>6618</v>
      </c>
      <c r="AU411">
        <v>2023</v>
      </c>
      <c r="AV411">
        <v>202</v>
      </c>
      <c r="AW411" t="s">
        <v>74</v>
      </c>
      <c r="AX411" t="s">
        <v>74</v>
      </c>
      <c r="AY411" t="s">
        <v>74</v>
      </c>
      <c r="AZ411" t="s">
        <v>74</v>
      </c>
      <c r="BA411" t="s">
        <v>74</v>
      </c>
      <c r="BB411" t="s">
        <v>74</v>
      </c>
      <c r="BC411" t="s">
        <v>74</v>
      </c>
      <c r="BD411">
        <v>108314</v>
      </c>
      <c r="BE411" t="s">
        <v>7465</v>
      </c>
      <c r="BF411" t="str">
        <f>HYPERLINK("http://dx.doi.org/10.1016/j.mineng.2023.108314","http://dx.doi.org/10.1016/j.mineng.2023.108314")</f>
        <v>http://dx.doi.org/10.1016/j.mineng.2023.108314</v>
      </c>
      <c r="BG411" t="s">
        <v>74</v>
      </c>
      <c r="BH411" t="s">
        <v>74</v>
      </c>
      <c r="BI411">
        <v>12</v>
      </c>
      <c r="BJ411" t="s">
        <v>7146</v>
      </c>
      <c r="BK411" t="s">
        <v>100</v>
      </c>
      <c r="BL411" t="s">
        <v>7147</v>
      </c>
      <c r="BM411" t="s">
        <v>7466</v>
      </c>
      <c r="BN411" t="s">
        <v>74</v>
      </c>
      <c r="BO411" t="s">
        <v>74</v>
      </c>
      <c r="BP411" t="s">
        <v>74</v>
      </c>
      <c r="BQ411" t="s">
        <v>74</v>
      </c>
      <c r="BR411" t="s">
        <v>104</v>
      </c>
      <c r="BS411" t="s">
        <v>7467</v>
      </c>
      <c r="BT411" t="str">
        <f>HYPERLINK("https%3A%2F%2Fwww.webofscience.com%2Fwos%2Fwoscc%2Ffull-record%2FWOS:001059078300001","View Full Record in Web of Science")</f>
        <v>View Full Record in Web of Science</v>
      </c>
    </row>
    <row r="412" spans="1:72" x14ac:dyDescent="0.15">
      <c r="A412" t="s">
        <v>72</v>
      </c>
      <c r="B412" t="s">
        <v>7468</v>
      </c>
      <c r="C412" t="s">
        <v>74</v>
      </c>
      <c r="D412" t="s">
        <v>74</v>
      </c>
      <c r="E412" t="s">
        <v>74</v>
      </c>
      <c r="F412" t="s">
        <v>7469</v>
      </c>
      <c r="G412" t="s">
        <v>74</v>
      </c>
      <c r="H412" t="s">
        <v>74</v>
      </c>
      <c r="I412" t="s">
        <v>7470</v>
      </c>
      <c r="J412" t="s">
        <v>7471</v>
      </c>
      <c r="K412" t="s">
        <v>74</v>
      </c>
      <c r="L412" t="s">
        <v>74</v>
      </c>
      <c r="M412" t="s">
        <v>78</v>
      </c>
      <c r="N412" t="s">
        <v>79</v>
      </c>
      <c r="O412" t="s">
        <v>74</v>
      </c>
      <c r="P412" t="s">
        <v>74</v>
      </c>
      <c r="Q412" t="s">
        <v>74</v>
      </c>
      <c r="R412" t="s">
        <v>74</v>
      </c>
      <c r="S412" t="s">
        <v>74</v>
      </c>
      <c r="T412" t="s">
        <v>7472</v>
      </c>
      <c r="U412" t="s">
        <v>7473</v>
      </c>
      <c r="V412" t="s">
        <v>7474</v>
      </c>
      <c r="W412" t="s">
        <v>7475</v>
      </c>
      <c r="X412" t="s">
        <v>74</v>
      </c>
      <c r="Y412" t="s">
        <v>7476</v>
      </c>
      <c r="Z412" t="s">
        <v>7477</v>
      </c>
      <c r="AA412" t="s">
        <v>74</v>
      </c>
      <c r="AB412" t="s">
        <v>74</v>
      </c>
      <c r="AC412" t="s">
        <v>7478</v>
      </c>
      <c r="AD412" t="s">
        <v>7479</v>
      </c>
      <c r="AE412" t="s">
        <v>7480</v>
      </c>
      <c r="AF412" t="s">
        <v>74</v>
      </c>
      <c r="AG412">
        <v>28</v>
      </c>
      <c r="AH412">
        <v>0</v>
      </c>
      <c r="AI412">
        <v>0</v>
      </c>
      <c r="AJ412">
        <v>2</v>
      </c>
      <c r="AK412">
        <v>2</v>
      </c>
      <c r="AL412" t="s">
        <v>90</v>
      </c>
      <c r="AM412" t="s">
        <v>91</v>
      </c>
      <c r="AN412" t="s">
        <v>92</v>
      </c>
      <c r="AO412" t="s">
        <v>7481</v>
      </c>
      <c r="AP412" t="s">
        <v>7482</v>
      </c>
      <c r="AQ412" t="s">
        <v>74</v>
      </c>
      <c r="AR412" t="s">
        <v>7483</v>
      </c>
      <c r="AS412" t="s">
        <v>7484</v>
      </c>
      <c r="AT412" t="s">
        <v>6618</v>
      </c>
      <c r="AU412">
        <v>2023</v>
      </c>
      <c r="AV412">
        <v>167</v>
      </c>
      <c r="AW412" t="s">
        <v>74</v>
      </c>
      <c r="AX412" t="s">
        <v>74</v>
      </c>
      <c r="AY412" t="s">
        <v>74</v>
      </c>
      <c r="AZ412" t="s">
        <v>74</v>
      </c>
      <c r="BA412" t="s">
        <v>74</v>
      </c>
      <c r="BB412" t="s">
        <v>74</v>
      </c>
      <c r="BC412" t="s">
        <v>74</v>
      </c>
      <c r="BD412">
        <v>106267</v>
      </c>
      <c r="BE412" t="s">
        <v>7485</v>
      </c>
      <c r="BF412" t="str">
        <f>HYPERLINK("http://dx.doi.org/10.1016/j.ssci.2023.106267","http://dx.doi.org/10.1016/j.ssci.2023.106267")</f>
        <v>http://dx.doi.org/10.1016/j.ssci.2023.106267</v>
      </c>
      <c r="BG412" t="s">
        <v>74</v>
      </c>
      <c r="BH412" t="s">
        <v>74</v>
      </c>
      <c r="BI412">
        <v>14</v>
      </c>
      <c r="BJ412" t="s">
        <v>3319</v>
      </c>
      <c r="BK412" t="s">
        <v>100</v>
      </c>
      <c r="BL412" t="s">
        <v>3320</v>
      </c>
      <c r="BM412" t="s">
        <v>7486</v>
      </c>
      <c r="BN412" t="s">
        <v>74</v>
      </c>
      <c r="BO412" t="s">
        <v>74</v>
      </c>
      <c r="BP412" t="s">
        <v>74</v>
      </c>
      <c r="BQ412" t="s">
        <v>74</v>
      </c>
      <c r="BR412" t="s">
        <v>104</v>
      </c>
      <c r="BS412" t="s">
        <v>7487</v>
      </c>
      <c r="BT412" t="str">
        <f>HYPERLINK("https%3A%2F%2Fwww.webofscience.com%2Fwos%2Fwoscc%2Ffull-record%2FWOS:001059407700001","View Full Record in Web of Science")</f>
        <v>View Full Record in Web of Science</v>
      </c>
    </row>
    <row r="413" spans="1:72" x14ac:dyDescent="0.15">
      <c r="A413" t="s">
        <v>72</v>
      </c>
      <c r="B413" t="s">
        <v>7488</v>
      </c>
      <c r="C413" t="s">
        <v>74</v>
      </c>
      <c r="D413" t="s">
        <v>74</v>
      </c>
      <c r="E413" t="s">
        <v>74</v>
      </c>
      <c r="F413" t="s">
        <v>7489</v>
      </c>
      <c r="G413" t="s">
        <v>74</v>
      </c>
      <c r="H413" t="s">
        <v>74</v>
      </c>
      <c r="I413" t="s">
        <v>7490</v>
      </c>
      <c r="J413" t="s">
        <v>613</v>
      </c>
      <c r="K413" t="s">
        <v>74</v>
      </c>
      <c r="L413" t="s">
        <v>74</v>
      </c>
      <c r="M413" t="s">
        <v>78</v>
      </c>
      <c r="N413" t="s">
        <v>79</v>
      </c>
      <c r="O413" t="s">
        <v>74</v>
      </c>
      <c r="P413" t="s">
        <v>74</v>
      </c>
      <c r="Q413" t="s">
        <v>74</v>
      </c>
      <c r="R413" t="s">
        <v>74</v>
      </c>
      <c r="S413" t="s">
        <v>74</v>
      </c>
      <c r="T413" t="s">
        <v>7491</v>
      </c>
      <c r="U413" t="s">
        <v>7492</v>
      </c>
      <c r="V413" t="s">
        <v>7493</v>
      </c>
      <c r="W413" t="s">
        <v>7494</v>
      </c>
      <c r="X413" t="s">
        <v>7495</v>
      </c>
      <c r="Y413" t="s">
        <v>7496</v>
      </c>
      <c r="Z413" t="s">
        <v>7497</v>
      </c>
      <c r="AA413" t="s">
        <v>74</v>
      </c>
      <c r="AB413" t="s">
        <v>74</v>
      </c>
      <c r="AC413" t="s">
        <v>7498</v>
      </c>
      <c r="AD413" t="s">
        <v>7499</v>
      </c>
      <c r="AE413" t="s">
        <v>7500</v>
      </c>
      <c r="AF413" t="s">
        <v>74</v>
      </c>
      <c r="AG413">
        <v>48</v>
      </c>
      <c r="AH413">
        <v>0</v>
      </c>
      <c r="AI413">
        <v>0</v>
      </c>
      <c r="AJ413">
        <v>11</v>
      </c>
      <c r="AK413">
        <v>11</v>
      </c>
      <c r="AL413" t="s">
        <v>90</v>
      </c>
      <c r="AM413" t="s">
        <v>91</v>
      </c>
      <c r="AN413" t="s">
        <v>92</v>
      </c>
      <c r="AO413" t="s">
        <v>621</v>
      </c>
      <c r="AP413" t="s">
        <v>622</v>
      </c>
      <c r="AQ413" t="s">
        <v>74</v>
      </c>
      <c r="AR413" t="s">
        <v>623</v>
      </c>
      <c r="AS413" t="s">
        <v>624</v>
      </c>
      <c r="AT413" t="s">
        <v>6618</v>
      </c>
      <c r="AU413">
        <v>2023</v>
      </c>
      <c r="AV413">
        <v>88</v>
      </c>
      <c r="AW413" t="s">
        <v>74</v>
      </c>
      <c r="AX413" t="s">
        <v>74</v>
      </c>
      <c r="AY413" t="s">
        <v>74</v>
      </c>
      <c r="AZ413" t="s">
        <v>74</v>
      </c>
      <c r="BA413" t="s">
        <v>74</v>
      </c>
      <c r="BB413">
        <v>594</v>
      </c>
      <c r="BC413">
        <v>606</v>
      </c>
      <c r="BD413" t="s">
        <v>74</v>
      </c>
      <c r="BE413" t="s">
        <v>7501</v>
      </c>
      <c r="BF413" t="str">
        <f>HYPERLINK("http://dx.doi.org/10.1016/j.iref.2023.06.037","http://dx.doi.org/10.1016/j.iref.2023.06.037")</f>
        <v>http://dx.doi.org/10.1016/j.iref.2023.06.037</v>
      </c>
      <c r="BG413" t="s">
        <v>74</v>
      </c>
      <c r="BH413" t="s">
        <v>74</v>
      </c>
      <c r="BI413">
        <v>13</v>
      </c>
      <c r="BJ413" t="s">
        <v>626</v>
      </c>
      <c r="BK413" t="s">
        <v>627</v>
      </c>
      <c r="BL413" t="s">
        <v>628</v>
      </c>
      <c r="BM413" t="s">
        <v>7502</v>
      </c>
      <c r="BN413" t="s">
        <v>74</v>
      </c>
      <c r="BO413" t="s">
        <v>74</v>
      </c>
      <c r="BP413" t="s">
        <v>74</v>
      </c>
      <c r="BQ413" t="s">
        <v>74</v>
      </c>
      <c r="BR413" t="s">
        <v>104</v>
      </c>
      <c r="BS413" t="s">
        <v>7503</v>
      </c>
      <c r="BT413" t="str">
        <f>HYPERLINK("https%3A%2F%2Fwww.webofscience.com%2Fwos%2Fwoscc%2Ffull-record%2FWOS:001043302500001","View Full Record in Web of Science")</f>
        <v>View Full Record in Web of Science</v>
      </c>
    </row>
    <row r="414" spans="1:72" x14ac:dyDescent="0.15">
      <c r="A414" t="s">
        <v>72</v>
      </c>
      <c r="B414" t="s">
        <v>7504</v>
      </c>
      <c r="C414" t="s">
        <v>74</v>
      </c>
      <c r="D414" t="s">
        <v>74</v>
      </c>
      <c r="E414" t="s">
        <v>74</v>
      </c>
      <c r="F414" t="s">
        <v>7505</v>
      </c>
      <c r="G414" t="s">
        <v>74</v>
      </c>
      <c r="H414" t="s">
        <v>74</v>
      </c>
      <c r="I414" t="s">
        <v>7506</v>
      </c>
      <c r="J414" t="s">
        <v>7507</v>
      </c>
      <c r="K414" t="s">
        <v>74</v>
      </c>
      <c r="L414" t="s">
        <v>74</v>
      </c>
      <c r="M414" t="s">
        <v>78</v>
      </c>
      <c r="N414" t="s">
        <v>79</v>
      </c>
      <c r="O414" t="s">
        <v>74</v>
      </c>
      <c r="P414" t="s">
        <v>74</v>
      </c>
      <c r="Q414" t="s">
        <v>74</v>
      </c>
      <c r="R414" t="s">
        <v>74</v>
      </c>
      <c r="S414" t="s">
        <v>74</v>
      </c>
      <c r="T414" t="s">
        <v>7508</v>
      </c>
      <c r="U414" t="s">
        <v>7509</v>
      </c>
      <c r="V414" t="s">
        <v>7510</v>
      </c>
      <c r="W414" t="s">
        <v>7511</v>
      </c>
      <c r="X414" t="s">
        <v>7512</v>
      </c>
      <c r="Y414" t="s">
        <v>7513</v>
      </c>
      <c r="Z414" t="s">
        <v>7514</v>
      </c>
      <c r="AA414" t="s">
        <v>74</v>
      </c>
      <c r="AB414" t="s">
        <v>74</v>
      </c>
      <c r="AC414" t="s">
        <v>7515</v>
      </c>
      <c r="AD414" t="s">
        <v>7516</v>
      </c>
      <c r="AE414" t="s">
        <v>7517</v>
      </c>
      <c r="AF414" t="s">
        <v>74</v>
      </c>
      <c r="AG414">
        <v>35</v>
      </c>
      <c r="AH414">
        <v>0</v>
      </c>
      <c r="AI414">
        <v>0</v>
      </c>
      <c r="AJ414">
        <v>15</v>
      </c>
      <c r="AK414">
        <v>15</v>
      </c>
      <c r="AL414" t="s">
        <v>120</v>
      </c>
      <c r="AM414" t="s">
        <v>121</v>
      </c>
      <c r="AN414" t="s">
        <v>122</v>
      </c>
      <c r="AO414" t="s">
        <v>7518</v>
      </c>
      <c r="AP414" t="s">
        <v>7519</v>
      </c>
      <c r="AQ414" t="s">
        <v>74</v>
      </c>
      <c r="AR414" t="s">
        <v>7520</v>
      </c>
      <c r="AS414" t="s">
        <v>7521</v>
      </c>
      <c r="AT414" t="s">
        <v>6618</v>
      </c>
      <c r="AU414">
        <v>2023</v>
      </c>
      <c r="AV414">
        <v>387</v>
      </c>
      <c r="AW414" t="s">
        <v>74</v>
      </c>
      <c r="AX414" t="s">
        <v>74</v>
      </c>
      <c r="AY414" t="s">
        <v>74</v>
      </c>
      <c r="AZ414" t="s">
        <v>74</v>
      </c>
      <c r="BA414" t="s">
        <v>74</v>
      </c>
      <c r="BB414" t="s">
        <v>74</v>
      </c>
      <c r="BC414" t="s">
        <v>74</v>
      </c>
      <c r="BD414">
        <v>129597</v>
      </c>
      <c r="BE414" t="s">
        <v>7522</v>
      </c>
      <c r="BF414" t="str">
        <f>HYPERLINK("http://dx.doi.org/10.1016/j.biortech.2023.129597","http://dx.doi.org/10.1016/j.biortech.2023.129597")</f>
        <v>http://dx.doi.org/10.1016/j.biortech.2023.129597</v>
      </c>
      <c r="BG414" t="s">
        <v>74</v>
      </c>
      <c r="BH414" t="s">
        <v>74</v>
      </c>
      <c r="BI414">
        <v>11</v>
      </c>
      <c r="BJ414" t="s">
        <v>7523</v>
      </c>
      <c r="BK414" t="s">
        <v>100</v>
      </c>
      <c r="BL414" t="s">
        <v>7524</v>
      </c>
      <c r="BM414" t="s">
        <v>7525</v>
      </c>
      <c r="BN414">
        <v>37532056</v>
      </c>
      <c r="BO414" t="s">
        <v>74</v>
      </c>
      <c r="BP414" t="s">
        <v>74</v>
      </c>
      <c r="BQ414" t="s">
        <v>74</v>
      </c>
      <c r="BR414" t="s">
        <v>104</v>
      </c>
      <c r="BS414" t="s">
        <v>7526</v>
      </c>
      <c r="BT414" t="str">
        <f>HYPERLINK("https%3A%2F%2Fwww.webofscience.com%2Fwos%2Fwoscc%2Ffull-record%2FWOS:001054653700001","View Full Record in Web of Science")</f>
        <v>View Full Record in Web of Science</v>
      </c>
    </row>
    <row r="415" spans="1:72" x14ac:dyDescent="0.15">
      <c r="A415" t="s">
        <v>72</v>
      </c>
      <c r="B415" t="s">
        <v>7527</v>
      </c>
      <c r="C415" t="s">
        <v>74</v>
      </c>
      <c r="D415" t="s">
        <v>74</v>
      </c>
      <c r="E415" t="s">
        <v>74</v>
      </c>
      <c r="F415" t="s">
        <v>7528</v>
      </c>
      <c r="G415" t="s">
        <v>74</v>
      </c>
      <c r="H415" t="s">
        <v>74</v>
      </c>
      <c r="I415" t="s">
        <v>7529</v>
      </c>
      <c r="J415" t="s">
        <v>7530</v>
      </c>
      <c r="K415" t="s">
        <v>74</v>
      </c>
      <c r="L415" t="s">
        <v>74</v>
      </c>
      <c r="M415" t="s">
        <v>78</v>
      </c>
      <c r="N415" t="s">
        <v>79</v>
      </c>
      <c r="O415" t="s">
        <v>74</v>
      </c>
      <c r="P415" t="s">
        <v>74</v>
      </c>
      <c r="Q415" t="s">
        <v>74</v>
      </c>
      <c r="R415" t="s">
        <v>74</v>
      </c>
      <c r="S415" t="s">
        <v>74</v>
      </c>
      <c r="T415" t="s">
        <v>7531</v>
      </c>
      <c r="U415" t="s">
        <v>7532</v>
      </c>
      <c r="V415" t="s">
        <v>7533</v>
      </c>
      <c r="W415" t="s">
        <v>7534</v>
      </c>
      <c r="X415" t="s">
        <v>7535</v>
      </c>
      <c r="Y415" t="s">
        <v>7536</v>
      </c>
      <c r="Z415" t="s">
        <v>7537</v>
      </c>
      <c r="AA415" t="s">
        <v>74</v>
      </c>
      <c r="AB415" t="s">
        <v>74</v>
      </c>
      <c r="AC415" t="s">
        <v>7538</v>
      </c>
      <c r="AD415" t="s">
        <v>7539</v>
      </c>
      <c r="AE415" t="s">
        <v>7540</v>
      </c>
      <c r="AF415" t="s">
        <v>74</v>
      </c>
      <c r="AG415">
        <v>19</v>
      </c>
      <c r="AH415">
        <v>0</v>
      </c>
      <c r="AI415">
        <v>0</v>
      </c>
      <c r="AJ415">
        <v>6</v>
      </c>
      <c r="AK415">
        <v>6</v>
      </c>
      <c r="AL415" t="s">
        <v>173</v>
      </c>
      <c r="AM415" t="s">
        <v>121</v>
      </c>
      <c r="AN415" t="s">
        <v>174</v>
      </c>
      <c r="AO415" t="s">
        <v>7541</v>
      </c>
      <c r="AP415" t="s">
        <v>7542</v>
      </c>
      <c r="AQ415" t="s">
        <v>74</v>
      </c>
      <c r="AR415" t="s">
        <v>7543</v>
      </c>
      <c r="AS415" t="s">
        <v>7544</v>
      </c>
      <c r="AT415" t="s">
        <v>6618</v>
      </c>
      <c r="AU415">
        <v>2023</v>
      </c>
      <c r="AV415">
        <v>145</v>
      </c>
      <c r="AW415" t="s">
        <v>74</v>
      </c>
      <c r="AX415" t="s">
        <v>74</v>
      </c>
      <c r="AY415" t="s">
        <v>74</v>
      </c>
      <c r="AZ415" t="s">
        <v>74</v>
      </c>
      <c r="BA415" t="s">
        <v>74</v>
      </c>
      <c r="BB415" t="s">
        <v>74</v>
      </c>
      <c r="BC415" t="s">
        <v>74</v>
      </c>
      <c r="BD415">
        <v>108793</v>
      </c>
      <c r="BE415" t="s">
        <v>7545</v>
      </c>
      <c r="BF415" t="str">
        <f>HYPERLINK("http://dx.doi.org/10.1016/j.aml.2023.108793","http://dx.doi.org/10.1016/j.aml.2023.108793")</f>
        <v>http://dx.doi.org/10.1016/j.aml.2023.108793</v>
      </c>
      <c r="BG415" t="s">
        <v>74</v>
      </c>
      <c r="BH415" t="s">
        <v>74</v>
      </c>
      <c r="BI415">
        <v>9</v>
      </c>
      <c r="BJ415" t="s">
        <v>202</v>
      </c>
      <c r="BK415" t="s">
        <v>100</v>
      </c>
      <c r="BL415" t="s">
        <v>101</v>
      </c>
      <c r="BM415" t="s">
        <v>7546</v>
      </c>
      <c r="BN415" t="s">
        <v>74</v>
      </c>
      <c r="BO415" t="s">
        <v>74</v>
      </c>
      <c r="BP415" t="s">
        <v>74</v>
      </c>
      <c r="BQ415" t="s">
        <v>74</v>
      </c>
      <c r="BR415" t="s">
        <v>104</v>
      </c>
      <c r="BS415" t="s">
        <v>7547</v>
      </c>
      <c r="BT415" t="str">
        <f>HYPERLINK("https%3A%2F%2Fwww.webofscience.com%2Fwos%2Fwoscc%2Ffull-record%2FWOS:001050339700001","View Full Record in Web of Science")</f>
        <v>View Full Record in Web of Science</v>
      </c>
    </row>
    <row r="416" spans="1:72" x14ac:dyDescent="0.15">
      <c r="A416" t="s">
        <v>72</v>
      </c>
      <c r="B416" t="s">
        <v>7548</v>
      </c>
      <c r="C416" t="s">
        <v>74</v>
      </c>
      <c r="D416" t="s">
        <v>74</v>
      </c>
      <c r="E416" t="s">
        <v>74</v>
      </c>
      <c r="F416" t="s">
        <v>7549</v>
      </c>
      <c r="G416" t="s">
        <v>74</v>
      </c>
      <c r="H416" t="s">
        <v>74</v>
      </c>
      <c r="I416" t="s">
        <v>7550</v>
      </c>
      <c r="J416" t="s">
        <v>7551</v>
      </c>
      <c r="K416" t="s">
        <v>74</v>
      </c>
      <c r="L416" t="s">
        <v>74</v>
      </c>
      <c r="M416" t="s">
        <v>78</v>
      </c>
      <c r="N416" t="s">
        <v>79</v>
      </c>
      <c r="O416" t="s">
        <v>74</v>
      </c>
      <c r="P416" t="s">
        <v>74</v>
      </c>
      <c r="Q416" t="s">
        <v>74</v>
      </c>
      <c r="R416" t="s">
        <v>74</v>
      </c>
      <c r="S416" t="s">
        <v>74</v>
      </c>
      <c r="T416" t="s">
        <v>7552</v>
      </c>
      <c r="U416" t="s">
        <v>7553</v>
      </c>
      <c r="V416" t="s">
        <v>7554</v>
      </c>
      <c r="W416" t="s">
        <v>7555</v>
      </c>
      <c r="X416" t="s">
        <v>7556</v>
      </c>
      <c r="Y416" t="s">
        <v>7557</v>
      </c>
      <c r="Z416" t="s">
        <v>7558</v>
      </c>
      <c r="AA416" t="s">
        <v>74</v>
      </c>
      <c r="AB416" t="s">
        <v>74</v>
      </c>
      <c r="AC416" t="s">
        <v>7559</v>
      </c>
      <c r="AD416" t="s">
        <v>7560</v>
      </c>
      <c r="AE416" t="s">
        <v>7561</v>
      </c>
      <c r="AF416" t="s">
        <v>74</v>
      </c>
      <c r="AG416">
        <v>74</v>
      </c>
      <c r="AH416">
        <v>0</v>
      </c>
      <c r="AI416">
        <v>0</v>
      </c>
      <c r="AJ416">
        <v>0</v>
      </c>
      <c r="AK416">
        <v>0</v>
      </c>
      <c r="AL416" t="s">
        <v>173</v>
      </c>
      <c r="AM416" t="s">
        <v>121</v>
      </c>
      <c r="AN416" t="s">
        <v>174</v>
      </c>
      <c r="AO416" t="s">
        <v>7562</v>
      </c>
      <c r="AP416" t="s">
        <v>7563</v>
      </c>
      <c r="AQ416" t="s">
        <v>74</v>
      </c>
      <c r="AR416" t="s">
        <v>7564</v>
      </c>
      <c r="AS416" t="s">
        <v>7565</v>
      </c>
      <c r="AT416" t="s">
        <v>6618</v>
      </c>
      <c r="AU416">
        <v>2023</v>
      </c>
      <c r="AV416">
        <v>212</v>
      </c>
      <c r="AW416" t="s">
        <v>74</v>
      </c>
      <c r="AX416" t="s">
        <v>74</v>
      </c>
      <c r="AY416" t="s">
        <v>74</v>
      </c>
      <c r="AZ416" t="s">
        <v>74</v>
      </c>
      <c r="BA416" t="s">
        <v>74</v>
      </c>
      <c r="BB416" t="s">
        <v>74</v>
      </c>
      <c r="BC416" t="s">
        <v>74</v>
      </c>
      <c r="BD416">
        <v>108311</v>
      </c>
      <c r="BE416" t="s">
        <v>7566</v>
      </c>
      <c r="BF416" t="str">
        <f>HYPERLINK("http://dx.doi.org/10.1016/j.visres.2023.108311","http://dx.doi.org/10.1016/j.visres.2023.108311")</f>
        <v>http://dx.doi.org/10.1016/j.visres.2023.108311</v>
      </c>
      <c r="BG416" t="s">
        <v>74</v>
      </c>
      <c r="BH416" t="s">
        <v>74</v>
      </c>
      <c r="BI416">
        <v>9</v>
      </c>
      <c r="BJ416" t="s">
        <v>7567</v>
      </c>
      <c r="BK416" t="s">
        <v>100</v>
      </c>
      <c r="BL416" t="s">
        <v>7568</v>
      </c>
      <c r="BM416" t="s">
        <v>7569</v>
      </c>
      <c r="BN416">
        <v>37586294</v>
      </c>
      <c r="BO416" t="s">
        <v>74</v>
      </c>
      <c r="BP416" t="s">
        <v>74</v>
      </c>
      <c r="BQ416" t="s">
        <v>74</v>
      </c>
      <c r="BR416" t="s">
        <v>104</v>
      </c>
      <c r="BS416" t="s">
        <v>7570</v>
      </c>
      <c r="BT416" t="str">
        <f>HYPERLINK("https%3A%2F%2Fwww.webofscience.com%2Fwos%2Fwoscc%2Ffull-record%2FWOS:001066494700001","View Full Record in Web of Science")</f>
        <v>View Full Record in Web of Science</v>
      </c>
    </row>
    <row r="417" spans="1:72" x14ac:dyDescent="0.15">
      <c r="A417" t="s">
        <v>72</v>
      </c>
      <c r="B417" t="s">
        <v>7571</v>
      </c>
      <c r="C417" t="s">
        <v>74</v>
      </c>
      <c r="D417" t="s">
        <v>74</v>
      </c>
      <c r="E417" t="s">
        <v>74</v>
      </c>
      <c r="F417" t="s">
        <v>7572</v>
      </c>
      <c r="G417" t="s">
        <v>74</v>
      </c>
      <c r="H417" t="s">
        <v>74</v>
      </c>
      <c r="I417" t="s">
        <v>7573</v>
      </c>
      <c r="J417" t="s">
        <v>2812</v>
      </c>
      <c r="K417" t="s">
        <v>74</v>
      </c>
      <c r="L417" t="s">
        <v>74</v>
      </c>
      <c r="M417" t="s">
        <v>78</v>
      </c>
      <c r="N417" t="s">
        <v>79</v>
      </c>
      <c r="O417" t="s">
        <v>74</v>
      </c>
      <c r="P417" t="s">
        <v>74</v>
      </c>
      <c r="Q417" t="s">
        <v>74</v>
      </c>
      <c r="R417" t="s">
        <v>74</v>
      </c>
      <c r="S417" t="s">
        <v>74</v>
      </c>
      <c r="T417" t="s">
        <v>7574</v>
      </c>
      <c r="U417" t="s">
        <v>7575</v>
      </c>
      <c r="V417" t="s">
        <v>7576</v>
      </c>
      <c r="W417" t="s">
        <v>7577</v>
      </c>
      <c r="X417" t="s">
        <v>7578</v>
      </c>
      <c r="Y417" t="s">
        <v>7579</v>
      </c>
      <c r="Z417" t="s">
        <v>7580</v>
      </c>
      <c r="AA417" t="s">
        <v>7581</v>
      </c>
      <c r="AB417" t="s">
        <v>7582</v>
      </c>
      <c r="AC417" t="s">
        <v>74</v>
      </c>
      <c r="AD417" t="s">
        <v>74</v>
      </c>
      <c r="AE417" t="s">
        <v>74</v>
      </c>
      <c r="AF417" t="s">
        <v>74</v>
      </c>
      <c r="AG417">
        <v>15</v>
      </c>
      <c r="AH417">
        <v>0</v>
      </c>
      <c r="AI417">
        <v>0</v>
      </c>
      <c r="AJ417">
        <v>2</v>
      </c>
      <c r="AK417">
        <v>2</v>
      </c>
      <c r="AL417" t="s">
        <v>475</v>
      </c>
      <c r="AM417" t="s">
        <v>476</v>
      </c>
      <c r="AN417" t="s">
        <v>477</v>
      </c>
      <c r="AO417" t="s">
        <v>2819</v>
      </c>
      <c r="AP417" t="s">
        <v>2820</v>
      </c>
      <c r="AQ417" t="s">
        <v>74</v>
      </c>
      <c r="AR417" t="s">
        <v>2821</v>
      </c>
      <c r="AS417" t="s">
        <v>2822</v>
      </c>
      <c r="AT417" t="s">
        <v>6618</v>
      </c>
      <c r="AU417">
        <v>2023</v>
      </c>
      <c r="AV417">
        <v>57</v>
      </c>
      <c r="AW417" t="s">
        <v>74</v>
      </c>
      <c r="AX417" t="s">
        <v>74</v>
      </c>
      <c r="AY417" t="s">
        <v>74</v>
      </c>
      <c r="AZ417" t="s">
        <v>74</v>
      </c>
      <c r="BA417" t="s">
        <v>74</v>
      </c>
      <c r="BB417" t="s">
        <v>74</v>
      </c>
      <c r="BC417" t="s">
        <v>74</v>
      </c>
      <c r="BD417">
        <v>104273</v>
      </c>
      <c r="BE417" t="s">
        <v>7583</v>
      </c>
      <c r="BF417" t="str">
        <f>HYPERLINK("http://dx.doi.org/10.1016/j.frl.2023.104273","http://dx.doi.org/10.1016/j.frl.2023.104273")</f>
        <v>http://dx.doi.org/10.1016/j.frl.2023.104273</v>
      </c>
      <c r="BG417" t="s">
        <v>74</v>
      </c>
      <c r="BH417" t="s">
        <v>74</v>
      </c>
      <c r="BI417">
        <v>13</v>
      </c>
      <c r="BJ417" t="s">
        <v>2824</v>
      </c>
      <c r="BK417" t="s">
        <v>627</v>
      </c>
      <c r="BL417" t="s">
        <v>628</v>
      </c>
      <c r="BM417" t="s">
        <v>7584</v>
      </c>
      <c r="BN417" t="s">
        <v>74</v>
      </c>
      <c r="BO417" t="s">
        <v>74</v>
      </c>
      <c r="BP417" t="s">
        <v>74</v>
      </c>
      <c r="BQ417" t="s">
        <v>74</v>
      </c>
      <c r="BR417" t="s">
        <v>104</v>
      </c>
      <c r="BS417" t="s">
        <v>7585</v>
      </c>
      <c r="BT417" t="str">
        <f>HYPERLINK("https%3A%2F%2Fwww.webofscience.com%2Fwos%2Fwoscc%2Ffull-record%2FWOS:001049592000001","View Full Record in Web of Science")</f>
        <v>View Full Record in Web of Science</v>
      </c>
    </row>
    <row r="418" spans="1:72" x14ac:dyDescent="0.15">
      <c r="A418" t="s">
        <v>72</v>
      </c>
      <c r="B418" t="s">
        <v>7586</v>
      </c>
      <c r="C418" t="s">
        <v>74</v>
      </c>
      <c r="D418" t="s">
        <v>74</v>
      </c>
      <c r="E418" t="s">
        <v>74</v>
      </c>
      <c r="F418" t="s">
        <v>7587</v>
      </c>
      <c r="G418" t="s">
        <v>74</v>
      </c>
      <c r="H418" t="s">
        <v>74</v>
      </c>
      <c r="I418" t="s">
        <v>7588</v>
      </c>
      <c r="J418" t="s">
        <v>7589</v>
      </c>
      <c r="K418" t="s">
        <v>74</v>
      </c>
      <c r="L418" t="s">
        <v>74</v>
      </c>
      <c r="M418" t="s">
        <v>78</v>
      </c>
      <c r="N418" t="s">
        <v>79</v>
      </c>
      <c r="O418" t="s">
        <v>74</v>
      </c>
      <c r="P418" t="s">
        <v>74</v>
      </c>
      <c r="Q418" t="s">
        <v>74</v>
      </c>
      <c r="R418" t="s">
        <v>74</v>
      </c>
      <c r="S418" t="s">
        <v>74</v>
      </c>
      <c r="T418" t="s">
        <v>7590</v>
      </c>
      <c r="U418" t="s">
        <v>7591</v>
      </c>
      <c r="V418" t="s">
        <v>7592</v>
      </c>
      <c r="W418" t="s">
        <v>7593</v>
      </c>
      <c r="X418" t="s">
        <v>7594</v>
      </c>
      <c r="Y418" t="s">
        <v>7595</v>
      </c>
      <c r="Z418" t="s">
        <v>7596</v>
      </c>
      <c r="AA418" t="s">
        <v>74</v>
      </c>
      <c r="AB418" t="s">
        <v>74</v>
      </c>
      <c r="AC418" t="s">
        <v>7597</v>
      </c>
      <c r="AD418" t="s">
        <v>7598</v>
      </c>
      <c r="AE418" t="s">
        <v>7599</v>
      </c>
      <c r="AF418" t="s">
        <v>74</v>
      </c>
      <c r="AG418">
        <v>32</v>
      </c>
      <c r="AH418">
        <v>0</v>
      </c>
      <c r="AI418">
        <v>0</v>
      </c>
      <c r="AJ418">
        <v>0</v>
      </c>
      <c r="AK418">
        <v>0</v>
      </c>
      <c r="AL418" t="s">
        <v>7600</v>
      </c>
      <c r="AM418" t="s">
        <v>7601</v>
      </c>
      <c r="AN418" t="s">
        <v>7602</v>
      </c>
      <c r="AO418" t="s">
        <v>7603</v>
      </c>
      <c r="AP418" t="s">
        <v>7604</v>
      </c>
      <c r="AQ418" t="s">
        <v>74</v>
      </c>
      <c r="AR418" t="s">
        <v>7605</v>
      </c>
      <c r="AS418" t="s">
        <v>7606</v>
      </c>
      <c r="AT418" t="s">
        <v>6618</v>
      </c>
      <c r="AU418">
        <v>2023</v>
      </c>
      <c r="AV418">
        <v>14</v>
      </c>
      <c r="AW418">
        <v>6</v>
      </c>
      <c r="AX418" t="s">
        <v>74</v>
      </c>
      <c r="AY418" t="s">
        <v>74</v>
      </c>
      <c r="AZ418" t="s">
        <v>74</v>
      </c>
      <c r="BA418" t="s">
        <v>74</v>
      </c>
      <c r="BB418" t="s">
        <v>74</v>
      </c>
      <c r="BC418" t="s">
        <v>74</v>
      </c>
      <c r="BD418">
        <v>102234</v>
      </c>
      <c r="BE418" t="s">
        <v>7607</v>
      </c>
      <c r="BF418" t="str">
        <f>HYPERLINK("http://dx.doi.org/10.1016/j.ttbdis.2023.102234","http://dx.doi.org/10.1016/j.ttbdis.2023.102234")</f>
        <v>http://dx.doi.org/10.1016/j.ttbdis.2023.102234</v>
      </c>
      <c r="BG418" t="s">
        <v>74</v>
      </c>
      <c r="BH418" t="s">
        <v>74</v>
      </c>
      <c r="BI418">
        <v>7</v>
      </c>
      <c r="BJ418" t="s">
        <v>7608</v>
      </c>
      <c r="BK418" t="s">
        <v>100</v>
      </c>
      <c r="BL418" t="s">
        <v>7608</v>
      </c>
      <c r="BM418" t="s">
        <v>7609</v>
      </c>
      <c r="BN418">
        <v>37499566</v>
      </c>
      <c r="BO418" t="s">
        <v>74</v>
      </c>
      <c r="BP418" t="s">
        <v>74</v>
      </c>
      <c r="BQ418" t="s">
        <v>74</v>
      </c>
      <c r="BR418" t="s">
        <v>104</v>
      </c>
      <c r="BS418" t="s">
        <v>7610</v>
      </c>
      <c r="BT418" t="str">
        <f>HYPERLINK("https%3A%2F%2Fwww.webofscience.com%2Fwos%2Fwoscc%2Ffull-record%2FWOS:001047397500001","View Full Record in Web of Science")</f>
        <v>View Full Record in Web of Science</v>
      </c>
    </row>
    <row r="419" spans="1:72" x14ac:dyDescent="0.15">
      <c r="A419" t="s">
        <v>72</v>
      </c>
      <c r="B419" t="s">
        <v>7611</v>
      </c>
      <c r="C419" t="s">
        <v>74</v>
      </c>
      <c r="D419" t="s">
        <v>74</v>
      </c>
      <c r="E419" t="s">
        <v>74</v>
      </c>
      <c r="F419" t="s">
        <v>7612</v>
      </c>
      <c r="G419" t="s">
        <v>74</v>
      </c>
      <c r="H419" t="s">
        <v>74</v>
      </c>
      <c r="I419" t="s">
        <v>7613</v>
      </c>
      <c r="J419" t="s">
        <v>7614</v>
      </c>
      <c r="K419" t="s">
        <v>74</v>
      </c>
      <c r="L419" t="s">
        <v>74</v>
      </c>
      <c r="M419" t="s">
        <v>78</v>
      </c>
      <c r="N419" t="s">
        <v>79</v>
      </c>
      <c r="O419" t="s">
        <v>74</v>
      </c>
      <c r="P419" t="s">
        <v>74</v>
      </c>
      <c r="Q419" t="s">
        <v>74</v>
      </c>
      <c r="R419" t="s">
        <v>74</v>
      </c>
      <c r="S419" t="s">
        <v>74</v>
      </c>
      <c r="T419" t="s">
        <v>7615</v>
      </c>
      <c r="U419" t="s">
        <v>7616</v>
      </c>
      <c r="V419" t="s">
        <v>7617</v>
      </c>
      <c r="W419" t="s">
        <v>7618</v>
      </c>
      <c r="X419" t="s">
        <v>7619</v>
      </c>
      <c r="Y419" t="s">
        <v>7620</v>
      </c>
      <c r="Z419" t="s">
        <v>7621</v>
      </c>
      <c r="AA419" t="s">
        <v>7622</v>
      </c>
      <c r="AB419" t="s">
        <v>7623</v>
      </c>
      <c r="AC419" t="s">
        <v>74</v>
      </c>
      <c r="AD419" t="s">
        <v>74</v>
      </c>
      <c r="AE419" t="s">
        <v>74</v>
      </c>
      <c r="AF419" t="s">
        <v>74</v>
      </c>
      <c r="AG419">
        <v>31</v>
      </c>
      <c r="AH419">
        <v>0</v>
      </c>
      <c r="AI419">
        <v>0</v>
      </c>
      <c r="AJ419">
        <v>0</v>
      </c>
      <c r="AK419">
        <v>0</v>
      </c>
      <c r="AL419" t="s">
        <v>90</v>
      </c>
      <c r="AM419" t="s">
        <v>91</v>
      </c>
      <c r="AN419" t="s">
        <v>92</v>
      </c>
      <c r="AO419" t="s">
        <v>7624</v>
      </c>
      <c r="AP419" t="s">
        <v>7625</v>
      </c>
      <c r="AQ419" t="s">
        <v>74</v>
      </c>
      <c r="AR419" t="s">
        <v>7626</v>
      </c>
      <c r="AS419" t="s">
        <v>7627</v>
      </c>
      <c r="AT419" t="s">
        <v>6618</v>
      </c>
      <c r="AU419">
        <v>2023</v>
      </c>
      <c r="AV419">
        <v>128</v>
      </c>
      <c r="AW419" t="s">
        <v>74</v>
      </c>
      <c r="AX419" t="s">
        <v>74</v>
      </c>
      <c r="AY419" t="s">
        <v>74</v>
      </c>
      <c r="AZ419" t="s">
        <v>74</v>
      </c>
      <c r="BA419" t="s">
        <v>74</v>
      </c>
      <c r="BB419" t="s">
        <v>74</v>
      </c>
      <c r="BC419" t="s">
        <v>74</v>
      </c>
      <c r="BD419">
        <v>102794</v>
      </c>
      <c r="BE419" t="s">
        <v>7628</v>
      </c>
      <c r="BF419" t="str">
        <f>HYPERLINK("http://dx.doi.org/10.1016/j.simpat.2023.102794","http://dx.doi.org/10.1016/j.simpat.2023.102794")</f>
        <v>http://dx.doi.org/10.1016/j.simpat.2023.102794</v>
      </c>
      <c r="BG419" t="s">
        <v>74</v>
      </c>
      <c r="BH419" t="s">
        <v>74</v>
      </c>
      <c r="BI419">
        <v>17</v>
      </c>
      <c r="BJ419" t="s">
        <v>7629</v>
      </c>
      <c r="BK419" t="s">
        <v>100</v>
      </c>
      <c r="BL419" t="s">
        <v>563</v>
      </c>
      <c r="BM419" t="s">
        <v>7630</v>
      </c>
      <c r="BN419" t="s">
        <v>74</v>
      </c>
      <c r="BO419" t="s">
        <v>74</v>
      </c>
      <c r="BP419" t="s">
        <v>74</v>
      </c>
      <c r="BQ419" t="s">
        <v>74</v>
      </c>
      <c r="BR419" t="s">
        <v>104</v>
      </c>
      <c r="BS419" t="s">
        <v>7631</v>
      </c>
      <c r="BT419" t="str">
        <f>HYPERLINK("https%3A%2F%2Fwww.webofscience.com%2Fwos%2Fwoscc%2Ffull-record%2FWOS:001044986300001","View Full Record in Web of Science")</f>
        <v>View Full Record in Web of Science</v>
      </c>
    </row>
    <row r="420" spans="1:72" x14ac:dyDescent="0.15">
      <c r="A420" t="s">
        <v>72</v>
      </c>
      <c r="B420" t="s">
        <v>7632</v>
      </c>
      <c r="C420" t="s">
        <v>74</v>
      </c>
      <c r="D420" t="s">
        <v>74</v>
      </c>
      <c r="E420" t="s">
        <v>74</v>
      </c>
      <c r="F420" t="s">
        <v>7633</v>
      </c>
      <c r="G420" t="s">
        <v>74</v>
      </c>
      <c r="H420" t="s">
        <v>74</v>
      </c>
      <c r="I420" t="s">
        <v>7634</v>
      </c>
      <c r="J420" t="s">
        <v>7635</v>
      </c>
      <c r="K420" t="s">
        <v>74</v>
      </c>
      <c r="L420" t="s">
        <v>74</v>
      </c>
      <c r="M420" t="s">
        <v>78</v>
      </c>
      <c r="N420" t="s">
        <v>79</v>
      </c>
      <c r="O420" t="s">
        <v>74</v>
      </c>
      <c r="P420" t="s">
        <v>74</v>
      </c>
      <c r="Q420" t="s">
        <v>74</v>
      </c>
      <c r="R420" t="s">
        <v>74</v>
      </c>
      <c r="S420" t="s">
        <v>74</v>
      </c>
      <c r="T420" t="s">
        <v>7636</v>
      </c>
      <c r="U420" t="s">
        <v>7637</v>
      </c>
      <c r="V420" t="s">
        <v>7638</v>
      </c>
      <c r="W420" t="s">
        <v>7639</v>
      </c>
      <c r="X420" t="s">
        <v>7640</v>
      </c>
      <c r="Y420" t="s">
        <v>7641</v>
      </c>
      <c r="Z420" t="s">
        <v>7642</v>
      </c>
      <c r="AA420" t="s">
        <v>74</v>
      </c>
      <c r="AB420" t="s">
        <v>7643</v>
      </c>
      <c r="AC420" t="s">
        <v>74</v>
      </c>
      <c r="AD420" t="s">
        <v>74</v>
      </c>
      <c r="AE420" t="s">
        <v>74</v>
      </c>
      <c r="AF420" t="s">
        <v>74</v>
      </c>
      <c r="AG420">
        <v>58</v>
      </c>
      <c r="AH420">
        <v>0</v>
      </c>
      <c r="AI420">
        <v>0</v>
      </c>
      <c r="AJ420">
        <v>2</v>
      </c>
      <c r="AK420">
        <v>2</v>
      </c>
      <c r="AL420" t="s">
        <v>173</v>
      </c>
      <c r="AM420" t="s">
        <v>121</v>
      </c>
      <c r="AN420" t="s">
        <v>174</v>
      </c>
      <c r="AO420" t="s">
        <v>7644</v>
      </c>
      <c r="AP420" t="s">
        <v>7645</v>
      </c>
      <c r="AQ420" t="s">
        <v>74</v>
      </c>
      <c r="AR420" t="s">
        <v>7646</v>
      </c>
      <c r="AS420" t="s">
        <v>7647</v>
      </c>
      <c r="AT420" t="s">
        <v>6618</v>
      </c>
      <c r="AU420">
        <v>2023</v>
      </c>
      <c r="AV420">
        <v>212</v>
      </c>
      <c r="AW420" t="s">
        <v>74</v>
      </c>
      <c r="AX420" t="s">
        <v>74</v>
      </c>
      <c r="AY420" t="s">
        <v>74</v>
      </c>
      <c r="AZ420" t="s">
        <v>74</v>
      </c>
      <c r="BA420" t="s">
        <v>74</v>
      </c>
      <c r="BB420">
        <v>70</v>
      </c>
      <c r="BC420">
        <v>83</v>
      </c>
      <c r="BD420" t="s">
        <v>74</v>
      </c>
      <c r="BE420" t="s">
        <v>7648</v>
      </c>
      <c r="BF420" t="str">
        <f>HYPERLINK("http://dx.doi.org/10.1016/j.actaastro.2023.07.036","http://dx.doi.org/10.1016/j.actaastro.2023.07.036")</f>
        <v>http://dx.doi.org/10.1016/j.actaastro.2023.07.036</v>
      </c>
      <c r="BG420" t="s">
        <v>74</v>
      </c>
      <c r="BH420" t="s">
        <v>74</v>
      </c>
      <c r="BI420">
        <v>14</v>
      </c>
      <c r="BJ420" t="s">
        <v>7649</v>
      </c>
      <c r="BK420" t="s">
        <v>100</v>
      </c>
      <c r="BL420" t="s">
        <v>873</v>
      </c>
      <c r="BM420" t="s">
        <v>7650</v>
      </c>
      <c r="BN420" t="s">
        <v>74</v>
      </c>
      <c r="BO420" t="s">
        <v>295</v>
      </c>
      <c r="BP420" t="s">
        <v>74</v>
      </c>
      <c r="BQ420" t="s">
        <v>74</v>
      </c>
      <c r="BR420" t="s">
        <v>104</v>
      </c>
      <c r="BS420" t="s">
        <v>7651</v>
      </c>
      <c r="BT420" t="str">
        <f>HYPERLINK("https%3A%2F%2Fwww.webofscience.com%2Fwos%2Fwoscc%2Ffull-record%2FWOS:001051705100001","View Full Record in Web of Science")</f>
        <v>View Full Record in Web of Science</v>
      </c>
    </row>
    <row r="421" spans="1:72" x14ac:dyDescent="0.15">
      <c r="A421" t="s">
        <v>72</v>
      </c>
      <c r="B421" t="s">
        <v>7652</v>
      </c>
      <c r="C421" t="s">
        <v>74</v>
      </c>
      <c r="D421" t="s">
        <v>74</v>
      </c>
      <c r="E421" t="s">
        <v>74</v>
      </c>
      <c r="F421" t="s">
        <v>7653</v>
      </c>
      <c r="G421" t="s">
        <v>74</v>
      </c>
      <c r="H421" t="s">
        <v>74</v>
      </c>
      <c r="I421" t="s">
        <v>7654</v>
      </c>
      <c r="J421" t="s">
        <v>3061</v>
      </c>
      <c r="K421" t="s">
        <v>74</v>
      </c>
      <c r="L421" t="s">
        <v>74</v>
      </c>
      <c r="M421" t="s">
        <v>78</v>
      </c>
      <c r="N421" t="s">
        <v>79</v>
      </c>
      <c r="O421" t="s">
        <v>74</v>
      </c>
      <c r="P421" t="s">
        <v>74</v>
      </c>
      <c r="Q421" t="s">
        <v>74</v>
      </c>
      <c r="R421" t="s">
        <v>74</v>
      </c>
      <c r="S421" t="s">
        <v>74</v>
      </c>
      <c r="T421" t="s">
        <v>7655</v>
      </c>
      <c r="U421" t="s">
        <v>7656</v>
      </c>
      <c r="V421" t="s">
        <v>7657</v>
      </c>
      <c r="W421" t="s">
        <v>7658</v>
      </c>
      <c r="X421" t="s">
        <v>7659</v>
      </c>
      <c r="Y421" t="s">
        <v>7660</v>
      </c>
      <c r="Z421" t="s">
        <v>7661</v>
      </c>
      <c r="AA421" t="s">
        <v>74</v>
      </c>
      <c r="AB421" t="s">
        <v>7662</v>
      </c>
      <c r="AC421" t="s">
        <v>7663</v>
      </c>
      <c r="AD421" t="s">
        <v>7664</v>
      </c>
      <c r="AE421" t="s">
        <v>7665</v>
      </c>
      <c r="AF421" t="s">
        <v>74</v>
      </c>
      <c r="AG421">
        <v>38</v>
      </c>
      <c r="AH421">
        <v>0</v>
      </c>
      <c r="AI421">
        <v>0</v>
      </c>
      <c r="AJ421">
        <v>3</v>
      </c>
      <c r="AK421">
        <v>3</v>
      </c>
      <c r="AL421" t="s">
        <v>120</v>
      </c>
      <c r="AM421" t="s">
        <v>121</v>
      </c>
      <c r="AN421" t="s">
        <v>122</v>
      </c>
      <c r="AO421" t="s">
        <v>3072</v>
      </c>
      <c r="AP421" t="s">
        <v>3073</v>
      </c>
      <c r="AQ421" t="s">
        <v>74</v>
      </c>
      <c r="AR421" t="s">
        <v>3074</v>
      </c>
      <c r="AS421" t="s">
        <v>3075</v>
      </c>
      <c r="AT421" t="s">
        <v>6659</v>
      </c>
      <c r="AU421">
        <v>2023</v>
      </c>
      <c r="AV421">
        <v>349</v>
      </c>
      <c r="AW421" t="s">
        <v>74</v>
      </c>
      <c r="AX421" t="s">
        <v>74</v>
      </c>
      <c r="AY421" t="s">
        <v>74</v>
      </c>
      <c r="AZ421" t="s">
        <v>74</v>
      </c>
      <c r="BA421" t="s">
        <v>74</v>
      </c>
      <c r="BB421" t="s">
        <v>74</v>
      </c>
      <c r="BC421" t="s">
        <v>74</v>
      </c>
      <c r="BD421">
        <v>121613</v>
      </c>
      <c r="BE421" t="s">
        <v>7666</v>
      </c>
      <c r="BF421" t="str">
        <f>HYPERLINK("http://dx.doi.org/10.1016/j.apenergy.2023.121613","http://dx.doi.org/10.1016/j.apenergy.2023.121613")</f>
        <v>http://dx.doi.org/10.1016/j.apenergy.2023.121613</v>
      </c>
      <c r="BG421" t="s">
        <v>74</v>
      </c>
      <c r="BH421" t="s">
        <v>74</v>
      </c>
      <c r="BI421">
        <v>12</v>
      </c>
      <c r="BJ421" t="s">
        <v>276</v>
      </c>
      <c r="BK421" t="s">
        <v>100</v>
      </c>
      <c r="BL421" t="s">
        <v>277</v>
      </c>
      <c r="BM421" t="s">
        <v>7667</v>
      </c>
      <c r="BN421" t="s">
        <v>74</v>
      </c>
      <c r="BO421" t="s">
        <v>295</v>
      </c>
      <c r="BP421" t="s">
        <v>74</v>
      </c>
      <c r="BQ421" t="s">
        <v>74</v>
      </c>
      <c r="BR421" t="s">
        <v>104</v>
      </c>
      <c r="BS421" t="s">
        <v>7668</v>
      </c>
      <c r="BT421" t="str">
        <f>HYPERLINK("https%3A%2F%2Fwww.webofscience.com%2Fwos%2Fwoscc%2Ffull-record%2FWOS:001050767500001","View Full Record in Web of Science")</f>
        <v>View Full Record in Web of Science</v>
      </c>
    </row>
    <row r="422" spans="1:72" x14ac:dyDescent="0.15">
      <c r="A422" t="s">
        <v>72</v>
      </c>
      <c r="B422" t="s">
        <v>7669</v>
      </c>
      <c r="C422" t="s">
        <v>74</v>
      </c>
      <c r="D422" t="s">
        <v>74</v>
      </c>
      <c r="E422" t="s">
        <v>74</v>
      </c>
      <c r="F422" t="s">
        <v>7670</v>
      </c>
      <c r="G422" t="s">
        <v>74</v>
      </c>
      <c r="H422" t="s">
        <v>74</v>
      </c>
      <c r="I422" t="s">
        <v>7671</v>
      </c>
      <c r="J422" t="s">
        <v>7672</v>
      </c>
      <c r="K422" t="s">
        <v>74</v>
      </c>
      <c r="L422" t="s">
        <v>74</v>
      </c>
      <c r="M422" t="s">
        <v>78</v>
      </c>
      <c r="N422" t="s">
        <v>79</v>
      </c>
      <c r="O422" t="s">
        <v>74</v>
      </c>
      <c r="P422" t="s">
        <v>74</v>
      </c>
      <c r="Q422" t="s">
        <v>74</v>
      </c>
      <c r="R422" t="s">
        <v>74</v>
      </c>
      <c r="S422" t="s">
        <v>74</v>
      </c>
      <c r="T422" t="s">
        <v>7673</v>
      </c>
      <c r="U422" t="s">
        <v>7674</v>
      </c>
      <c r="V422" t="s">
        <v>7675</v>
      </c>
      <c r="W422" t="s">
        <v>7676</v>
      </c>
      <c r="X422" t="s">
        <v>7677</v>
      </c>
      <c r="Y422" t="s">
        <v>7678</v>
      </c>
      <c r="Z422" t="s">
        <v>7679</v>
      </c>
      <c r="AA422" t="s">
        <v>74</v>
      </c>
      <c r="AB422" t="s">
        <v>74</v>
      </c>
      <c r="AC422" t="s">
        <v>74</v>
      </c>
      <c r="AD422" t="s">
        <v>74</v>
      </c>
      <c r="AE422" t="s">
        <v>74</v>
      </c>
      <c r="AF422" t="s">
        <v>74</v>
      </c>
      <c r="AG422">
        <v>27</v>
      </c>
      <c r="AH422">
        <v>0</v>
      </c>
      <c r="AI422">
        <v>0</v>
      </c>
      <c r="AJ422">
        <v>0</v>
      </c>
      <c r="AK422">
        <v>0</v>
      </c>
      <c r="AL422" t="s">
        <v>90</v>
      </c>
      <c r="AM422" t="s">
        <v>91</v>
      </c>
      <c r="AN422" t="s">
        <v>92</v>
      </c>
      <c r="AO422" t="s">
        <v>7680</v>
      </c>
      <c r="AP422" t="s">
        <v>74</v>
      </c>
      <c r="AQ422" t="s">
        <v>74</v>
      </c>
      <c r="AR422" t="s">
        <v>7681</v>
      </c>
      <c r="AS422" t="s">
        <v>7682</v>
      </c>
      <c r="AT422" t="s">
        <v>6618</v>
      </c>
      <c r="AU422">
        <v>2023</v>
      </c>
      <c r="AV422">
        <v>18</v>
      </c>
      <c r="AW422">
        <v>11</v>
      </c>
      <c r="AX422" t="s">
        <v>74</v>
      </c>
      <c r="AY422" t="s">
        <v>74</v>
      </c>
      <c r="AZ422" t="s">
        <v>74</v>
      </c>
      <c r="BA422" t="s">
        <v>74</v>
      </c>
      <c r="BB422" t="s">
        <v>74</v>
      </c>
      <c r="BC422" t="s">
        <v>74</v>
      </c>
      <c r="BD422">
        <v>100336</v>
      </c>
      <c r="BE422" t="s">
        <v>7683</v>
      </c>
      <c r="BF422" t="str">
        <f>HYPERLINK("http://dx.doi.org/10.1016/j.ijoes.2023.100336","http://dx.doi.org/10.1016/j.ijoes.2023.100336")</f>
        <v>http://dx.doi.org/10.1016/j.ijoes.2023.100336</v>
      </c>
      <c r="BG422" t="s">
        <v>74</v>
      </c>
      <c r="BH422" t="s">
        <v>74</v>
      </c>
      <c r="BI422">
        <v>10</v>
      </c>
      <c r="BJ422" t="s">
        <v>6896</v>
      </c>
      <c r="BK422" t="s">
        <v>100</v>
      </c>
      <c r="BL422" t="s">
        <v>6896</v>
      </c>
      <c r="BM422" t="s">
        <v>7684</v>
      </c>
      <c r="BN422" t="s">
        <v>74</v>
      </c>
      <c r="BO422" t="s">
        <v>295</v>
      </c>
      <c r="BP422" t="s">
        <v>74</v>
      </c>
      <c r="BQ422" t="s">
        <v>74</v>
      </c>
      <c r="BR422" t="s">
        <v>104</v>
      </c>
      <c r="BS422" t="s">
        <v>7685</v>
      </c>
      <c r="BT422" t="str">
        <f>HYPERLINK("https%3A%2F%2Fwww.webofscience.com%2Fwos%2Fwoscc%2Ffull-record%2FWOS:001071797600001","View Full Record in Web of Science")</f>
        <v>View Full Record in Web of Science</v>
      </c>
    </row>
    <row r="423" spans="1:72" x14ac:dyDescent="0.15">
      <c r="A423" t="s">
        <v>72</v>
      </c>
      <c r="B423" t="s">
        <v>7686</v>
      </c>
      <c r="C423" t="s">
        <v>74</v>
      </c>
      <c r="D423" t="s">
        <v>74</v>
      </c>
      <c r="E423" t="s">
        <v>74</v>
      </c>
      <c r="F423" t="s">
        <v>7687</v>
      </c>
      <c r="G423" t="s">
        <v>74</v>
      </c>
      <c r="H423" t="s">
        <v>74</v>
      </c>
      <c r="I423" t="s">
        <v>7688</v>
      </c>
      <c r="J423" t="s">
        <v>7689</v>
      </c>
      <c r="K423" t="s">
        <v>74</v>
      </c>
      <c r="L423" t="s">
        <v>74</v>
      </c>
      <c r="M423" t="s">
        <v>78</v>
      </c>
      <c r="N423" t="s">
        <v>79</v>
      </c>
      <c r="O423" t="s">
        <v>74</v>
      </c>
      <c r="P423" t="s">
        <v>74</v>
      </c>
      <c r="Q423" t="s">
        <v>74</v>
      </c>
      <c r="R423" t="s">
        <v>74</v>
      </c>
      <c r="S423" t="s">
        <v>74</v>
      </c>
      <c r="T423" t="s">
        <v>7690</v>
      </c>
      <c r="U423" t="s">
        <v>7691</v>
      </c>
      <c r="V423" t="s">
        <v>7692</v>
      </c>
      <c r="W423" t="s">
        <v>7693</v>
      </c>
      <c r="X423" t="s">
        <v>7694</v>
      </c>
      <c r="Y423" t="s">
        <v>7695</v>
      </c>
      <c r="Z423" t="s">
        <v>7696</v>
      </c>
      <c r="AA423" t="s">
        <v>74</v>
      </c>
      <c r="AB423" t="s">
        <v>74</v>
      </c>
      <c r="AC423" t="s">
        <v>74</v>
      </c>
      <c r="AD423" t="s">
        <v>74</v>
      </c>
      <c r="AE423" t="s">
        <v>74</v>
      </c>
      <c r="AF423" t="s">
        <v>74</v>
      </c>
      <c r="AG423">
        <v>56</v>
      </c>
      <c r="AH423">
        <v>0</v>
      </c>
      <c r="AI423">
        <v>0</v>
      </c>
      <c r="AJ423">
        <v>10</v>
      </c>
      <c r="AK423">
        <v>10</v>
      </c>
      <c r="AL423" t="s">
        <v>554</v>
      </c>
      <c r="AM423" t="s">
        <v>555</v>
      </c>
      <c r="AN423" t="s">
        <v>556</v>
      </c>
      <c r="AO423" t="s">
        <v>7697</v>
      </c>
      <c r="AP423" t="s">
        <v>7698</v>
      </c>
      <c r="AQ423" t="s">
        <v>74</v>
      </c>
      <c r="AR423" t="s">
        <v>7699</v>
      </c>
      <c r="AS423" t="s">
        <v>7700</v>
      </c>
      <c r="AT423" t="s">
        <v>6659</v>
      </c>
      <c r="AU423">
        <v>2023</v>
      </c>
      <c r="AV423">
        <v>345</v>
      </c>
      <c r="AW423" t="s">
        <v>74</v>
      </c>
      <c r="AX423" t="s">
        <v>74</v>
      </c>
      <c r="AY423" t="s">
        <v>74</v>
      </c>
      <c r="AZ423" t="s">
        <v>74</v>
      </c>
      <c r="BA423" t="s">
        <v>74</v>
      </c>
      <c r="BB423" t="s">
        <v>74</v>
      </c>
      <c r="BC423" t="s">
        <v>74</v>
      </c>
      <c r="BD423">
        <v>118844</v>
      </c>
      <c r="BE423" t="s">
        <v>7701</v>
      </c>
      <c r="BF423" t="str">
        <f>HYPERLINK("http://dx.doi.org/10.1016/j.jenvman.2023.118844","http://dx.doi.org/10.1016/j.jenvman.2023.118844")</f>
        <v>http://dx.doi.org/10.1016/j.jenvman.2023.118844</v>
      </c>
      <c r="BG423" t="s">
        <v>74</v>
      </c>
      <c r="BH423" t="s">
        <v>74</v>
      </c>
      <c r="BI423">
        <v>14</v>
      </c>
      <c r="BJ423" t="s">
        <v>1539</v>
      </c>
      <c r="BK423" t="s">
        <v>100</v>
      </c>
      <c r="BL423" t="s">
        <v>1540</v>
      </c>
      <c r="BM423" t="s">
        <v>7702</v>
      </c>
      <c r="BN423">
        <v>37604102</v>
      </c>
      <c r="BO423" t="s">
        <v>74</v>
      </c>
      <c r="BP423" t="s">
        <v>74</v>
      </c>
      <c r="BQ423" t="s">
        <v>74</v>
      </c>
      <c r="BR423" t="s">
        <v>104</v>
      </c>
      <c r="BS423" t="s">
        <v>7703</v>
      </c>
      <c r="BT423" t="str">
        <f>HYPERLINK("https%3A%2F%2Fwww.webofscience.com%2Fwos%2Fwoscc%2Ffull-record%2FWOS:001064806800001","View Full Record in Web of Science")</f>
        <v>View Full Record in Web of Science</v>
      </c>
    </row>
    <row r="424" spans="1:72" x14ac:dyDescent="0.15">
      <c r="A424" t="s">
        <v>72</v>
      </c>
      <c r="B424" t="s">
        <v>7704</v>
      </c>
      <c r="C424" t="s">
        <v>74</v>
      </c>
      <c r="D424" t="s">
        <v>74</v>
      </c>
      <c r="E424" t="s">
        <v>74</v>
      </c>
      <c r="F424" t="s">
        <v>7705</v>
      </c>
      <c r="G424" t="s">
        <v>74</v>
      </c>
      <c r="H424" t="s">
        <v>74</v>
      </c>
      <c r="I424" t="s">
        <v>7706</v>
      </c>
      <c r="J424" t="s">
        <v>7707</v>
      </c>
      <c r="K424" t="s">
        <v>74</v>
      </c>
      <c r="L424" t="s">
        <v>74</v>
      </c>
      <c r="M424" t="s">
        <v>78</v>
      </c>
      <c r="N424" t="s">
        <v>79</v>
      </c>
      <c r="O424" t="s">
        <v>74</v>
      </c>
      <c r="P424" t="s">
        <v>74</v>
      </c>
      <c r="Q424" t="s">
        <v>74</v>
      </c>
      <c r="R424" t="s">
        <v>74</v>
      </c>
      <c r="S424" t="s">
        <v>74</v>
      </c>
      <c r="T424" t="s">
        <v>7708</v>
      </c>
      <c r="U424" t="s">
        <v>7709</v>
      </c>
      <c r="V424" t="s">
        <v>7710</v>
      </c>
      <c r="W424" t="s">
        <v>7711</v>
      </c>
      <c r="X424" t="s">
        <v>7712</v>
      </c>
      <c r="Y424" t="s">
        <v>7713</v>
      </c>
      <c r="Z424" t="s">
        <v>7714</v>
      </c>
      <c r="AA424" t="s">
        <v>74</v>
      </c>
      <c r="AB424" t="s">
        <v>74</v>
      </c>
      <c r="AC424" t="s">
        <v>7715</v>
      </c>
      <c r="AD424" t="s">
        <v>7716</v>
      </c>
      <c r="AE424" t="s">
        <v>7717</v>
      </c>
      <c r="AF424" t="s">
        <v>74</v>
      </c>
      <c r="AG424">
        <v>61</v>
      </c>
      <c r="AH424">
        <v>0</v>
      </c>
      <c r="AI424">
        <v>0</v>
      </c>
      <c r="AJ424">
        <v>20</v>
      </c>
      <c r="AK424">
        <v>20</v>
      </c>
      <c r="AL424" t="s">
        <v>955</v>
      </c>
      <c r="AM424" t="s">
        <v>956</v>
      </c>
      <c r="AN424" t="s">
        <v>957</v>
      </c>
      <c r="AO424" t="s">
        <v>74</v>
      </c>
      <c r="AP424" t="s">
        <v>7718</v>
      </c>
      <c r="AQ424" t="s">
        <v>74</v>
      </c>
      <c r="AR424" t="s">
        <v>7719</v>
      </c>
      <c r="AS424" t="s">
        <v>7720</v>
      </c>
      <c r="AT424" t="s">
        <v>6659</v>
      </c>
      <c r="AU424">
        <v>2023</v>
      </c>
      <c r="AV424">
        <v>394</v>
      </c>
      <c r="AW424" t="s">
        <v>74</v>
      </c>
      <c r="AX424" t="s">
        <v>74</v>
      </c>
      <c r="AY424" t="s">
        <v>74</v>
      </c>
      <c r="AZ424" t="s">
        <v>74</v>
      </c>
      <c r="BA424" t="s">
        <v>74</v>
      </c>
      <c r="BB424" t="s">
        <v>74</v>
      </c>
      <c r="BC424" t="s">
        <v>74</v>
      </c>
      <c r="BD424">
        <v>134320</v>
      </c>
      <c r="BE424" t="s">
        <v>7721</v>
      </c>
      <c r="BF424" t="str">
        <f>HYPERLINK("http://dx.doi.org/10.1016/j.snb.2023.134320","http://dx.doi.org/10.1016/j.snb.2023.134320")</f>
        <v>http://dx.doi.org/10.1016/j.snb.2023.134320</v>
      </c>
      <c r="BG424" t="s">
        <v>74</v>
      </c>
      <c r="BH424" t="s">
        <v>74</v>
      </c>
      <c r="BI424">
        <v>13</v>
      </c>
      <c r="BJ424" t="s">
        <v>7722</v>
      </c>
      <c r="BK424" t="s">
        <v>100</v>
      </c>
      <c r="BL424" t="s">
        <v>7723</v>
      </c>
      <c r="BM424" t="s">
        <v>7724</v>
      </c>
      <c r="BN424" t="s">
        <v>74</v>
      </c>
      <c r="BO424" t="s">
        <v>74</v>
      </c>
      <c r="BP424" t="s">
        <v>74</v>
      </c>
      <c r="BQ424" t="s">
        <v>74</v>
      </c>
      <c r="BR424" t="s">
        <v>104</v>
      </c>
      <c r="BS424" t="s">
        <v>7725</v>
      </c>
      <c r="BT424" t="str">
        <f>HYPERLINK("https%3A%2F%2Fwww.webofscience.com%2Fwos%2Fwoscc%2Ffull-record%2FWOS:001058625800001","View Full Record in Web of Science")</f>
        <v>View Full Record in Web of Science</v>
      </c>
    </row>
    <row r="425" spans="1:72" x14ac:dyDescent="0.15">
      <c r="A425" t="s">
        <v>72</v>
      </c>
      <c r="B425" t="s">
        <v>7726</v>
      </c>
      <c r="C425" t="s">
        <v>74</v>
      </c>
      <c r="D425" t="s">
        <v>74</v>
      </c>
      <c r="E425" t="s">
        <v>74</v>
      </c>
      <c r="F425" t="s">
        <v>7727</v>
      </c>
      <c r="G425" t="s">
        <v>74</v>
      </c>
      <c r="H425" t="s">
        <v>74</v>
      </c>
      <c r="I425" t="s">
        <v>7728</v>
      </c>
      <c r="J425" t="s">
        <v>7729</v>
      </c>
      <c r="K425" t="s">
        <v>74</v>
      </c>
      <c r="L425" t="s">
        <v>74</v>
      </c>
      <c r="M425" t="s">
        <v>78</v>
      </c>
      <c r="N425" t="s">
        <v>79</v>
      </c>
      <c r="O425" t="s">
        <v>74</v>
      </c>
      <c r="P425" t="s">
        <v>74</v>
      </c>
      <c r="Q425" t="s">
        <v>74</v>
      </c>
      <c r="R425" t="s">
        <v>74</v>
      </c>
      <c r="S425" t="s">
        <v>74</v>
      </c>
      <c r="T425" t="s">
        <v>7730</v>
      </c>
      <c r="U425" t="s">
        <v>7731</v>
      </c>
      <c r="V425" t="s">
        <v>7732</v>
      </c>
      <c r="W425" t="s">
        <v>7733</v>
      </c>
      <c r="X425" t="s">
        <v>7734</v>
      </c>
      <c r="Y425" t="s">
        <v>7735</v>
      </c>
      <c r="Z425" t="s">
        <v>7736</v>
      </c>
      <c r="AA425" t="s">
        <v>74</v>
      </c>
      <c r="AB425" t="s">
        <v>74</v>
      </c>
      <c r="AC425" t="s">
        <v>7737</v>
      </c>
      <c r="AD425" t="s">
        <v>7737</v>
      </c>
      <c r="AE425" t="s">
        <v>7738</v>
      </c>
      <c r="AF425" t="s">
        <v>74</v>
      </c>
      <c r="AG425">
        <v>39</v>
      </c>
      <c r="AH425">
        <v>0</v>
      </c>
      <c r="AI425">
        <v>0</v>
      </c>
      <c r="AJ425">
        <v>0</v>
      </c>
      <c r="AK425">
        <v>0</v>
      </c>
      <c r="AL425" t="s">
        <v>147</v>
      </c>
      <c r="AM425" t="s">
        <v>148</v>
      </c>
      <c r="AN425" t="s">
        <v>149</v>
      </c>
      <c r="AO425" t="s">
        <v>7739</v>
      </c>
      <c r="AP425" t="s">
        <v>7740</v>
      </c>
      <c r="AQ425" t="s">
        <v>74</v>
      </c>
      <c r="AR425" t="s">
        <v>7729</v>
      </c>
      <c r="AS425" t="s">
        <v>7741</v>
      </c>
      <c r="AT425" t="s">
        <v>6618</v>
      </c>
      <c r="AU425">
        <v>2023</v>
      </c>
      <c r="AV425">
        <v>199</v>
      </c>
      <c r="AW425" t="s">
        <v>74</v>
      </c>
      <c r="AX425" t="s">
        <v>74</v>
      </c>
      <c r="AY425" t="s">
        <v>74</v>
      </c>
      <c r="AZ425" t="s">
        <v>74</v>
      </c>
      <c r="BA425" t="s">
        <v>74</v>
      </c>
      <c r="BB425" t="s">
        <v>74</v>
      </c>
      <c r="BC425" t="s">
        <v>74</v>
      </c>
      <c r="BD425">
        <v>109289</v>
      </c>
      <c r="BE425" t="s">
        <v>7742</v>
      </c>
      <c r="BF425" t="str">
        <f>HYPERLINK("http://dx.doi.org/10.1016/j.steroids.2023.109289","http://dx.doi.org/10.1016/j.steroids.2023.109289")</f>
        <v>http://dx.doi.org/10.1016/j.steroids.2023.109289</v>
      </c>
      <c r="BG425" t="s">
        <v>74</v>
      </c>
      <c r="BH425" t="s">
        <v>74</v>
      </c>
      <c r="BI425">
        <v>9</v>
      </c>
      <c r="BJ425" t="s">
        <v>7743</v>
      </c>
      <c r="BK425" t="s">
        <v>100</v>
      </c>
      <c r="BL425" t="s">
        <v>7743</v>
      </c>
      <c r="BM425" t="s">
        <v>7744</v>
      </c>
      <c r="BN425">
        <v>37572783</v>
      </c>
      <c r="BO425" t="s">
        <v>74</v>
      </c>
      <c r="BP425" t="s">
        <v>74</v>
      </c>
      <c r="BQ425" t="s">
        <v>74</v>
      </c>
      <c r="BR425" t="s">
        <v>104</v>
      </c>
      <c r="BS425" t="s">
        <v>7745</v>
      </c>
      <c r="BT425" t="str">
        <f>HYPERLINK("https%3A%2F%2Fwww.webofscience.com%2Fwos%2Fwoscc%2Ffull-record%2FWOS:001063058000001","View Full Record in Web of Science")</f>
        <v>View Full Record in Web of Science</v>
      </c>
    </row>
    <row r="426" spans="1:72" x14ac:dyDescent="0.15">
      <c r="A426" t="s">
        <v>72</v>
      </c>
      <c r="B426" t="s">
        <v>7746</v>
      </c>
      <c r="C426" t="s">
        <v>74</v>
      </c>
      <c r="D426" t="s">
        <v>74</v>
      </c>
      <c r="E426" t="s">
        <v>74</v>
      </c>
      <c r="F426" t="s">
        <v>7747</v>
      </c>
      <c r="G426" t="s">
        <v>74</v>
      </c>
      <c r="H426" t="s">
        <v>74</v>
      </c>
      <c r="I426" t="s">
        <v>7748</v>
      </c>
      <c r="J426" t="s">
        <v>7749</v>
      </c>
      <c r="K426" t="s">
        <v>74</v>
      </c>
      <c r="L426" t="s">
        <v>74</v>
      </c>
      <c r="M426" t="s">
        <v>78</v>
      </c>
      <c r="N426" t="s">
        <v>79</v>
      </c>
      <c r="O426" t="s">
        <v>74</v>
      </c>
      <c r="P426" t="s">
        <v>74</v>
      </c>
      <c r="Q426" t="s">
        <v>74</v>
      </c>
      <c r="R426" t="s">
        <v>74</v>
      </c>
      <c r="S426" t="s">
        <v>74</v>
      </c>
      <c r="T426" t="s">
        <v>7750</v>
      </c>
      <c r="U426" t="s">
        <v>7751</v>
      </c>
      <c r="V426" t="s">
        <v>7752</v>
      </c>
      <c r="W426" t="s">
        <v>7753</v>
      </c>
      <c r="X426" t="s">
        <v>7754</v>
      </c>
      <c r="Y426" t="s">
        <v>7755</v>
      </c>
      <c r="Z426" t="s">
        <v>7756</v>
      </c>
      <c r="AA426" t="s">
        <v>74</v>
      </c>
      <c r="AB426" t="s">
        <v>7757</v>
      </c>
      <c r="AC426" t="s">
        <v>7758</v>
      </c>
      <c r="AD426" t="s">
        <v>7759</v>
      </c>
      <c r="AE426" t="s">
        <v>7760</v>
      </c>
      <c r="AF426" t="s">
        <v>74</v>
      </c>
      <c r="AG426">
        <v>57</v>
      </c>
      <c r="AH426">
        <v>0</v>
      </c>
      <c r="AI426">
        <v>0</v>
      </c>
      <c r="AJ426">
        <v>0</v>
      </c>
      <c r="AK426">
        <v>0</v>
      </c>
      <c r="AL426" t="s">
        <v>90</v>
      </c>
      <c r="AM426" t="s">
        <v>91</v>
      </c>
      <c r="AN426" t="s">
        <v>92</v>
      </c>
      <c r="AO426" t="s">
        <v>7761</v>
      </c>
      <c r="AP426" t="s">
        <v>7762</v>
      </c>
      <c r="AQ426" t="s">
        <v>74</v>
      </c>
      <c r="AR426" t="s">
        <v>7763</v>
      </c>
      <c r="AS426" t="s">
        <v>7764</v>
      </c>
      <c r="AT426" t="s">
        <v>6618</v>
      </c>
      <c r="AU426">
        <v>2023</v>
      </c>
      <c r="AV426">
        <v>121</v>
      </c>
      <c r="AW426" t="s">
        <v>74</v>
      </c>
      <c r="AX426" t="s">
        <v>74</v>
      </c>
      <c r="AY426" t="s">
        <v>74</v>
      </c>
      <c r="AZ426" t="s">
        <v>74</v>
      </c>
      <c r="BA426" t="s">
        <v>74</v>
      </c>
      <c r="BB426" t="s">
        <v>74</v>
      </c>
      <c r="BC426" t="s">
        <v>74</v>
      </c>
      <c r="BD426">
        <v>103939</v>
      </c>
      <c r="BE426" t="s">
        <v>7765</v>
      </c>
      <c r="BF426" t="str">
        <f>HYPERLINK("http://dx.doi.org/10.1016/j.actao.2023.103939","http://dx.doi.org/10.1016/j.actao.2023.103939")</f>
        <v>http://dx.doi.org/10.1016/j.actao.2023.103939</v>
      </c>
      <c r="BG426" t="s">
        <v>74</v>
      </c>
      <c r="BH426" t="s">
        <v>74</v>
      </c>
      <c r="BI426">
        <v>10</v>
      </c>
      <c r="BJ426" t="s">
        <v>7766</v>
      </c>
      <c r="BK426" t="s">
        <v>100</v>
      </c>
      <c r="BL426" t="s">
        <v>1540</v>
      </c>
      <c r="BM426" t="s">
        <v>7767</v>
      </c>
      <c r="BN426" t="s">
        <v>74</v>
      </c>
      <c r="BO426" t="s">
        <v>74</v>
      </c>
      <c r="BP426" t="s">
        <v>74</v>
      </c>
      <c r="BQ426" t="s">
        <v>74</v>
      </c>
      <c r="BR426" t="s">
        <v>104</v>
      </c>
      <c r="BS426" t="s">
        <v>7768</v>
      </c>
      <c r="BT426" t="str">
        <f>HYPERLINK("https%3A%2F%2Fwww.webofscience.com%2Fwos%2Fwoscc%2Ffull-record%2FWOS:001062581500001","View Full Record in Web of Science")</f>
        <v>View Full Record in Web of Science</v>
      </c>
    </row>
    <row r="427" spans="1:72" x14ac:dyDescent="0.15">
      <c r="A427" t="s">
        <v>72</v>
      </c>
      <c r="B427" t="s">
        <v>7769</v>
      </c>
      <c r="C427" t="s">
        <v>74</v>
      </c>
      <c r="D427" t="s">
        <v>74</v>
      </c>
      <c r="E427" t="s">
        <v>74</v>
      </c>
      <c r="F427" t="s">
        <v>7770</v>
      </c>
      <c r="G427" t="s">
        <v>74</v>
      </c>
      <c r="H427" t="s">
        <v>74</v>
      </c>
      <c r="I427" t="s">
        <v>7771</v>
      </c>
      <c r="J427" t="s">
        <v>7772</v>
      </c>
      <c r="K427" t="s">
        <v>74</v>
      </c>
      <c r="L427" t="s">
        <v>74</v>
      </c>
      <c r="M427" t="s">
        <v>78</v>
      </c>
      <c r="N427" t="s">
        <v>79</v>
      </c>
      <c r="O427" t="s">
        <v>74</v>
      </c>
      <c r="P427" t="s">
        <v>74</v>
      </c>
      <c r="Q427" t="s">
        <v>74</v>
      </c>
      <c r="R427" t="s">
        <v>74</v>
      </c>
      <c r="S427" t="s">
        <v>74</v>
      </c>
      <c r="T427" t="s">
        <v>7773</v>
      </c>
      <c r="U427" t="s">
        <v>74</v>
      </c>
      <c r="V427" t="s">
        <v>7774</v>
      </c>
      <c r="W427" t="s">
        <v>7775</v>
      </c>
      <c r="X427" t="s">
        <v>7776</v>
      </c>
      <c r="Y427" t="s">
        <v>7777</v>
      </c>
      <c r="Z427" t="s">
        <v>7778</v>
      </c>
      <c r="AA427" t="s">
        <v>7779</v>
      </c>
      <c r="AB427" t="s">
        <v>7780</v>
      </c>
      <c r="AC427" t="s">
        <v>7781</v>
      </c>
      <c r="AD427" t="s">
        <v>7782</v>
      </c>
      <c r="AE427" t="s">
        <v>7783</v>
      </c>
      <c r="AF427" t="s">
        <v>74</v>
      </c>
      <c r="AG427">
        <v>32</v>
      </c>
      <c r="AH427">
        <v>0</v>
      </c>
      <c r="AI427">
        <v>0</v>
      </c>
      <c r="AJ427">
        <v>1</v>
      </c>
      <c r="AK427">
        <v>1</v>
      </c>
      <c r="AL427" t="s">
        <v>173</v>
      </c>
      <c r="AM427" t="s">
        <v>121</v>
      </c>
      <c r="AN427" t="s">
        <v>174</v>
      </c>
      <c r="AO427" t="s">
        <v>7784</v>
      </c>
      <c r="AP427" t="s">
        <v>7785</v>
      </c>
      <c r="AQ427" t="s">
        <v>74</v>
      </c>
      <c r="AR427" t="s">
        <v>7786</v>
      </c>
      <c r="AS427" t="s">
        <v>7787</v>
      </c>
      <c r="AT427" t="s">
        <v>6618</v>
      </c>
      <c r="AU427">
        <v>2023</v>
      </c>
      <c r="AV427">
        <v>173</v>
      </c>
      <c r="AW427" t="s">
        <v>74</v>
      </c>
      <c r="AX427" t="s">
        <v>74</v>
      </c>
      <c r="AY427" t="s">
        <v>74</v>
      </c>
      <c r="AZ427" t="s">
        <v>74</v>
      </c>
      <c r="BA427" t="s">
        <v>74</v>
      </c>
      <c r="BB427" t="s">
        <v>74</v>
      </c>
      <c r="BC427" t="s">
        <v>74</v>
      </c>
      <c r="BD427">
        <v>107260</v>
      </c>
      <c r="BE427" t="s">
        <v>7788</v>
      </c>
      <c r="BF427" t="str">
        <f>HYPERLINK("http://dx.doi.org/10.1016/j.cemconres.2023.107260","http://dx.doi.org/10.1016/j.cemconres.2023.107260")</f>
        <v>http://dx.doi.org/10.1016/j.cemconres.2023.107260</v>
      </c>
      <c r="BG427" t="s">
        <v>74</v>
      </c>
      <c r="BH427" t="s">
        <v>74</v>
      </c>
      <c r="BI427">
        <v>11</v>
      </c>
      <c r="BJ427" t="s">
        <v>7789</v>
      </c>
      <c r="BK427" t="s">
        <v>100</v>
      </c>
      <c r="BL427" t="s">
        <v>7790</v>
      </c>
      <c r="BM427" t="s">
        <v>7791</v>
      </c>
      <c r="BN427" t="s">
        <v>74</v>
      </c>
      <c r="BO427" t="s">
        <v>74</v>
      </c>
      <c r="BP427" t="s">
        <v>74</v>
      </c>
      <c r="BQ427" t="s">
        <v>74</v>
      </c>
      <c r="BR427" t="s">
        <v>104</v>
      </c>
      <c r="BS427" t="s">
        <v>7792</v>
      </c>
      <c r="BT427" t="str">
        <f>HYPERLINK("https%3A%2F%2Fwww.webofscience.com%2Fwos%2Fwoscc%2Ffull-record%2FWOS:001054057400001","View Full Record in Web of Science")</f>
        <v>View Full Record in Web of Science</v>
      </c>
    </row>
    <row r="428" spans="1:72" x14ac:dyDescent="0.15">
      <c r="A428" t="s">
        <v>72</v>
      </c>
      <c r="B428" t="s">
        <v>7793</v>
      </c>
      <c r="C428" t="s">
        <v>74</v>
      </c>
      <c r="D428" t="s">
        <v>74</v>
      </c>
      <c r="E428" t="s">
        <v>74</v>
      </c>
      <c r="F428" t="s">
        <v>7794</v>
      </c>
      <c r="G428" t="s">
        <v>74</v>
      </c>
      <c r="H428" t="s">
        <v>74</v>
      </c>
      <c r="I428" t="s">
        <v>7795</v>
      </c>
      <c r="J428" t="s">
        <v>6645</v>
      </c>
      <c r="K428" t="s">
        <v>74</v>
      </c>
      <c r="L428" t="s">
        <v>74</v>
      </c>
      <c r="M428" t="s">
        <v>78</v>
      </c>
      <c r="N428" t="s">
        <v>79</v>
      </c>
      <c r="O428" t="s">
        <v>74</v>
      </c>
      <c r="P428" t="s">
        <v>74</v>
      </c>
      <c r="Q428" t="s">
        <v>74</v>
      </c>
      <c r="R428" t="s">
        <v>74</v>
      </c>
      <c r="S428" t="s">
        <v>74</v>
      </c>
      <c r="T428" t="s">
        <v>7796</v>
      </c>
      <c r="U428" t="s">
        <v>7797</v>
      </c>
      <c r="V428" t="s">
        <v>7798</v>
      </c>
      <c r="W428" t="s">
        <v>7799</v>
      </c>
      <c r="X428" t="s">
        <v>7800</v>
      </c>
      <c r="Y428" t="s">
        <v>7801</v>
      </c>
      <c r="Z428" t="s">
        <v>7802</v>
      </c>
      <c r="AA428" t="s">
        <v>74</v>
      </c>
      <c r="AB428" t="s">
        <v>74</v>
      </c>
      <c r="AC428" t="s">
        <v>74</v>
      </c>
      <c r="AD428" t="s">
        <v>74</v>
      </c>
      <c r="AE428" t="s">
        <v>74</v>
      </c>
      <c r="AF428" t="s">
        <v>74</v>
      </c>
      <c r="AG428">
        <v>40</v>
      </c>
      <c r="AH428">
        <v>0</v>
      </c>
      <c r="AI428">
        <v>0</v>
      </c>
      <c r="AJ428">
        <v>0</v>
      </c>
      <c r="AK428">
        <v>0</v>
      </c>
      <c r="AL428" t="s">
        <v>90</v>
      </c>
      <c r="AM428" t="s">
        <v>91</v>
      </c>
      <c r="AN428" t="s">
        <v>92</v>
      </c>
      <c r="AO428" t="s">
        <v>74</v>
      </c>
      <c r="AP428" t="s">
        <v>6656</v>
      </c>
      <c r="AQ428" t="s">
        <v>74</v>
      </c>
      <c r="AR428" t="s">
        <v>6657</v>
      </c>
      <c r="AS428" t="s">
        <v>6658</v>
      </c>
      <c r="AT428" t="s">
        <v>6659</v>
      </c>
      <c r="AU428">
        <v>2023</v>
      </c>
      <c r="AV428">
        <v>78</v>
      </c>
      <c r="AW428" t="s">
        <v>74</v>
      </c>
      <c r="AX428" t="s">
        <v>74</v>
      </c>
      <c r="AY428" t="s">
        <v>74</v>
      </c>
      <c r="AZ428" t="s">
        <v>74</v>
      </c>
      <c r="BA428" t="s">
        <v>74</v>
      </c>
      <c r="BB428" t="s">
        <v>74</v>
      </c>
      <c r="BC428" t="s">
        <v>74</v>
      </c>
      <c r="BD428">
        <v>107508</v>
      </c>
      <c r="BE428" t="s">
        <v>7803</v>
      </c>
      <c r="BF428" t="str">
        <f>HYPERLINK("http://dx.doi.org/10.1016/j.jobe.2023.107508","http://dx.doi.org/10.1016/j.jobe.2023.107508")</f>
        <v>http://dx.doi.org/10.1016/j.jobe.2023.107508</v>
      </c>
      <c r="BG428" t="s">
        <v>74</v>
      </c>
      <c r="BH428" t="s">
        <v>74</v>
      </c>
      <c r="BI428">
        <v>18</v>
      </c>
      <c r="BJ428" t="s">
        <v>3898</v>
      </c>
      <c r="BK428" t="s">
        <v>100</v>
      </c>
      <c r="BL428" t="s">
        <v>3899</v>
      </c>
      <c r="BM428" t="s">
        <v>7804</v>
      </c>
      <c r="BN428" t="s">
        <v>74</v>
      </c>
      <c r="BO428" t="s">
        <v>74</v>
      </c>
      <c r="BP428" t="s">
        <v>74</v>
      </c>
      <c r="BQ428" t="s">
        <v>74</v>
      </c>
      <c r="BR428" t="s">
        <v>104</v>
      </c>
      <c r="BS428" t="s">
        <v>7805</v>
      </c>
      <c r="BT428" t="str">
        <f>HYPERLINK("https%3A%2F%2Fwww.webofscience.com%2Fwos%2Fwoscc%2Ffull-record%2FWOS:001069702000001","View Full Record in Web of Science")</f>
        <v>View Full Record in Web of Science</v>
      </c>
    </row>
    <row r="429" spans="1:72" x14ac:dyDescent="0.15">
      <c r="A429" t="s">
        <v>72</v>
      </c>
      <c r="B429" t="s">
        <v>7806</v>
      </c>
      <c r="C429" t="s">
        <v>74</v>
      </c>
      <c r="D429" t="s">
        <v>74</v>
      </c>
      <c r="E429" t="s">
        <v>74</v>
      </c>
      <c r="F429" t="s">
        <v>7807</v>
      </c>
      <c r="G429" t="s">
        <v>74</v>
      </c>
      <c r="H429" t="s">
        <v>74</v>
      </c>
      <c r="I429" t="s">
        <v>7808</v>
      </c>
      <c r="J429" t="s">
        <v>7809</v>
      </c>
      <c r="K429" t="s">
        <v>74</v>
      </c>
      <c r="L429" t="s">
        <v>74</v>
      </c>
      <c r="M429" t="s">
        <v>78</v>
      </c>
      <c r="N429" t="s">
        <v>79</v>
      </c>
      <c r="O429" t="s">
        <v>74</v>
      </c>
      <c r="P429" t="s">
        <v>74</v>
      </c>
      <c r="Q429" t="s">
        <v>74</v>
      </c>
      <c r="R429" t="s">
        <v>74</v>
      </c>
      <c r="S429" t="s">
        <v>74</v>
      </c>
      <c r="T429" t="s">
        <v>7810</v>
      </c>
      <c r="U429" t="s">
        <v>7811</v>
      </c>
      <c r="V429" t="s">
        <v>7812</v>
      </c>
      <c r="W429" t="s">
        <v>7813</v>
      </c>
      <c r="X429" t="s">
        <v>7814</v>
      </c>
      <c r="Y429" t="s">
        <v>7815</v>
      </c>
      <c r="Z429" t="s">
        <v>7816</v>
      </c>
      <c r="AA429" t="s">
        <v>7817</v>
      </c>
      <c r="AB429" t="s">
        <v>7818</v>
      </c>
      <c r="AC429" t="s">
        <v>7819</v>
      </c>
      <c r="AD429" t="s">
        <v>7820</v>
      </c>
      <c r="AE429" t="s">
        <v>7821</v>
      </c>
      <c r="AF429" t="s">
        <v>74</v>
      </c>
      <c r="AG429">
        <v>137</v>
      </c>
      <c r="AH429">
        <v>0</v>
      </c>
      <c r="AI429">
        <v>0</v>
      </c>
      <c r="AJ429">
        <v>25</v>
      </c>
      <c r="AK429">
        <v>25</v>
      </c>
      <c r="AL429" t="s">
        <v>90</v>
      </c>
      <c r="AM429" t="s">
        <v>91</v>
      </c>
      <c r="AN429" t="s">
        <v>92</v>
      </c>
      <c r="AO429" t="s">
        <v>7822</v>
      </c>
      <c r="AP429" t="s">
        <v>7823</v>
      </c>
      <c r="AQ429" t="s">
        <v>74</v>
      </c>
      <c r="AR429" t="s">
        <v>7809</v>
      </c>
      <c r="AS429" t="s">
        <v>7824</v>
      </c>
      <c r="AT429" t="s">
        <v>6618</v>
      </c>
      <c r="AU429">
        <v>2023</v>
      </c>
      <c r="AV429">
        <v>232</v>
      </c>
      <c r="AW429" t="s">
        <v>74</v>
      </c>
      <c r="AX429" t="s">
        <v>74</v>
      </c>
      <c r="AY429" t="s">
        <v>74</v>
      </c>
      <c r="AZ429" t="s">
        <v>74</v>
      </c>
      <c r="BA429" t="s">
        <v>74</v>
      </c>
      <c r="BB429" t="s">
        <v>74</v>
      </c>
      <c r="BC429" t="s">
        <v>74</v>
      </c>
      <c r="BD429">
        <v>107393</v>
      </c>
      <c r="BE429" t="s">
        <v>7825</v>
      </c>
      <c r="BF429" t="str">
        <f>HYPERLINK("http://dx.doi.org/10.1016/j.catena.2023.107393","http://dx.doi.org/10.1016/j.catena.2023.107393")</f>
        <v>http://dx.doi.org/10.1016/j.catena.2023.107393</v>
      </c>
      <c r="BG429" t="s">
        <v>74</v>
      </c>
      <c r="BH429" t="s">
        <v>74</v>
      </c>
      <c r="BI429">
        <v>14</v>
      </c>
      <c r="BJ429" t="s">
        <v>7826</v>
      </c>
      <c r="BK429" t="s">
        <v>100</v>
      </c>
      <c r="BL429" t="s">
        <v>7827</v>
      </c>
      <c r="BM429" t="s">
        <v>7828</v>
      </c>
      <c r="BN429" t="s">
        <v>74</v>
      </c>
      <c r="BO429" t="s">
        <v>74</v>
      </c>
      <c r="BP429" t="s">
        <v>74</v>
      </c>
      <c r="BQ429" t="s">
        <v>74</v>
      </c>
      <c r="BR429" t="s">
        <v>104</v>
      </c>
      <c r="BS429" t="s">
        <v>7829</v>
      </c>
      <c r="BT429" t="str">
        <f>HYPERLINK("https%3A%2F%2Fwww.webofscience.com%2Fwos%2Fwoscc%2Ffull-record%2FWOS:001048996400001","View Full Record in Web of Science")</f>
        <v>View Full Record in Web of Science</v>
      </c>
    </row>
    <row r="430" spans="1:72" x14ac:dyDescent="0.15">
      <c r="A430" t="s">
        <v>72</v>
      </c>
      <c r="B430" t="s">
        <v>7830</v>
      </c>
      <c r="C430" t="s">
        <v>74</v>
      </c>
      <c r="D430" t="s">
        <v>74</v>
      </c>
      <c r="E430" t="s">
        <v>74</v>
      </c>
      <c r="F430" t="s">
        <v>7831</v>
      </c>
      <c r="G430" t="s">
        <v>74</v>
      </c>
      <c r="H430" t="s">
        <v>74</v>
      </c>
      <c r="I430" t="s">
        <v>7832</v>
      </c>
      <c r="J430" t="s">
        <v>3348</v>
      </c>
      <c r="K430" t="s">
        <v>74</v>
      </c>
      <c r="L430" t="s">
        <v>74</v>
      </c>
      <c r="M430" t="s">
        <v>78</v>
      </c>
      <c r="N430" t="s">
        <v>79</v>
      </c>
      <c r="O430" t="s">
        <v>74</v>
      </c>
      <c r="P430" t="s">
        <v>74</v>
      </c>
      <c r="Q430" t="s">
        <v>74</v>
      </c>
      <c r="R430" t="s">
        <v>74</v>
      </c>
      <c r="S430" t="s">
        <v>74</v>
      </c>
      <c r="T430" t="s">
        <v>7833</v>
      </c>
      <c r="U430" t="s">
        <v>7834</v>
      </c>
      <c r="V430" t="s">
        <v>7835</v>
      </c>
      <c r="W430" t="s">
        <v>7836</v>
      </c>
      <c r="X430" t="s">
        <v>7837</v>
      </c>
      <c r="Y430" t="s">
        <v>7838</v>
      </c>
      <c r="Z430" t="s">
        <v>7839</v>
      </c>
      <c r="AA430" t="s">
        <v>7840</v>
      </c>
      <c r="AB430" t="s">
        <v>7841</v>
      </c>
      <c r="AC430" t="s">
        <v>7842</v>
      </c>
      <c r="AD430" t="s">
        <v>7843</v>
      </c>
      <c r="AE430" t="s">
        <v>7844</v>
      </c>
      <c r="AF430" t="s">
        <v>74</v>
      </c>
      <c r="AG430">
        <v>46</v>
      </c>
      <c r="AH430">
        <v>0</v>
      </c>
      <c r="AI430">
        <v>0</v>
      </c>
      <c r="AJ430">
        <v>14</v>
      </c>
      <c r="AK430">
        <v>14</v>
      </c>
      <c r="AL430" t="s">
        <v>120</v>
      </c>
      <c r="AM430" t="s">
        <v>121</v>
      </c>
      <c r="AN430" t="s">
        <v>122</v>
      </c>
      <c r="AO430" t="s">
        <v>3358</v>
      </c>
      <c r="AP430" t="s">
        <v>3359</v>
      </c>
      <c r="AQ430" t="s">
        <v>74</v>
      </c>
      <c r="AR430" t="s">
        <v>3360</v>
      </c>
      <c r="AS430" t="s">
        <v>3361</v>
      </c>
      <c r="AT430" t="s">
        <v>6618</v>
      </c>
      <c r="AU430">
        <v>2023</v>
      </c>
      <c r="AV430">
        <v>43</v>
      </c>
      <c r="AW430">
        <v>14</v>
      </c>
      <c r="AX430" t="s">
        <v>74</v>
      </c>
      <c r="AY430" t="s">
        <v>74</v>
      </c>
      <c r="AZ430" t="s">
        <v>74</v>
      </c>
      <c r="BA430" t="s">
        <v>74</v>
      </c>
      <c r="BB430">
        <v>5782</v>
      </c>
      <c r="BC430">
        <v>5791</v>
      </c>
      <c r="BD430" t="s">
        <v>74</v>
      </c>
      <c r="BE430" t="s">
        <v>7845</v>
      </c>
      <c r="BF430" t="str">
        <f>HYPERLINK("http://dx.doi.org/10.1016/j.jeurceramsoc.2023.06.012","http://dx.doi.org/10.1016/j.jeurceramsoc.2023.06.012")</f>
        <v>http://dx.doi.org/10.1016/j.jeurceramsoc.2023.06.012</v>
      </c>
      <c r="BG430" t="s">
        <v>74</v>
      </c>
      <c r="BH430" t="s">
        <v>74</v>
      </c>
      <c r="BI430">
        <v>10</v>
      </c>
      <c r="BJ430" t="s">
        <v>3363</v>
      </c>
      <c r="BK430" t="s">
        <v>100</v>
      </c>
      <c r="BL430" t="s">
        <v>1112</v>
      </c>
      <c r="BM430" t="s">
        <v>7846</v>
      </c>
      <c r="BN430" t="s">
        <v>74</v>
      </c>
      <c r="BO430" t="s">
        <v>74</v>
      </c>
      <c r="BP430" t="s">
        <v>74</v>
      </c>
      <c r="BQ430" t="s">
        <v>74</v>
      </c>
      <c r="BR430" t="s">
        <v>104</v>
      </c>
      <c r="BS430" t="s">
        <v>7847</v>
      </c>
      <c r="BT430" t="str">
        <f>HYPERLINK("https%3A%2F%2Fwww.webofscience.com%2Fwos%2Fwoscc%2Ffull-record%2FWOS:001044433600001","View Full Record in Web of Science")</f>
        <v>View Full Record in Web of Science</v>
      </c>
    </row>
    <row r="431" spans="1:72" x14ac:dyDescent="0.15">
      <c r="A431" t="s">
        <v>72</v>
      </c>
      <c r="B431" t="s">
        <v>7848</v>
      </c>
      <c r="C431" t="s">
        <v>74</v>
      </c>
      <c r="D431" t="s">
        <v>74</v>
      </c>
      <c r="E431" t="s">
        <v>74</v>
      </c>
      <c r="F431" t="s">
        <v>7849</v>
      </c>
      <c r="G431" t="s">
        <v>74</v>
      </c>
      <c r="H431" t="s">
        <v>74</v>
      </c>
      <c r="I431" t="s">
        <v>7850</v>
      </c>
      <c r="J431" t="s">
        <v>7809</v>
      </c>
      <c r="K431" t="s">
        <v>74</v>
      </c>
      <c r="L431" t="s">
        <v>74</v>
      </c>
      <c r="M431" t="s">
        <v>78</v>
      </c>
      <c r="N431" t="s">
        <v>79</v>
      </c>
      <c r="O431" t="s">
        <v>74</v>
      </c>
      <c r="P431" t="s">
        <v>74</v>
      </c>
      <c r="Q431" t="s">
        <v>74</v>
      </c>
      <c r="R431" t="s">
        <v>74</v>
      </c>
      <c r="S431" t="s">
        <v>74</v>
      </c>
      <c r="T431" t="s">
        <v>7851</v>
      </c>
      <c r="U431" t="s">
        <v>7852</v>
      </c>
      <c r="V431" t="s">
        <v>7853</v>
      </c>
      <c r="W431" t="s">
        <v>7854</v>
      </c>
      <c r="X431" t="s">
        <v>7855</v>
      </c>
      <c r="Y431" t="s">
        <v>7856</v>
      </c>
      <c r="Z431" t="s">
        <v>7857</v>
      </c>
      <c r="AA431" t="s">
        <v>74</v>
      </c>
      <c r="AB431" t="s">
        <v>74</v>
      </c>
      <c r="AC431" t="s">
        <v>7858</v>
      </c>
      <c r="AD431" t="s">
        <v>7859</v>
      </c>
      <c r="AE431" t="s">
        <v>7860</v>
      </c>
      <c r="AF431" t="s">
        <v>74</v>
      </c>
      <c r="AG431">
        <v>47</v>
      </c>
      <c r="AH431">
        <v>0</v>
      </c>
      <c r="AI431">
        <v>0</v>
      </c>
      <c r="AJ431">
        <v>9</v>
      </c>
      <c r="AK431">
        <v>9</v>
      </c>
      <c r="AL431" t="s">
        <v>90</v>
      </c>
      <c r="AM431" t="s">
        <v>91</v>
      </c>
      <c r="AN431" t="s">
        <v>92</v>
      </c>
      <c r="AO431" t="s">
        <v>7822</v>
      </c>
      <c r="AP431" t="s">
        <v>7823</v>
      </c>
      <c r="AQ431" t="s">
        <v>74</v>
      </c>
      <c r="AR431" t="s">
        <v>7809</v>
      </c>
      <c r="AS431" t="s">
        <v>7824</v>
      </c>
      <c r="AT431" t="s">
        <v>6618</v>
      </c>
      <c r="AU431">
        <v>2023</v>
      </c>
      <c r="AV431">
        <v>232</v>
      </c>
      <c r="AW431" t="s">
        <v>74</v>
      </c>
      <c r="AX431" t="s">
        <v>74</v>
      </c>
      <c r="AY431" t="s">
        <v>74</v>
      </c>
      <c r="AZ431" t="s">
        <v>74</v>
      </c>
      <c r="BA431" t="s">
        <v>74</v>
      </c>
      <c r="BB431" t="s">
        <v>74</v>
      </c>
      <c r="BC431" t="s">
        <v>74</v>
      </c>
      <c r="BD431">
        <v>107372</v>
      </c>
      <c r="BE431" t="s">
        <v>7861</v>
      </c>
      <c r="BF431" t="str">
        <f>HYPERLINK("http://dx.doi.org/10.1016/j.catena.2023.107372","http://dx.doi.org/10.1016/j.catena.2023.107372")</f>
        <v>http://dx.doi.org/10.1016/j.catena.2023.107372</v>
      </c>
      <c r="BG431" t="s">
        <v>74</v>
      </c>
      <c r="BH431" t="s">
        <v>74</v>
      </c>
      <c r="BI431">
        <v>11</v>
      </c>
      <c r="BJ431" t="s">
        <v>7826</v>
      </c>
      <c r="BK431" t="s">
        <v>100</v>
      </c>
      <c r="BL431" t="s">
        <v>7827</v>
      </c>
      <c r="BM431" t="s">
        <v>7862</v>
      </c>
      <c r="BN431" t="s">
        <v>74</v>
      </c>
      <c r="BO431" t="s">
        <v>74</v>
      </c>
      <c r="BP431" t="s">
        <v>74</v>
      </c>
      <c r="BQ431" t="s">
        <v>74</v>
      </c>
      <c r="BR431" t="s">
        <v>104</v>
      </c>
      <c r="BS431" t="s">
        <v>7863</v>
      </c>
      <c r="BT431" t="str">
        <f>HYPERLINK("https%3A%2F%2Fwww.webofscience.com%2Fwos%2Fwoscc%2Ffull-record%2FWOS:001042760000001","View Full Record in Web of Science")</f>
        <v>View Full Record in Web of Science</v>
      </c>
    </row>
    <row r="432" spans="1:72" x14ac:dyDescent="0.15">
      <c r="A432" t="s">
        <v>72</v>
      </c>
      <c r="B432" t="s">
        <v>7864</v>
      </c>
      <c r="C432" t="s">
        <v>74</v>
      </c>
      <c r="D432" t="s">
        <v>74</v>
      </c>
      <c r="E432" t="s">
        <v>74</v>
      </c>
      <c r="F432" t="s">
        <v>7865</v>
      </c>
      <c r="G432" t="s">
        <v>74</v>
      </c>
      <c r="H432" t="s">
        <v>74</v>
      </c>
      <c r="I432" t="s">
        <v>7866</v>
      </c>
      <c r="J432" t="s">
        <v>7867</v>
      </c>
      <c r="K432" t="s">
        <v>74</v>
      </c>
      <c r="L432" t="s">
        <v>74</v>
      </c>
      <c r="M432" t="s">
        <v>78</v>
      </c>
      <c r="N432" t="s">
        <v>79</v>
      </c>
      <c r="O432" t="s">
        <v>74</v>
      </c>
      <c r="P432" t="s">
        <v>74</v>
      </c>
      <c r="Q432" t="s">
        <v>74</v>
      </c>
      <c r="R432" t="s">
        <v>74</v>
      </c>
      <c r="S432" t="s">
        <v>74</v>
      </c>
      <c r="T432" t="s">
        <v>7868</v>
      </c>
      <c r="U432" t="s">
        <v>7869</v>
      </c>
      <c r="V432" t="s">
        <v>7870</v>
      </c>
      <c r="W432" t="s">
        <v>7871</v>
      </c>
      <c r="X432" t="s">
        <v>7872</v>
      </c>
      <c r="Y432" t="s">
        <v>7873</v>
      </c>
      <c r="Z432" t="s">
        <v>7874</v>
      </c>
      <c r="AA432" t="s">
        <v>74</v>
      </c>
      <c r="AB432" t="s">
        <v>74</v>
      </c>
      <c r="AC432" t="s">
        <v>7875</v>
      </c>
      <c r="AD432" t="s">
        <v>7876</v>
      </c>
      <c r="AE432" t="s">
        <v>7877</v>
      </c>
      <c r="AF432" t="s">
        <v>74</v>
      </c>
      <c r="AG432">
        <v>34</v>
      </c>
      <c r="AH432">
        <v>0</v>
      </c>
      <c r="AI432">
        <v>0</v>
      </c>
      <c r="AJ432">
        <v>19</v>
      </c>
      <c r="AK432">
        <v>19</v>
      </c>
      <c r="AL432" t="s">
        <v>7022</v>
      </c>
      <c r="AM432" t="s">
        <v>121</v>
      </c>
      <c r="AN432" t="s">
        <v>7023</v>
      </c>
      <c r="AO432" t="s">
        <v>7878</v>
      </c>
      <c r="AP432" t="s">
        <v>7879</v>
      </c>
      <c r="AQ432" t="s">
        <v>74</v>
      </c>
      <c r="AR432" t="s">
        <v>7880</v>
      </c>
      <c r="AS432" t="s">
        <v>7881</v>
      </c>
      <c r="AT432" t="s">
        <v>6659</v>
      </c>
      <c r="AU432">
        <v>2023</v>
      </c>
      <c r="AV432">
        <v>239</v>
      </c>
      <c r="AW432" t="s">
        <v>74</v>
      </c>
      <c r="AX432" t="s">
        <v>74</v>
      </c>
      <c r="AY432" t="s">
        <v>74</v>
      </c>
      <c r="AZ432" t="s">
        <v>74</v>
      </c>
      <c r="BA432" t="s">
        <v>74</v>
      </c>
      <c r="BB432" t="s">
        <v>74</v>
      </c>
      <c r="BC432" t="s">
        <v>74</v>
      </c>
      <c r="BD432">
        <v>115588</v>
      </c>
      <c r="BE432" t="s">
        <v>7882</v>
      </c>
      <c r="BF432" t="str">
        <f>HYPERLINK("http://dx.doi.org/10.1016/j.bios.2023.115588","http://dx.doi.org/10.1016/j.bios.2023.115588")</f>
        <v>http://dx.doi.org/10.1016/j.bios.2023.115588</v>
      </c>
      <c r="BG432" t="s">
        <v>74</v>
      </c>
      <c r="BH432" t="s">
        <v>74</v>
      </c>
      <c r="BI432">
        <v>8</v>
      </c>
      <c r="BJ432" t="s">
        <v>7883</v>
      </c>
      <c r="BK432" t="s">
        <v>100</v>
      </c>
      <c r="BL432" t="s">
        <v>7884</v>
      </c>
      <c r="BM432" t="s">
        <v>7885</v>
      </c>
      <c r="BN432">
        <v>37597500</v>
      </c>
      <c r="BO432" t="s">
        <v>74</v>
      </c>
      <c r="BP432" t="s">
        <v>74</v>
      </c>
      <c r="BQ432" t="s">
        <v>74</v>
      </c>
      <c r="BR432" t="s">
        <v>104</v>
      </c>
      <c r="BS432" t="s">
        <v>7886</v>
      </c>
      <c r="BT432" t="str">
        <f>HYPERLINK("https%3A%2F%2Fwww.webofscience.com%2Fwos%2Fwoscc%2Ffull-record%2FWOS:001061635400001","View Full Record in Web of Science")</f>
        <v>View Full Record in Web of Science</v>
      </c>
    </row>
    <row r="433" spans="1:72" x14ac:dyDescent="0.15">
      <c r="A433" t="s">
        <v>72</v>
      </c>
      <c r="B433" t="s">
        <v>7887</v>
      </c>
      <c r="C433" t="s">
        <v>74</v>
      </c>
      <c r="D433" t="s">
        <v>74</v>
      </c>
      <c r="E433" t="s">
        <v>74</v>
      </c>
      <c r="F433" t="s">
        <v>7888</v>
      </c>
      <c r="G433" t="s">
        <v>74</v>
      </c>
      <c r="H433" t="s">
        <v>74</v>
      </c>
      <c r="I433" t="s">
        <v>7889</v>
      </c>
      <c r="J433" t="s">
        <v>7324</v>
      </c>
      <c r="K433" t="s">
        <v>74</v>
      </c>
      <c r="L433" t="s">
        <v>74</v>
      </c>
      <c r="M433" t="s">
        <v>78</v>
      </c>
      <c r="N433" t="s">
        <v>79</v>
      </c>
      <c r="O433" t="s">
        <v>74</v>
      </c>
      <c r="P433" t="s">
        <v>74</v>
      </c>
      <c r="Q433" t="s">
        <v>74</v>
      </c>
      <c r="R433" t="s">
        <v>74</v>
      </c>
      <c r="S433" t="s">
        <v>74</v>
      </c>
      <c r="T433" t="s">
        <v>7890</v>
      </c>
      <c r="U433" t="s">
        <v>7891</v>
      </c>
      <c r="V433" t="s">
        <v>7892</v>
      </c>
      <c r="W433" t="s">
        <v>7893</v>
      </c>
      <c r="X433" t="s">
        <v>7894</v>
      </c>
      <c r="Y433" t="s">
        <v>7895</v>
      </c>
      <c r="Z433" t="s">
        <v>7896</v>
      </c>
      <c r="AA433" t="s">
        <v>7897</v>
      </c>
      <c r="AB433" t="s">
        <v>7898</v>
      </c>
      <c r="AC433" t="s">
        <v>7899</v>
      </c>
      <c r="AD433" t="s">
        <v>7900</v>
      </c>
      <c r="AE433" t="s">
        <v>7901</v>
      </c>
      <c r="AF433" t="s">
        <v>74</v>
      </c>
      <c r="AG433">
        <v>34</v>
      </c>
      <c r="AH433">
        <v>0</v>
      </c>
      <c r="AI433">
        <v>0</v>
      </c>
      <c r="AJ433">
        <v>2</v>
      </c>
      <c r="AK433">
        <v>2</v>
      </c>
      <c r="AL433" t="s">
        <v>90</v>
      </c>
      <c r="AM433" t="s">
        <v>91</v>
      </c>
      <c r="AN433" t="s">
        <v>92</v>
      </c>
      <c r="AO433" t="s">
        <v>7335</v>
      </c>
      <c r="AP433" t="s">
        <v>7336</v>
      </c>
      <c r="AQ433" t="s">
        <v>74</v>
      </c>
      <c r="AR433" t="s">
        <v>7337</v>
      </c>
      <c r="AS433" t="s">
        <v>7338</v>
      </c>
      <c r="AT433" t="s">
        <v>6659</v>
      </c>
      <c r="AU433">
        <v>2023</v>
      </c>
      <c r="AV433">
        <v>546</v>
      </c>
      <c r="AW433" t="s">
        <v>74</v>
      </c>
      <c r="AX433" t="s">
        <v>74</v>
      </c>
      <c r="AY433" t="s">
        <v>74</v>
      </c>
      <c r="AZ433" t="s">
        <v>74</v>
      </c>
      <c r="BA433" t="s">
        <v>74</v>
      </c>
      <c r="BB433" t="s">
        <v>74</v>
      </c>
      <c r="BC433" t="s">
        <v>74</v>
      </c>
      <c r="BD433">
        <v>129784</v>
      </c>
      <c r="BE433" t="s">
        <v>7902</v>
      </c>
      <c r="BF433" t="str">
        <f>HYPERLINK("http://dx.doi.org/10.1016/j.optcom.2023.129784","http://dx.doi.org/10.1016/j.optcom.2023.129784")</f>
        <v>http://dx.doi.org/10.1016/j.optcom.2023.129784</v>
      </c>
      <c r="BG433" t="s">
        <v>74</v>
      </c>
      <c r="BH433" t="s">
        <v>74</v>
      </c>
      <c r="BI433">
        <v>7</v>
      </c>
      <c r="BJ433" t="s">
        <v>2920</v>
      </c>
      <c r="BK433" t="s">
        <v>100</v>
      </c>
      <c r="BL433" t="s">
        <v>2920</v>
      </c>
      <c r="BM433" t="s">
        <v>7903</v>
      </c>
      <c r="BN433" t="s">
        <v>74</v>
      </c>
      <c r="BO433" t="s">
        <v>103</v>
      </c>
      <c r="BP433" t="s">
        <v>74</v>
      </c>
      <c r="BQ433" t="s">
        <v>74</v>
      </c>
      <c r="BR433" t="s">
        <v>104</v>
      </c>
      <c r="BS433" t="s">
        <v>7904</v>
      </c>
      <c r="BT433" t="str">
        <f>HYPERLINK("https%3A%2F%2Fwww.webofscience.com%2Fwos%2Fwoscc%2Ffull-record%2FWOS:001053034200001","View Full Record in Web of Science")</f>
        <v>View Full Record in Web of Science</v>
      </c>
    </row>
    <row r="434" spans="1:72" x14ac:dyDescent="0.15">
      <c r="A434" t="s">
        <v>72</v>
      </c>
      <c r="B434" t="s">
        <v>7905</v>
      </c>
      <c r="C434" t="s">
        <v>74</v>
      </c>
      <c r="D434" t="s">
        <v>74</v>
      </c>
      <c r="E434" t="s">
        <v>74</v>
      </c>
      <c r="F434" t="s">
        <v>7906</v>
      </c>
      <c r="G434" t="s">
        <v>74</v>
      </c>
      <c r="H434" t="s">
        <v>74</v>
      </c>
      <c r="I434" t="s">
        <v>7907</v>
      </c>
      <c r="J434" t="s">
        <v>7908</v>
      </c>
      <c r="K434" t="s">
        <v>74</v>
      </c>
      <c r="L434" t="s">
        <v>74</v>
      </c>
      <c r="M434" t="s">
        <v>78</v>
      </c>
      <c r="N434" t="s">
        <v>79</v>
      </c>
      <c r="O434" t="s">
        <v>74</v>
      </c>
      <c r="P434" t="s">
        <v>74</v>
      </c>
      <c r="Q434" t="s">
        <v>74</v>
      </c>
      <c r="R434" t="s">
        <v>74</v>
      </c>
      <c r="S434" t="s">
        <v>74</v>
      </c>
      <c r="T434" t="s">
        <v>7909</v>
      </c>
      <c r="U434" t="s">
        <v>7910</v>
      </c>
      <c r="V434" t="s">
        <v>7911</v>
      </c>
      <c r="W434" t="s">
        <v>7912</v>
      </c>
      <c r="X434" t="s">
        <v>7913</v>
      </c>
      <c r="Y434" t="s">
        <v>7914</v>
      </c>
      <c r="Z434" t="s">
        <v>7915</v>
      </c>
      <c r="AA434" t="s">
        <v>74</v>
      </c>
      <c r="AB434" t="s">
        <v>7916</v>
      </c>
      <c r="AC434" t="s">
        <v>7917</v>
      </c>
      <c r="AD434" t="s">
        <v>7918</v>
      </c>
      <c r="AE434" t="s">
        <v>7919</v>
      </c>
      <c r="AF434" t="s">
        <v>74</v>
      </c>
      <c r="AG434">
        <v>170</v>
      </c>
      <c r="AH434">
        <v>0</v>
      </c>
      <c r="AI434">
        <v>0</v>
      </c>
      <c r="AJ434">
        <v>5</v>
      </c>
      <c r="AK434">
        <v>5</v>
      </c>
      <c r="AL434" t="s">
        <v>554</v>
      </c>
      <c r="AM434" t="s">
        <v>555</v>
      </c>
      <c r="AN434" t="s">
        <v>556</v>
      </c>
      <c r="AO434" t="s">
        <v>7920</v>
      </c>
      <c r="AP434" t="s">
        <v>7921</v>
      </c>
      <c r="AQ434" t="s">
        <v>74</v>
      </c>
      <c r="AR434" t="s">
        <v>7922</v>
      </c>
      <c r="AS434" t="s">
        <v>7923</v>
      </c>
      <c r="AT434" t="s">
        <v>6618</v>
      </c>
      <c r="AU434">
        <v>2023</v>
      </c>
      <c r="AV434">
        <v>179</v>
      </c>
      <c r="AW434" t="s">
        <v>74</v>
      </c>
      <c r="AX434" t="s">
        <v>74</v>
      </c>
      <c r="AY434" t="s">
        <v>74</v>
      </c>
      <c r="AZ434" t="s">
        <v>74</v>
      </c>
      <c r="BA434" t="s">
        <v>74</v>
      </c>
      <c r="BB434" t="s">
        <v>74</v>
      </c>
      <c r="BC434" t="s">
        <v>74</v>
      </c>
      <c r="BD434">
        <v>103107</v>
      </c>
      <c r="BE434" t="s">
        <v>7924</v>
      </c>
      <c r="BF434" t="str">
        <f>HYPERLINK("http://dx.doi.org/10.1016/j.ijhcs.2023.103107","http://dx.doi.org/10.1016/j.ijhcs.2023.103107")</f>
        <v>http://dx.doi.org/10.1016/j.ijhcs.2023.103107</v>
      </c>
      <c r="BG434" t="s">
        <v>74</v>
      </c>
      <c r="BH434" t="s">
        <v>74</v>
      </c>
      <c r="BI434">
        <v>22</v>
      </c>
      <c r="BJ434" t="s">
        <v>7925</v>
      </c>
      <c r="BK434" t="s">
        <v>666</v>
      </c>
      <c r="BL434" t="s">
        <v>7926</v>
      </c>
      <c r="BM434" t="s">
        <v>7927</v>
      </c>
      <c r="BN434" t="s">
        <v>74</v>
      </c>
      <c r="BO434" t="s">
        <v>295</v>
      </c>
      <c r="BP434" t="s">
        <v>74</v>
      </c>
      <c r="BQ434" t="s">
        <v>74</v>
      </c>
      <c r="BR434" t="s">
        <v>104</v>
      </c>
      <c r="BS434" t="s">
        <v>7928</v>
      </c>
      <c r="BT434" t="str">
        <f>HYPERLINK("https%3A%2F%2Fwww.webofscience.com%2Fwos%2Fwoscc%2Ffull-record%2FWOS:001058231900001","View Full Record in Web of Science")</f>
        <v>View Full Record in Web of Science</v>
      </c>
    </row>
    <row r="435" spans="1:72" x14ac:dyDescent="0.15">
      <c r="A435" t="s">
        <v>72</v>
      </c>
      <c r="B435" t="s">
        <v>7929</v>
      </c>
      <c r="C435" t="s">
        <v>74</v>
      </c>
      <c r="D435" t="s">
        <v>74</v>
      </c>
      <c r="E435" t="s">
        <v>74</v>
      </c>
      <c r="F435" t="s">
        <v>7930</v>
      </c>
      <c r="G435" t="s">
        <v>74</v>
      </c>
      <c r="H435" t="s">
        <v>74</v>
      </c>
      <c r="I435" t="s">
        <v>7931</v>
      </c>
      <c r="J435" t="s">
        <v>1950</v>
      </c>
      <c r="K435" t="s">
        <v>74</v>
      </c>
      <c r="L435" t="s">
        <v>74</v>
      </c>
      <c r="M435" t="s">
        <v>78</v>
      </c>
      <c r="N435" t="s">
        <v>79</v>
      </c>
      <c r="O435" t="s">
        <v>74</v>
      </c>
      <c r="P435" t="s">
        <v>74</v>
      </c>
      <c r="Q435" t="s">
        <v>74</v>
      </c>
      <c r="R435" t="s">
        <v>74</v>
      </c>
      <c r="S435" t="s">
        <v>74</v>
      </c>
      <c r="T435" t="s">
        <v>7932</v>
      </c>
      <c r="U435" t="s">
        <v>7933</v>
      </c>
      <c r="V435" t="s">
        <v>7934</v>
      </c>
      <c r="W435" t="s">
        <v>7935</v>
      </c>
      <c r="X435" t="s">
        <v>7936</v>
      </c>
      <c r="Y435" t="s">
        <v>7937</v>
      </c>
      <c r="Z435" t="s">
        <v>7938</v>
      </c>
      <c r="AA435" t="s">
        <v>74</v>
      </c>
      <c r="AB435" t="s">
        <v>74</v>
      </c>
      <c r="AC435" t="s">
        <v>7939</v>
      </c>
      <c r="AD435" t="s">
        <v>7940</v>
      </c>
      <c r="AE435" t="s">
        <v>7941</v>
      </c>
      <c r="AF435" t="s">
        <v>74</v>
      </c>
      <c r="AG435">
        <v>58</v>
      </c>
      <c r="AH435">
        <v>0</v>
      </c>
      <c r="AI435">
        <v>0</v>
      </c>
      <c r="AJ435">
        <v>9</v>
      </c>
      <c r="AK435">
        <v>9</v>
      </c>
      <c r="AL435" t="s">
        <v>173</v>
      </c>
      <c r="AM435" t="s">
        <v>121</v>
      </c>
      <c r="AN435" t="s">
        <v>174</v>
      </c>
      <c r="AO435" t="s">
        <v>1963</v>
      </c>
      <c r="AP435" t="s">
        <v>1964</v>
      </c>
      <c r="AQ435" t="s">
        <v>74</v>
      </c>
      <c r="AR435" t="s">
        <v>1950</v>
      </c>
      <c r="AS435" t="s">
        <v>1965</v>
      </c>
      <c r="AT435" t="s">
        <v>6659</v>
      </c>
      <c r="AU435">
        <v>2023</v>
      </c>
      <c r="AV435">
        <v>282</v>
      </c>
      <c r="AW435" t="s">
        <v>74</v>
      </c>
      <c r="AX435" t="s">
        <v>74</v>
      </c>
      <c r="AY435" t="s">
        <v>74</v>
      </c>
      <c r="AZ435" t="s">
        <v>74</v>
      </c>
      <c r="BA435" t="s">
        <v>74</v>
      </c>
      <c r="BB435" t="s">
        <v>74</v>
      </c>
      <c r="BC435" t="s">
        <v>74</v>
      </c>
      <c r="BD435">
        <v>128739</v>
      </c>
      <c r="BE435" t="s">
        <v>7942</v>
      </c>
      <c r="BF435" t="str">
        <f>HYPERLINK("http://dx.doi.org/10.1016/j.energy.2023.128739","http://dx.doi.org/10.1016/j.energy.2023.128739")</f>
        <v>http://dx.doi.org/10.1016/j.energy.2023.128739</v>
      </c>
      <c r="BG435" t="s">
        <v>74</v>
      </c>
      <c r="BH435" t="s">
        <v>74</v>
      </c>
      <c r="BI435">
        <v>17</v>
      </c>
      <c r="BJ435" t="s">
        <v>1967</v>
      </c>
      <c r="BK435" t="s">
        <v>100</v>
      </c>
      <c r="BL435" t="s">
        <v>1967</v>
      </c>
      <c r="BM435" t="s">
        <v>7943</v>
      </c>
      <c r="BN435" t="s">
        <v>74</v>
      </c>
      <c r="BO435" t="s">
        <v>74</v>
      </c>
      <c r="BP435" t="s">
        <v>74</v>
      </c>
      <c r="BQ435" t="s">
        <v>74</v>
      </c>
      <c r="BR435" t="s">
        <v>104</v>
      </c>
      <c r="BS435" t="s">
        <v>7944</v>
      </c>
      <c r="BT435" t="str">
        <f>HYPERLINK("https%3A%2F%2Fwww.webofscience.com%2Fwos%2Fwoscc%2Ffull-record%2FWOS:001059240500001","View Full Record in Web of Science")</f>
        <v>View Full Record in Web of Science</v>
      </c>
    </row>
    <row r="436" spans="1:72" x14ac:dyDescent="0.15">
      <c r="A436" t="s">
        <v>72</v>
      </c>
      <c r="B436" t="s">
        <v>7945</v>
      </c>
      <c r="C436" t="s">
        <v>74</v>
      </c>
      <c r="D436" t="s">
        <v>74</v>
      </c>
      <c r="E436" t="s">
        <v>74</v>
      </c>
      <c r="F436" t="s">
        <v>7946</v>
      </c>
      <c r="G436" t="s">
        <v>74</v>
      </c>
      <c r="H436" t="s">
        <v>74</v>
      </c>
      <c r="I436" t="s">
        <v>7947</v>
      </c>
      <c r="J436" t="s">
        <v>7948</v>
      </c>
      <c r="K436" t="s">
        <v>74</v>
      </c>
      <c r="L436" t="s">
        <v>74</v>
      </c>
      <c r="M436" t="s">
        <v>78</v>
      </c>
      <c r="N436" t="s">
        <v>79</v>
      </c>
      <c r="O436" t="s">
        <v>74</v>
      </c>
      <c r="P436" t="s">
        <v>74</v>
      </c>
      <c r="Q436" t="s">
        <v>74</v>
      </c>
      <c r="R436" t="s">
        <v>74</v>
      </c>
      <c r="S436" t="s">
        <v>74</v>
      </c>
      <c r="T436" t="s">
        <v>7949</v>
      </c>
      <c r="U436" t="s">
        <v>7950</v>
      </c>
      <c r="V436" t="s">
        <v>7951</v>
      </c>
      <c r="W436" t="s">
        <v>7952</v>
      </c>
      <c r="X436" t="s">
        <v>7953</v>
      </c>
      <c r="Y436" t="s">
        <v>7954</v>
      </c>
      <c r="Z436" t="s">
        <v>7955</v>
      </c>
      <c r="AA436" t="s">
        <v>74</v>
      </c>
      <c r="AB436" t="s">
        <v>74</v>
      </c>
      <c r="AC436" t="s">
        <v>7956</v>
      </c>
      <c r="AD436" t="s">
        <v>7957</v>
      </c>
      <c r="AE436" t="s">
        <v>7958</v>
      </c>
      <c r="AF436" t="s">
        <v>74</v>
      </c>
      <c r="AG436">
        <v>38</v>
      </c>
      <c r="AH436">
        <v>0</v>
      </c>
      <c r="AI436">
        <v>0</v>
      </c>
      <c r="AJ436">
        <v>0</v>
      </c>
      <c r="AK436">
        <v>0</v>
      </c>
      <c r="AL436" t="s">
        <v>90</v>
      </c>
      <c r="AM436" t="s">
        <v>91</v>
      </c>
      <c r="AN436" t="s">
        <v>92</v>
      </c>
      <c r="AO436" t="s">
        <v>7959</v>
      </c>
      <c r="AP436" t="s">
        <v>7960</v>
      </c>
      <c r="AQ436" t="s">
        <v>74</v>
      </c>
      <c r="AR436" t="s">
        <v>7961</v>
      </c>
      <c r="AS436" t="s">
        <v>7962</v>
      </c>
      <c r="AT436" t="s">
        <v>6659</v>
      </c>
      <c r="AU436">
        <v>2023</v>
      </c>
      <c r="AV436">
        <v>389</v>
      </c>
      <c r="AW436" t="s">
        <v>74</v>
      </c>
      <c r="AX436" t="s">
        <v>74</v>
      </c>
      <c r="AY436" t="s">
        <v>74</v>
      </c>
      <c r="AZ436" t="s">
        <v>74</v>
      </c>
      <c r="BA436" t="s">
        <v>74</v>
      </c>
      <c r="BB436" t="s">
        <v>74</v>
      </c>
      <c r="BC436" t="s">
        <v>74</v>
      </c>
      <c r="BD436">
        <v>122842</v>
      </c>
      <c r="BE436" t="s">
        <v>7963</v>
      </c>
      <c r="BF436" t="str">
        <f>HYPERLINK("http://dx.doi.org/10.1016/j.molliq.2023.122842","http://dx.doi.org/10.1016/j.molliq.2023.122842")</f>
        <v>http://dx.doi.org/10.1016/j.molliq.2023.122842</v>
      </c>
      <c r="BG436" t="s">
        <v>74</v>
      </c>
      <c r="BH436" t="s">
        <v>74</v>
      </c>
      <c r="BI436">
        <v>9</v>
      </c>
      <c r="BJ436" t="s">
        <v>7964</v>
      </c>
      <c r="BK436" t="s">
        <v>100</v>
      </c>
      <c r="BL436" t="s">
        <v>7965</v>
      </c>
      <c r="BM436" t="s">
        <v>7966</v>
      </c>
      <c r="BN436" t="s">
        <v>74</v>
      </c>
      <c r="BO436" t="s">
        <v>74</v>
      </c>
      <c r="BP436" t="s">
        <v>74</v>
      </c>
      <c r="BQ436" t="s">
        <v>74</v>
      </c>
      <c r="BR436" t="s">
        <v>104</v>
      </c>
      <c r="BS436" t="s">
        <v>7967</v>
      </c>
      <c r="BT436" t="str">
        <f>HYPERLINK("https%3A%2F%2Fwww.webofscience.com%2Fwos%2Fwoscc%2Ffull-record%2FWOS:001070977000001","View Full Record in Web of Science")</f>
        <v>View Full Record in Web of Science</v>
      </c>
    </row>
    <row r="437" spans="1:72" x14ac:dyDescent="0.15">
      <c r="A437" t="s">
        <v>72</v>
      </c>
      <c r="B437" t="s">
        <v>7968</v>
      </c>
      <c r="C437" t="s">
        <v>74</v>
      </c>
      <c r="D437" t="s">
        <v>74</v>
      </c>
      <c r="E437" t="s">
        <v>74</v>
      </c>
      <c r="F437" t="s">
        <v>7969</v>
      </c>
      <c r="G437" t="s">
        <v>74</v>
      </c>
      <c r="H437" t="s">
        <v>74</v>
      </c>
      <c r="I437" t="s">
        <v>7970</v>
      </c>
      <c r="J437" t="s">
        <v>7971</v>
      </c>
      <c r="K437" t="s">
        <v>74</v>
      </c>
      <c r="L437" t="s">
        <v>74</v>
      </c>
      <c r="M437" t="s">
        <v>78</v>
      </c>
      <c r="N437" t="s">
        <v>79</v>
      </c>
      <c r="O437" t="s">
        <v>74</v>
      </c>
      <c r="P437" t="s">
        <v>74</v>
      </c>
      <c r="Q437" t="s">
        <v>74</v>
      </c>
      <c r="R437" t="s">
        <v>74</v>
      </c>
      <c r="S437" t="s">
        <v>74</v>
      </c>
      <c r="T437" t="s">
        <v>7972</v>
      </c>
      <c r="U437" t="s">
        <v>7973</v>
      </c>
      <c r="V437" t="s">
        <v>7974</v>
      </c>
      <c r="W437" t="s">
        <v>7975</v>
      </c>
      <c r="X437" t="s">
        <v>7976</v>
      </c>
      <c r="Y437" t="s">
        <v>7977</v>
      </c>
      <c r="Z437" t="s">
        <v>7978</v>
      </c>
      <c r="AA437" t="s">
        <v>74</v>
      </c>
      <c r="AB437" t="s">
        <v>74</v>
      </c>
      <c r="AC437" t="s">
        <v>74</v>
      </c>
      <c r="AD437" t="s">
        <v>74</v>
      </c>
      <c r="AE437" t="s">
        <v>74</v>
      </c>
      <c r="AF437" t="s">
        <v>74</v>
      </c>
      <c r="AG437">
        <v>9</v>
      </c>
      <c r="AH437">
        <v>0</v>
      </c>
      <c r="AI437">
        <v>0</v>
      </c>
      <c r="AJ437">
        <v>1</v>
      </c>
      <c r="AK437">
        <v>1</v>
      </c>
      <c r="AL437" t="s">
        <v>147</v>
      </c>
      <c r="AM437" t="s">
        <v>148</v>
      </c>
      <c r="AN437" t="s">
        <v>149</v>
      </c>
      <c r="AO437" t="s">
        <v>7979</v>
      </c>
      <c r="AP437" t="s">
        <v>7980</v>
      </c>
      <c r="AQ437" t="s">
        <v>74</v>
      </c>
      <c r="AR437" t="s">
        <v>7981</v>
      </c>
      <c r="AS437" t="s">
        <v>7982</v>
      </c>
      <c r="AT437" t="s">
        <v>6618</v>
      </c>
      <c r="AU437">
        <v>2023</v>
      </c>
      <c r="AV437">
        <v>35</v>
      </c>
      <c r="AW437">
        <v>6</v>
      </c>
      <c r="AX437" t="s">
        <v>74</v>
      </c>
      <c r="AY437" t="s">
        <v>74</v>
      </c>
      <c r="AZ437" t="s">
        <v>74</v>
      </c>
      <c r="BA437" t="s">
        <v>74</v>
      </c>
      <c r="BB437">
        <v>564</v>
      </c>
      <c r="BC437">
        <v>567</v>
      </c>
      <c r="BD437" t="s">
        <v>74</v>
      </c>
      <c r="BE437" t="s">
        <v>7983</v>
      </c>
      <c r="BF437" t="str">
        <f>HYPERLINK("http://dx.doi.org/10.1016/j.ajoms.2023.03.003","http://dx.doi.org/10.1016/j.ajoms.2023.03.003")</f>
        <v>http://dx.doi.org/10.1016/j.ajoms.2023.03.003</v>
      </c>
      <c r="BG437" t="s">
        <v>74</v>
      </c>
      <c r="BH437" t="s">
        <v>74</v>
      </c>
      <c r="BI437">
        <v>4</v>
      </c>
      <c r="BJ437" t="s">
        <v>2689</v>
      </c>
      <c r="BK437" t="s">
        <v>1850</v>
      </c>
      <c r="BL437" t="s">
        <v>2689</v>
      </c>
      <c r="BM437" t="s">
        <v>7984</v>
      </c>
      <c r="BN437" t="s">
        <v>74</v>
      </c>
      <c r="BO437" t="s">
        <v>74</v>
      </c>
      <c r="BP437" t="s">
        <v>74</v>
      </c>
      <c r="BQ437" t="s">
        <v>74</v>
      </c>
      <c r="BR437" t="s">
        <v>104</v>
      </c>
      <c r="BS437" t="s">
        <v>7985</v>
      </c>
      <c r="BT437" t="str">
        <f>HYPERLINK("https%3A%2F%2Fwww.webofscience.com%2Fwos%2Fwoscc%2Ffull-record%2FWOS:001053252200001","View Full Record in Web of Science")</f>
        <v>View Full Record in Web of Science</v>
      </c>
    </row>
    <row r="438" spans="1:72" x14ac:dyDescent="0.15">
      <c r="A438" t="s">
        <v>72</v>
      </c>
      <c r="B438" t="s">
        <v>7986</v>
      </c>
      <c r="C438" t="s">
        <v>74</v>
      </c>
      <c r="D438" t="s">
        <v>74</v>
      </c>
      <c r="E438" t="s">
        <v>74</v>
      </c>
      <c r="F438" t="s">
        <v>7987</v>
      </c>
      <c r="G438" t="s">
        <v>74</v>
      </c>
      <c r="H438" t="s">
        <v>74</v>
      </c>
      <c r="I438" t="s">
        <v>7988</v>
      </c>
      <c r="J438" t="s">
        <v>7989</v>
      </c>
      <c r="K438" t="s">
        <v>74</v>
      </c>
      <c r="L438" t="s">
        <v>74</v>
      </c>
      <c r="M438" t="s">
        <v>78</v>
      </c>
      <c r="N438" t="s">
        <v>79</v>
      </c>
      <c r="O438" t="s">
        <v>74</v>
      </c>
      <c r="P438" t="s">
        <v>74</v>
      </c>
      <c r="Q438" t="s">
        <v>74</v>
      </c>
      <c r="R438" t="s">
        <v>74</v>
      </c>
      <c r="S438" t="s">
        <v>74</v>
      </c>
      <c r="T438" t="s">
        <v>7990</v>
      </c>
      <c r="U438" t="s">
        <v>7991</v>
      </c>
      <c r="V438" t="s">
        <v>7992</v>
      </c>
      <c r="W438" t="s">
        <v>7993</v>
      </c>
      <c r="X438" t="s">
        <v>7994</v>
      </c>
      <c r="Y438" t="s">
        <v>7995</v>
      </c>
      <c r="Z438" t="s">
        <v>7996</v>
      </c>
      <c r="AA438" t="s">
        <v>74</v>
      </c>
      <c r="AB438" t="s">
        <v>74</v>
      </c>
      <c r="AC438" t="s">
        <v>74</v>
      </c>
      <c r="AD438" t="s">
        <v>74</v>
      </c>
      <c r="AE438" t="s">
        <v>74</v>
      </c>
      <c r="AF438" t="s">
        <v>74</v>
      </c>
      <c r="AG438">
        <v>19</v>
      </c>
      <c r="AH438">
        <v>0</v>
      </c>
      <c r="AI438">
        <v>0</v>
      </c>
      <c r="AJ438">
        <v>1</v>
      </c>
      <c r="AK438">
        <v>1</v>
      </c>
      <c r="AL438" t="s">
        <v>147</v>
      </c>
      <c r="AM438" t="s">
        <v>148</v>
      </c>
      <c r="AN438" t="s">
        <v>149</v>
      </c>
      <c r="AO438" t="s">
        <v>7997</v>
      </c>
      <c r="AP438" t="s">
        <v>7998</v>
      </c>
      <c r="AQ438" t="s">
        <v>74</v>
      </c>
      <c r="AR438" t="s">
        <v>7999</v>
      </c>
      <c r="AS438" t="s">
        <v>8000</v>
      </c>
      <c r="AT438" t="s">
        <v>6618</v>
      </c>
      <c r="AU438">
        <v>2023</v>
      </c>
      <c r="AV438">
        <v>90</v>
      </c>
      <c r="AW438" t="s">
        <v>74</v>
      </c>
      <c r="AX438" t="s">
        <v>74</v>
      </c>
      <c r="AY438" t="s">
        <v>74</v>
      </c>
      <c r="AZ438" t="s">
        <v>74</v>
      </c>
      <c r="BA438" t="s">
        <v>74</v>
      </c>
      <c r="BB438" t="s">
        <v>74</v>
      </c>
      <c r="BC438" t="s">
        <v>74</v>
      </c>
      <c r="BD438">
        <v>111222</v>
      </c>
      <c r="BE438" t="s">
        <v>8001</v>
      </c>
      <c r="BF438" t="str">
        <f>HYPERLINK("http://dx.doi.org/10.1016/j.jclinane.2023.111222","http://dx.doi.org/10.1016/j.jclinane.2023.111222")</f>
        <v>http://dx.doi.org/10.1016/j.jclinane.2023.111222</v>
      </c>
      <c r="BG438" t="s">
        <v>74</v>
      </c>
      <c r="BH438" t="s">
        <v>74</v>
      </c>
      <c r="BI438">
        <v>6</v>
      </c>
      <c r="BJ438" t="s">
        <v>8002</v>
      </c>
      <c r="BK438" t="s">
        <v>100</v>
      </c>
      <c r="BL438" t="s">
        <v>8002</v>
      </c>
      <c r="BM438" t="s">
        <v>8003</v>
      </c>
      <c r="BN438">
        <v>37499315</v>
      </c>
      <c r="BO438" t="s">
        <v>74</v>
      </c>
      <c r="BP438" t="s">
        <v>74</v>
      </c>
      <c r="BQ438" t="s">
        <v>74</v>
      </c>
      <c r="BR438" t="s">
        <v>104</v>
      </c>
      <c r="BS438" t="s">
        <v>8004</v>
      </c>
      <c r="BT438" t="str">
        <f>HYPERLINK("https%3A%2F%2Fwww.webofscience.com%2Fwos%2Fwoscc%2Ffull-record%2FWOS:001050093100001","View Full Record in Web of Science")</f>
        <v>View Full Record in Web of Science</v>
      </c>
    </row>
    <row r="439" spans="1:72" x14ac:dyDescent="0.15">
      <c r="A439" t="s">
        <v>72</v>
      </c>
      <c r="B439" t="s">
        <v>8005</v>
      </c>
      <c r="C439" t="s">
        <v>74</v>
      </c>
      <c r="D439" t="s">
        <v>74</v>
      </c>
      <c r="E439" t="s">
        <v>74</v>
      </c>
      <c r="F439" t="s">
        <v>8006</v>
      </c>
      <c r="G439" t="s">
        <v>74</v>
      </c>
      <c r="H439" t="s">
        <v>74</v>
      </c>
      <c r="I439" t="s">
        <v>8007</v>
      </c>
      <c r="J439" t="s">
        <v>8008</v>
      </c>
      <c r="K439" t="s">
        <v>74</v>
      </c>
      <c r="L439" t="s">
        <v>74</v>
      </c>
      <c r="M439" t="s">
        <v>78</v>
      </c>
      <c r="N439" t="s">
        <v>79</v>
      </c>
      <c r="O439" t="s">
        <v>74</v>
      </c>
      <c r="P439" t="s">
        <v>74</v>
      </c>
      <c r="Q439" t="s">
        <v>74</v>
      </c>
      <c r="R439" t="s">
        <v>74</v>
      </c>
      <c r="S439" t="s">
        <v>74</v>
      </c>
      <c r="T439" t="s">
        <v>8009</v>
      </c>
      <c r="U439" t="s">
        <v>8010</v>
      </c>
      <c r="V439" t="s">
        <v>8011</v>
      </c>
      <c r="W439" t="s">
        <v>8012</v>
      </c>
      <c r="X439" t="s">
        <v>8013</v>
      </c>
      <c r="Y439" t="s">
        <v>8014</v>
      </c>
      <c r="Z439" t="s">
        <v>8015</v>
      </c>
      <c r="AA439" t="s">
        <v>74</v>
      </c>
      <c r="AB439" t="s">
        <v>74</v>
      </c>
      <c r="AC439" t="s">
        <v>74</v>
      </c>
      <c r="AD439" t="s">
        <v>74</v>
      </c>
      <c r="AE439" t="s">
        <v>74</v>
      </c>
      <c r="AF439" t="s">
        <v>74</v>
      </c>
      <c r="AG439">
        <v>73</v>
      </c>
      <c r="AH439">
        <v>0</v>
      </c>
      <c r="AI439">
        <v>0</v>
      </c>
      <c r="AJ439">
        <v>0</v>
      </c>
      <c r="AK439">
        <v>0</v>
      </c>
      <c r="AL439" t="s">
        <v>173</v>
      </c>
      <c r="AM439" t="s">
        <v>121</v>
      </c>
      <c r="AN439" t="s">
        <v>174</v>
      </c>
      <c r="AO439" t="s">
        <v>8016</v>
      </c>
      <c r="AP439" t="s">
        <v>8017</v>
      </c>
      <c r="AQ439" t="s">
        <v>74</v>
      </c>
      <c r="AR439" t="s">
        <v>8018</v>
      </c>
      <c r="AS439" t="s">
        <v>8019</v>
      </c>
      <c r="AT439" t="s">
        <v>6618</v>
      </c>
      <c r="AU439">
        <v>2023</v>
      </c>
      <c r="AV439">
        <v>234</v>
      </c>
      <c r="AW439" t="s">
        <v>74</v>
      </c>
      <c r="AX439" t="s">
        <v>74</v>
      </c>
      <c r="AY439" t="s">
        <v>74</v>
      </c>
      <c r="AZ439" t="s">
        <v>74</v>
      </c>
      <c r="BA439" t="s">
        <v>74</v>
      </c>
      <c r="BB439" t="s">
        <v>74</v>
      </c>
      <c r="BC439" t="s">
        <v>74</v>
      </c>
      <c r="BD439">
        <v>106386</v>
      </c>
      <c r="BE439" t="s">
        <v>8020</v>
      </c>
      <c r="BF439" t="str">
        <f>HYPERLINK("http://dx.doi.org/10.1016/j.jsbmb.2023.106386","http://dx.doi.org/10.1016/j.jsbmb.2023.106386")</f>
        <v>http://dx.doi.org/10.1016/j.jsbmb.2023.106386</v>
      </c>
      <c r="BG439" t="s">
        <v>74</v>
      </c>
      <c r="BH439" t="s">
        <v>74</v>
      </c>
      <c r="BI439">
        <v>12</v>
      </c>
      <c r="BJ439" t="s">
        <v>7743</v>
      </c>
      <c r="BK439" t="s">
        <v>100</v>
      </c>
      <c r="BL439" t="s">
        <v>7743</v>
      </c>
      <c r="BM439" t="s">
        <v>8021</v>
      </c>
      <c r="BN439">
        <v>37666392</v>
      </c>
      <c r="BO439" t="s">
        <v>74</v>
      </c>
      <c r="BP439" t="s">
        <v>74</v>
      </c>
      <c r="BQ439" t="s">
        <v>74</v>
      </c>
      <c r="BR439" t="s">
        <v>104</v>
      </c>
      <c r="BS439" t="s">
        <v>8022</v>
      </c>
      <c r="BT439" t="str">
        <f>HYPERLINK("https%3A%2F%2Fwww.webofscience.com%2Fwos%2Fwoscc%2Ffull-record%2FWOS:001073885100001","View Full Record in Web of Science")</f>
        <v>View Full Record in Web of Science</v>
      </c>
    </row>
    <row r="440" spans="1:72" x14ac:dyDescent="0.15">
      <c r="A440" t="s">
        <v>72</v>
      </c>
      <c r="B440" t="s">
        <v>8023</v>
      </c>
      <c r="C440" t="s">
        <v>74</v>
      </c>
      <c r="D440" t="s">
        <v>74</v>
      </c>
      <c r="E440" t="s">
        <v>74</v>
      </c>
      <c r="F440" t="s">
        <v>8024</v>
      </c>
      <c r="G440" t="s">
        <v>74</v>
      </c>
      <c r="H440" t="s">
        <v>74</v>
      </c>
      <c r="I440" t="s">
        <v>8025</v>
      </c>
      <c r="J440" t="s">
        <v>3061</v>
      </c>
      <c r="K440" t="s">
        <v>74</v>
      </c>
      <c r="L440" t="s">
        <v>74</v>
      </c>
      <c r="M440" t="s">
        <v>78</v>
      </c>
      <c r="N440" t="s">
        <v>79</v>
      </c>
      <c r="O440" t="s">
        <v>74</v>
      </c>
      <c r="P440" t="s">
        <v>74</v>
      </c>
      <c r="Q440" t="s">
        <v>74</v>
      </c>
      <c r="R440" t="s">
        <v>74</v>
      </c>
      <c r="S440" t="s">
        <v>74</v>
      </c>
      <c r="T440" t="s">
        <v>8026</v>
      </c>
      <c r="U440" t="s">
        <v>8027</v>
      </c>
      <c r="V440" t="s">
        <v>8028</v>
      </c>
      <c r="W440" t="s">
        <v>8029</v>
      </c>
      <c r="X440" t="s">
        <v>8030</v>
      </c>
      <c r="Y440" t="s">
        <v>8031</v>
      </c>
      <c r="Z440" t="s">
        <v>8032</v>
      </c>
      <c r="AA440" t="s">
        <v>74</v>
      </c>
      <c r="AB440" t="s">
        <v>74</v>
      </c>
      <c r="AC440" t="s">
        <v>8033</v>
      </c>
      <c r="AD440" t="s">
        <v>8034</v>
      </c>
      <c r="AE440" t="s">
        <v>8035</v>
      </c>
      <c r="AF440" t="s">
        <v>74</v>
      </c>
      <c r="AG440">
        <v>50</v>
      </c>
      <c r="AH440">
        <v>0</v>
      </c>
      <c r="AI440">
        <v>0</v>
      </c>
      <c r="AJ440">
        <v>4</v>
      </c>
      <c r="AK440">
        <v>4</v>
      </c>
      <c r="AL440" t="s">
        <v>120</v>
      </c>
      <c r="AM440" t="s">
        <v>121</v>
      </c>
      <c r="AN440" t="s">
        <v>122</v>
      </c>
      <c r="AO440" t="s">
        <v>3072</v>
      </c>
      <c r="AP440" t="s">
        <v>3073</v>
      </c>
      <c r="AQ440" t="s">
        <v>74</v>
      </c>
      <c r="AR440" t="s">
        <v>3074</v>
      </c>
      <c r="AS440" t="s">
        <v>3075</v>
      </c>
      <c r="AT440" t="s">
        <v>6659</v>
      </c>
      <c r="AU440">
        <v>2023</v>
      </c>
      <c r="AV440">
        <v>349</v>
      </c>
      <c r="AW440" t="s">
        <v>74</v>
      </c>
      <c r="AX440" t="s">
        <v>74</v>
      </c>
      <c r="AY440" t="s">
        <v>74</v>
      </c>
      <c r="AZ440" t="s">
        <v>74</v>
      </c>
      <c r="BA440" t="s">
        <v>74</v>
      </c>
      <c r="BB440" t="s">
        <v>74</v>
      </c>
      <c r="BC440" t="s">
        <v>74</v>
      </c>
      <c r="BD440">
        <v>121675</v>
      </c>
      <c r="BE440" t="s">
        <v>8036</v>
      </c>
      <c r="BF440" t="str">
        <f>HYPERLINK("http://dx.doi.org/10.1016/j.apenergy.2023.121675","http://dx.doi.org/10.1016/j.apenergy.2023.121675")</f>
        <v>http://dx.doi.org/10.1016/j.apenergy.2023.121675</v>
      </c>
      <c r="BG440" t="s">
        <v>74</v>
      </c>
      <c r="BH440" t="s">
        <v>74</v>
      </c>
      <c r="BI440">
        <v>12</v>
      </c>
      <c r="BJ440" t="s">
        <v>276</v>
      </c>
      <c r="BK440" t="s">
        <v>100</v>
      </c>
      <c r="BL440" t="s">
        <v>277</v>
      </c>
      <c r="BM440" t="s">
        <v>8037</v>
      </c>
      <c r="BN440" t="s">
        <v>74</v>
      </c>
      <c r="BO440" t="s">
        <v>74</v>
      </c>
      <c r="BP440" t="s">
        <v>74</v>
      </c>
      <c r="BQ440" t="s">
        <v>74</v>
      </c>
      <c r="BR440" t="s">
        <v>104</v>
      </c>
      <c r="BS440" t="s">
        <v>8038</v>
      </c>
      <c r="BT440" t="str">
        <f>HYPERLINK("https%3A%2F%2Fwww.webofscience.com%2Fwos%2Fwoscc%2Ffull-record%2FWOS:001052698500001","View Full Record in Web of Science")</f>
        <v>View Full Record in Web of Science</v>
      </c>
    </row>
    <row r="441" spans="1:72" x14ac:dyDescent="0.15">
      <c r="A441" t="s">
        <v>72</v>
      </c>
      <c r="B441" t="s">
        <v>8039</v>
      </c>
      <c r="C441" t="s">
        <v>74</v>
      </c>
      <c r="D441" t="s">
        <v>74</v>
      </c>
      <c r="E441" t="s">
        <v>74</v>
      </c>
      <c r="F441" t="s">
        <v>8040</v>
      </c>
      <c r="G441" t="s">
        <v>74</v>
      </c>
      <c r="H441" t="s">
        <v>74</v>
      </c>
      <c r="I441" t="s">
        <v>8041</v>
      </c>
      <c r="J441" t="s">
        <v>8042</v>
      </c>
      <c r="K441" t="s">
        <v>74</v>
      </c>
      <c r="L441" t="s">
        <v>74</v>
      </c>
      <c r="M441" t="s">
        <v>78</v>
      </c>
      <c r="N441" t="s">
        <v>79</v>
      </c>
      <c r="O441" t="s">
        <v>74</v>
      </c>
      <c r="P441" t="s">
        <v>74</v>
      </c>
      <c r="Q441" t="s">
        <v>74</v>
      </c>
      <c r="R441" t="s">
        <v>74</v>
      </c>
      <c r="S441" t="s">
        <v>74</v>
      </c>
      <c r="T441" t="s">
        <v>8043</v>
      </c>
      <c r="U441" t="s">
        <v>8044</v>
      </c>
      <c r="V441" t="s">
        <v>8045</v>
      </c>
      <c r="W441" t="s">
        <v>8046</v>
      </c>
      <c r="X441" t="s">
        <v>8047</v>
      </c>
      <c r="Y441" t="s">
        <v>8048</v>
      </c>
      <c r="Z441" t="s">
        <v>8049</v>
      </c>
      <c r="AA441" t="s">
        <v>74</v>
      </c>
      <c r="AB441" t="s">
        <v>8050</v>
      </c>
      <c r="AC441" t="s">
        <v>8051</v>
      </c>
      <c r="AD441" t="s">
        <v>8052</v>
      </c>
      <c r="AE441" t="s">
        <v>8053</v>
      </c>
      <c r="AF441" t="s">
        <v>74</v>
      </c>
      <c r="AG441">
        <v>70</v>
      </c>
      <c r="AH441">
        <v>0</v>
      </c>
      <c r="AI441">
        <v>0</v>
      </c>
      <c r="AJ441">
        <v>5</v>
      </c>
      <c r="AK441">
        <v>5</v>
      </c>
      <c r="AL441" t="s">
        <v>90</v>
      </c>
      <c r="AM441" t="s">
        <v>91</v>
      </c>
      <c r="AN441" t="s">
        <v>92</v>
      </c>
      <c r="AO441" t="s">
        <v>8054</v>
      </c>
      <c r="AP441" t="s">
        <v>8055</v>
      </c>
      <c r="AQ441" t="s">
        <v>74</v>
      </c>
      <c r="AR441" t="s">
        <v>8056</v>
      </c>
      <c r="AS441" t="s">
        <v>8057</v>
      </c>
      <c r="AT441" t="s">
        <v>6659</v>
      </c>
      <c r="AU441">
        <v>2023</v>
      </c>
      <c r="AV441">
        <v>340</v>
      </c>
      <c r="AW441" t="s">
        <v>74</v>
      </c>
      <c r="AX441" t="s">
        <v>74</v>
      </c>
      <c r="AY441" t="s">
        <v>74</v>
      </c>
      <c r="AZ441" t="s">
        <v>74</v>
      </c>
      <c r="BA441" t="s">
        <v>74</v>
      </c>
      <c r="BB441">
        <v>583</v>
      </c>
      <c r="BC441">
        <v>591</v>
      </c>
      <c r="BD441" t="s">
        <v>74</v>
      </c>
      <c r="BE441" t="s">
        <v>8058</v>
      </c>
      <c r="BF441" t="str">
        <f>HYPERLINK("http://dx.doi.org/10.1016/j.jad.2023.08.081","http://dx.doi.org/10.1016/j.jad.2023.08.081")</f>
        <v>http://dx.doi.org/10.1016/j.jad.2023.08.081</v>
      </c>
      <c r="BG441" t="s">
        <v>74</v>
      </c>
      <c r="BH441" t="s">
        <v>74</v>
      </c>
      <c r="BI441">
        <v>9</v>
      </c>
      <c r="BJ441" t="s">
        <v>8059</v>
      </c>
      <c r="BK441" t="s">
        <v>666</v>
      </c>
      <c r="BL441" t="s">
        <v>8060</v>
      </c>
      <c r="BM441" t="s">
        <v>8061</v>
      </c>
      <c r="BN441">
        <v>37591351</v>
      </c>
      <c r="BO441" t="s">
        <v>74</v>
      </c>
      <c r="BP441" t="s">
        <v>74</v>
      </c>
      <c r="BQ441" t="s">
        <v>74</v>
      </c>
      <c r="BR441" t="s">
        <v>104</v>
      </c>
      <c r="BS441" t="s">
        <v>8062</v>
      </c>
      <c r="BT441" t="str">
        <f>HYPERLINK("https%3A%2F%2Fwww.webofscience.com%2Fwos%2Fwoscc%2Ffull-record%2FWOS:001064799000001","View Full Record in Web of Science")</f>
        <v>View Full Record in Web of Science</v>
      </c>
    </row>
    <row r="442" spans="1:72" x14ac:dyDescent="0.15">
      <c r="A442" t="s">
        <v>72</v>
      </c>
      <c r="B442" t="s">
        <v>8063</v>
      </c>
      <c r="C442" t="s">
        <v>74</v>
      </c>
      <c r="D442" t="s">
        <v>74</v>
      </c>
      <c r="E442" t="s">
        <v>74</v>
      </c>
      <c r="F442" t="s">
        <v>8064</v>
      </c>
      <c r="G442" t="s">
        <v>74</v>
      </c>
      <c r="H442" t="s">
        <v>74</v>
      </c>
      <c r="I442" t="s">
        <v>8065</v>
      </c>
      <c r="J442" t="s">
        <v>8066</v>
      </c>
      <c r="K442" t="s">
        <v>74</v>
      </c>
      <c r="L442" t="s">
        <v>74</v>
      </c>
      <c r="M442" t="s">
        <v>78</v>
      </c>
      <c r="N442" t="s">
        <v>510</v>
      </c>
      <c r="O442" t="s">
        <v>74</v>
      </c>
      <c r="P442" t="s">
        <v>74</v>
      </c>
      <c r="Q442" t="s">
        <v>74</v>
      </c>
      <c r="R442" t="s">
        <v>74</v>
      </c>
      <c r="S442" t="s">
        <v>74</v>
      </c>
      <c r="T442" t="s">
        <v>74</v>
      </c>
      <c r="U442" t="s">
        <v>74</v>
      </c>
      <c r="V442" t="s">
        <v>74</v>
      </c>
      <c r="W442" t="s">
        <v>8067</v>
      </c>
      <c r="X442" t="s">
        <v>8068</v>
      </c>
      <c r="Y442" t="s">
        <v>8069</v>
      </c>
      <c r="Z442" t="s">
        <v>8070</v>
      </c>
      <c r="AA442" t="s">
        <v>74</v>
      </c>
      <c r="AB442" t="s">
        <v>8071</v>
      </c>
      <c r="AC442" t="s">
        <v>74</v>
      </c>
      <c r="AD442" t="s">
        <v>74</v>
      </c>
      <c r="AE442" t="s">
        <v>74</v>
      </c>
      <c r="AF442" t="s">
        <v>74</v>
      </c>
      <c r="AG442">
        <v>5</v>
      </c>
      <c r="AH442">
        <v>0</v>
      </c>
      <c r="AI442">
        <v>0</v>
      </c>
      <c r="AJ442">
        <v>0</v>
      </c>
      <c r="AK442">
        <v>0</v>
      </c>
      <c r="AL442" t="s">
        <v>8072</v>
      </c>
      <c r="AM442" t="s">
        <v>148</v>
      </c>
      <c r="AN442" t="s">
        <v>8073</v>
      </c>
      <c r="AO442" t="s">
        <v>8074</v>
      </c>
      <c r="AP442" t="s">
        <v>8075</v>
      </c>
      <c r="AQ442" t="s">
        <v>74</v>
      </c>
      <c r="AR442" t="s">
        <v>8076</v>
      </c>
      <c r="AS442" t="s">
        <v>8077</v>
      </c>
      <c r="AT442" t="s">
        <v>6618</v>
      </c>
      <c r="AU442">
        <v>2023</v>
      </c>
      <c r="AV442">
        <v>48</v>
      </c>
      <c r="AW442">
        <v>11</v>
      </c>
      <c r="AX442" t="s">
        <v>74</v>
      </c>
      <c r="AY442" t="s">
        <v>74</v>
      </c>
      <c r="AZ442" t="s">
        <v>74</v>
      </c>
      <c r="BA442" t="s">
        <v>74</v>
      </c>
      <c r="BB442" t="s">
        <v>74</v>
      </c>
      <c r="BC442" t="s">
        <v>74</v>
      </c>
      <c r="BD442">
        <v>101971</v>
      </c>
      <c r="BE442" t="s">
        <v>8078</v>
      </c>
      <c r="BF442" t="str">
        <f>HYPERLINK("http://dx.doi.org/10.1016/j.cpcardiol.2023.101971","http://dx.doi.org/10.1016/j.cpcardiol.2023.101971")</f>
        <v>http://dx.doi.org/10.1016/j.cpcardiol.2023.101971</v>
      </c>
      <c r="BG442" t="s">
        <v>74</v>
      </c>
      <c r="BH442" t="s">
        <v>74</v>
      </c>
      <c r="BI442">
        <v>3</v>
      </c>
      <c r="BJ442" t="s">
        <v>8079</v>
      </c>
      <c r="BK442" t="s">
        <v>100</v>
      </c>
      <c r="BL442" t="s">
        <v>8080</v>
      </c>
      <c r="BM442" t="s">
        <v>8081</v>
      </c>
      <c r="BN442">
        <v>37473938</v>
      </c>
      <c r="BO442" t="s">
        <v>74</v>
      </c>
      <c r="BP442" t="s">
        <v>74</v>
      </c>
      <c r="BQ442" t="s">
        <v>74</v>
      </c>
      <c r="BR442" t="s">
        <v>104</v>
      </c>
      <c r="BS442" t="s">
        <v>8082</v>
      </c>
      <c r="BT442" t="str">
        <f>HYPERLINK("https%3A%2F%2Fwww.webofscience.com%2Fwos%2Fwoscc%2Ffull-record%2FWOS:001049946600001","View Full Record in Web of Science")</f>
        <v>View Full Record in Web of Science</v>
      </c>
    </row>
    <row r="443" spans="1:72" x14ac:dyDescent="0.15">
      <c r="A443" t="s">
        <v>72</v>
      </c>
      <c r="B443" t="s">
        <v>8083</v>
      </c>
      <c r="C443" t="s">
        <v>74</v>
      </c>
      <c r="D443" t="s">
        <v>74</v>
      </c>
      <c r="E443" t="s">
        <v>74</v>
      </c>
      <c r="F443" t="s">
        <v>8084</v>
      </c>
      <c r="G443" t="s">
        <v>74</v>
      </c>
      <c r="H443" t="s">
        <v>74</v>
      </c>
      <c r="I443" t="s">
        <v>8085</v>
      </c>
      <c r="J443" t="s">
        <v>8086</v>
      </c>
      <c r="K443" t="s">
        <v>74</v>
      </c>
      <c r="L443" t="s">
        <v>74</v>
      </c>
      <c r="M443" t="s">
        <v>78</v>
      </c>
      <c r="N443" t="s">
        <v>79</v>
      </c>
      <c r="O443" t="s">
        <v>74</v>
      </c>
      <c r="P443" t="s">
        <v>74</v>
      </c>
      <c r="Q443" t="s">
        <v>74</v>
      </c>
      <c r="R443" t="s">
        <v>74</v>
      </c>
      <c r="S443" t="s">
        <v>74</v>
      </c>
      <c r="T443" t="s">
        <v>8087</v>
      </c>
      <c r="U443" t="s">
        <v>8088</v>
      </c>
      <c r="V443" t="s">
        <v>8089</v>
      </c>
      <c r="W443" t="s">
        <v>8090</v>
      </c>
      <c r="X443" t="s">
        <v>8091</v>
      </c>
      <c r="Y443" t="s">
        <v>8092</v>
      </c>
      <c r="Z443" t="s">
        <v>8093</v>
      </c>
      <c r="AA443" t="s">
        <v>74</v>
      </c>
      <c r="AB443" t="s">
        <v>74</v>
      </c>
      <c r="AC443" t="s">
        <v>8094</v>
      </c>
      <c r="AD443" t="s">
        <v>8094</v>
      </c>
      <c r="AE443" t="s">
        <v>8095</v>
      </c>
      <c r="AF443" t="s">
        <v>74</v>
      </c>
      <c r="AG443">
        <v>36</v>
      </c>
      <c r="AH443">
        <v>0</v>
      </c>
      <c r="AI443">
        <v>0</v>
      </c>
      <c r="AJ443">
        <v>0</v>
      </c>
      <c r="AK443">
        <v>0</v>
      </c>
      <c r="AL443" t="s">
        <v>90</v>
      </c>
      <c r="AM443" t="s">
        <v>91</v>
      </c>
      <c r="AN443" t="s">
        <v>92</v>
      </c>
      <c r="AO443" t="s">
        <v>8096</v>
      </c>
      <c r="AP443" t="s">
        <v>8097</v>
      </c>
      <c r="AQ443" t="s">
        <v>74</v>
      </c>
      <c r="AR443" t="s">
        <v>8098</v>
      </c>
      <c r="AS443" t="s">
        <v>8099</v>
      </c>
      <c r="AT443" t="s">
        <v>6659</v>
      </c>
      <c r="AU443">
        <v>2023</v>
      </c>
      <c r="AV443">
        <v>429</v>
      </c>
      <c r="AW443" t="s">
        <v>74</v>
      </c>
      <c r="AX443" t="s">
        <v>74</v>
      </c>
      <c r="AY443" t="s">
        <v>74</v>
      </c>
      <c r="AZ443" t="s">
        <v>74</v>
      </c>
      <c r="BA443" t="s">
        <v>74</v>
      </c>
      <c r="BB443" t="s">
        <v>74</v>
      </c>
      <c r="BC443" t="s">
        <v>74</v>
      </c>
      <c r="BD443">
        <v>118936</v>
      </c>
      <c r="BE443" t="s">
        <v>8100</v>
      </c>
      <c r="BF443" t="str">
        <f>HYPERLINK("http://dx.doi.org/10.1016/j.powtec.2023.118936","http://dx.doi.org/10.1016/j.powtec.2023.118936")</f>
        <v>http://dx.doi.org/10.1016/j.powtec.2023.118936</v>
      </c>
      <c r="BG443" t="s">
        <v>74</v>
      </c>
      <c r="BH443" t="s">
        <v>74</v>
      </c>
      <c r="BI443">
        <v>24</v>
      </c>
      <c r="BJ443" t="s">
        <v>1603</v>
      </c>
      <c r="BK443" t="s">
        <v>100</v>
      </c>
      <c r="BL443" t="s">
        <v>873</v>
      </c>
      <c r="BM443" t="s">
        <v>8101</v>
      </c>
      <c r="BN443" t="s">
        <v>74</v>
      </c>
      <c r="BO443" t="s">
        <v>74</v>
      </c>
      <c r="BP443" t="s">
        <v>74</v>
      </c>
      <c r="BQ443" t="s">
        <v>74</v>
      </c>
      <c r="BR443" t="s">
        <v>104</v>
      </c>
      <c r="BS443" t="s">
        <v>8102</v>
      </c>
      <c r="BT443" t="str">
        <f>HYPERLINK("https%3A%2F%2Fwww.webofscience.com%2Fwos%2Fwoscc%2Ffull-record%2FWOS:001073135200001","View Full Record in Web of Science")</f>
        <v>View Full Record in Web of Science</v>
      </c>
    </row>
    <row r="444" spans="1:72" x14ac:dyDescent="0.15">
      <c r="A444" t="s">
        <v>72</v>
      </c>
      <c r="B444" t="s">
        <v>8103</v>
      </c>
      <c r="C444" t="s">
        <v>74</v>
      </c>
      <c r="D444" t="s">
        <v>74</v>
      </c>
      <c r="E444" t="s">
        <v>74</v>
      </c>
      <c r="F444" t="s">
        <v>8104</v>
      </c>
      <c r="G444" t="s">
        <v>74</v>
      </c>
      <c r="H444" t="s">
        <v>74</v>
      </c>
      <c r="I444" t="s">
        <v>8105</v>
      </c>
      <c r="J444" t="s">
        <v>1017</v>
      </c>
      <c r="K444" t="s">
        <v>74</v>
      </c>
      <c r="L444" t="s">
        <v>74</v>
      </c>
      <c r="M444" t="s">
        <v>78</v>
      </c>
      <c r="N444" t="s">
        <v>79</v>
      </c>
      <c r="O444" t="s">
        <v>74</v>
      </c>
      <c r="P444" t="s">
        <v>74</v>
      </c>
      <c r="Q444" t="s">
        <v>74</v>
      </c>
      <c r="R444" t="s">
        <v>74</v>
      </c>
      <c r="S444" t="s">
        <v>74</v>
      </c>
      <c r="T444" t="s">
        <v>8106</v>
      </c>
      <c r="U444" t="s">
        <v>8107</v>
      </c>
      <c r="V444" t="s">
        <v>8108</v>
      </c>
      <c r="W444" t="s">
        <v>8109</v>
      </c>
      <c r="X444" t="s">
        <v>8110</v>
      </c>
      <c r="Y444" t="s">
        <v>8111</v>
      </c>
      <c r="Z444" t="s">
        <v>8112</v>
      </c>
      <c r="AA444" t="s">
        <v>8113</v>
      </c>
      <c r="AB444" t="s">
        <v>8114</v>
      </c>
      <c r="AC444" t="s">
        <v>8115</v>
      </c>
      <c r="AD444" t="s">
        <v>2421</v>
      </c>
      <c r="AE444" t="s">
        <v>8116</v>
      </c>
      <c r="AF444" t="s">
        <v>74</v>
      </c>
      <c r="AG444">
        <v>28</v>
      </c>
      <c r="AH444">
        <v>0</v>
      </c>
      <c r="AI444">
        <v>0</v>
      </c>
      <c r="AJ444">
        <v>3</v>
      </c>
      <c r="AK444">
        <v>3</v>
      </c>
      <c r="AL444" t="s">
        <v>120</v>
      </c>
      <c r="AM444" t="s">
        <v>121</v>
      </c>
      <c r="AN444" t="s">
        <v>122</v>
      </c>
      <c r="AO444" t="s">
        <v>1029</v>
      </c>
      <c r="AP444" t="s">
        <v>1030</v>
      </c>
      <c r="AQ444" t="s">
        <v>74</v>
      </c>
      <c r="AR444" t="s">
        <v>1017</v>
      </c>
      <c r="AS444" t="s">
        <v>1031</v>
      </c>
      <c r="AT444" t="s">
        <v>6618</v>
      </c>
      <c r="AU444">
        <v>2023</v>
      </c>
      <c r="AV444">
        <v>153</v>
      </c>
      <c r="AW444" t="s">
        <v>74</v>
      </c>
      <c r="AX444" t="s">
        <v>74</v>
      </c>
      <c r="AY444" t="s">
        <v>74</v>
      </c>
      <c r="AZ444" t="s">
        <v>74</v>
      </c>
      <c r="BA444" t="s">
        <v>74</v>
      </c>
      <c r="BB444" t="s">
        <v>74</v>
      </c>
      <c r="BC444" t="s">
        <v>74</v>
      </c>
      <c r="BD444">
        <v>109942</v>
      </c>
      <c r="BE444" t="s">
        <v>8117</v>
      </c>
      <c r="BF444" t="str">
        <f>HYPERLINK("http://dx.doi.org/10.1016/j.foodcont.2023.109942","http://dx.doi.org/10.1016/j.foodcont.2023.109942")</f>
        <v>http://dx.doi.org/10.1016/j.foodcont.2023.109942</v>
      </c>
      <c r="BG444" t="s">
        <v>74</v>
      </c>
      <c r="BH444" t="s">
        <v>74</v>
      </c>
      <c r="BI444">
        <v>7</v>
      </c>
      <c r="BJ444" t="s">
        <v>1033</v>
      </c>
      <c r="BK444" t="s">
        <v>100</v>
      </c>
      <c r="BL444" t="s">
        <v>1033</v>
      </c>
      <c r="BM444" t="s">
        <v>8118</v>
      </c>
      <c r="BN444" t="s">
        <v>74</v>
      </c>
      <c r="BO444" t="s">
        <v>74</v>
      </c>
      <c r="BP444" t="s">
        <v>74</v>
      </c>
      <c r="BQ444" t="s">
        <v>74</v>
      </c>
      <c r="BR444" t="s">
        <v>104</v>
      </c>
      <c r="BS444" t="s">
        <v>8119</v>
      </c>
      <c r="BT444" t="str">
        <f>HYPERLINK("https%3A%2F%2Fwww.webofscience.com%2Fwos%2Fwoscc%2Ffull-record%2FWOS:001058229700001","View Full Record in Web of Science")</f>
        <v>View Full Record in Web of Science</v>
      </c>
    </row>
    <row r="445" spans="1:72" x14ac:dyDescent="0.15">
      <c r="A445" t="s">
        <v>72</v>
      </c>
      <c r="B445" t="s">
        <v>8120</v>
      </c>
      <c r="C445" t="s">
        <v>74</v>
      </c>
      <c r="D445" t="s">
        <v>74</v>
      </c>
      <c r="E445" t="s">
        <v>74</v>
      </c>
      <c r="F445" t="s">
        <v>8121</v>
      </c>
      <c r="G445" t="s">
        <v>74</v>
      </c>
      <c r="H445" t="s">
        <v>74</v>
      </c>
      <c r="I445" t="s">
        <v>8122</v>
      </c>
      <c r="J445" t="s">
        <v>7193</v>
      </c>
      <c r="K445" t="s">
        <v>74</v>
      </c>
      <c r="L445" t="s">
        <v>74</v>
      </c>
      <c r="M445" t="s">
        <v>78</v>
      </c>
      <c r="N445" t="s">
        <v>79</v>
      </c>
      <c r="O445" t="s">
        <v>74</v>
      </c>
      <c r="P445" t="s">
        <v>74</v>
      </c>
      <c r="Q445" t="s">
        <v>74</v>
      </c>
      <c r="R445" t="s">
        <v>74</v>
      </c>
      <c r="S445" t="s">
        <v>74</v>
      </c>
      <c r="T445" t="s">
        <v>8123</v>
      </c>
      <c r="U445" t="s">
        <v>8124</v>
      </c>
      <c r="V445" t="s">
        <v>8125</v>
      </c>
      <c r="W445" t="s">
        <v>8126</v>
      </c>
      <c r="X445" t="s">
        <v>8127</v>
      </c>
      <c r="Y445" t="s">
        <v>8128</v>
      </c>
      <c r="Z445" t="s">
        <v>8129</v>
      </c>
      <c r="AA445" t="s">
        <v>74</v>
      </c>
      <c r="AB445" t="s">
        <v>74</v>
      </c>
      <c r="AC445" t="s">
        <v>8130</v>
      </c>
      <c r="AD445" t="s">
        <v>252</v>
      </c>
      <c r="AE445" t="s">
        <v>8131</v>
      </c>
      <c r="AF445" t="s">
        <v>74</v>
      </c>
      <c r="AG445">
        <v>65</v>
      </c>
      <c r="AH445">
        <v>0</v>
      </c>
      <c r="AI445">
        <v>0</v>
      </c>
      <c r="AJ445">
        <v>6</v>
      </c>
      <c r="AK445">
        <v>6</v>
      </c>
      <c r="AL445" t="s">
        <v>90</v>
      </c>
      <c r="AM445" t="s">
        <v>91</v>
      </c>
      <c r="AN445" t="s">
        <v>92</v>
      </c>
      <c r="AO445" t="s">
        <v>7205</v>
      </c>
      <c r="AP445" t="s">
        <v>74</v>
      </c>
      <c r="AQ445" t="s">
        <v>74</v>
      </c>
      <c r="AR445" t="s">
        <v>7206</v>
      </c>
      <c r="AS445" t="s">
        <v>7207</v>
      </c>
      <c r="AT445" t="s">
        <v>6618</v>
      </c>
      <c r="AU445">
        <v>2023</v>
      </c>
      <c r="AV445">
        <v>32</v>
      </c>
      <c r="AW445" t="s">
        <v>74</v>
      </c>
      <c r="AX445" t="s">
        <v>74</v>
      </c>
      <c r="AY445" t="s">
        <v>74</v>
      </c>
      <c r="AZ445" t="s">
        <v>74</v>
      </c>
      <c r="BA445" t="s">
        <v>74</v>
      </c>
      <c r="BB445" t="s">
        <v>74</v>
      </c>
      <c r="BC445" t="s">
        <v>74</v>
      </c>
      <c r="BD445">
        <v>103294</v>
      </c>
      <c r="BE445" t="s">
        <v>8132</v>
      </c>
      <c r="BF445" t="str">
        <f>HYPERLINK("http://dx.doi.org/10.1016/j.eti.2023.103294","http://dx.doi.org/10.1016/j.eti.2023.103294")</f>
        <v>http://dx.doi.org/10.1016/j.eti.2023.103294</v>
      </c>
      <c r="BG445" t="s">
        <v>74</v>
      </c>
      <c r="BH445" t="s">
        <v>74</v>
      </c>
      <c r="BI445">
        <v>11</v>
      </c>
      <c r="BJ445" t="s">
        <v>7209</v>
      </c>
      <c r="BK445" t="s">
        <v>100</v>
      </c>
      <c r="BL445" t="s">
        <v>7210</v>
      </c>
      <c r="BM445" t="s">
        <v>8133</v>
      </c>
      <c r="BN445" t="s">
        <v>74</v>
      </c>
      <c r="BO445" t="s">
        <v>295</v>
      </c>
      <c r="BP445" t="s">
        <v>74</v>
      </c>
      <c r="BQ445" t="s">
        <v>74</v>
      </c>
      <c r="BR445" t="s">
        <v>104</v>
      </c>
      <c r="BS445" t="s">
        <v>8134</v>
      </c>
      <c r="BT445" t="str">
        <f>HYPERLINK("https%3A%2F%2Fwww.webofscience.com%2Fwos%2Fwoscc%2Ffull-record%2FWOS:001051682300001","View Full Record in Web of Science")</f>
        <v>View Full Record in Web of Science</v>
      </c>
    </row>
    <row r="446" spans="1:72" x14ac:dyDescent="0.15">
      <c r="A446" t="s">
        <v>72</v>
      </c>
      <c r="B446" t="s">
        <v>8135</v>
      </c>
      <c r="C446" t="s">
        <v>74</v>
      </c>
      <c r="D446" t="s">
        <v>74</v>
      </c>
      <c r="E446" t="s">
        <v>74</v>
      </c>
      <c r="F446" t="s">
        <v>8136</v>
      </c>
      <c r="G446" t="s">
        <v>74</v>
      </c>
      <c r="H446" t="s">
        <v>74</v>
      </c>
      <c r="I446" t="s">
        <v>8137</v>
      </c>
      <c r="J446" t="s">
        <v>8138</v>
      </c>
      <c r="K446" t="s">
        <v>74</v>
      </c>
      <c r="L446" t="s">
        <v>74</v>
      </c>
      <c r="M446" t="s">
        <v>78</v>
      </c>
      <c r="N446" t="s">
        <v>79</v>
      </c>
      <c r="O446" t="s">
        <v>74</v>
      </c>
      <c r="P446" t="s">
        <v>74</v>
      </c>
      <c r="Q446" t="s">
        <v>74</v>
      </c>
      <c r="R446" t="s">
        <v>74</v>
      </c>
      <c r="S446" t="s">
        <v>74</v>
      </c>
      <c r="T446" t="s">
        <v>8139</v>
      </c>
      <c r="U446" t="s">
        <v>8140</v>
      </c>
      <c r="V446" t="s">
        <v>8141</v>
      </c>
      <c r="W446" t="s">
        <v>8142</v>
      </c>
      <c r="X446" t="s">
        <v>8143</v>
      </c>
      <c r="Y446" t="s">
        <v>8144</v>
      </c>
      <c r="Z446" t="s">
        <v>8145</v>
      </c>
      <c r="AA446" t="s">
        <v>8146</v>
      </c>
      <c r="AB446" t="s">
        <v>8147</v>
      </c>
      <c r="AC446" t="s">
        <v>8148</v>
      </c>
      <c r="AD446" t="s">
        <v>8149</v>
      </c>
      <c r="AE446" t="s">
        <v>8150</v>
      </c>
      <c r="AF446" t="s">
        <v>74</v>
      </c>
      <c r="AG446">
        <v>46</v>
      </c>
      <c r="AH446">
        <v>0</v>
      </c>
      <c r="AI446">
        <v>0</v>
      </c>
      <c r="AJ446">
        <v>0</v>
      </c>
      <c r="AK446">
        <v>0</v>
      </c>
      <c r="AL446" t="s">
        <v>173</v>
      </c>
      <c r="AM446" t="s">
        <v>121</v>
      </c>
      <c r="AN446" t="s">
        <v>174</v>
      </c>
      <c r="AO446" t="s">
        <v>8151</v>
      </c>
      <c r="AP446" t="s">
        <v>8152</v>
      </c>
      <c r="AQ446" t="s">
        <v>74</v>
      </c>
      <c r="AR446" t="s">
        <v>8153</v>
      </c>
      <c r="AS446" t="s">
        <v>8154</v>
      </c>
      <c r="AT446" t="s">
        <v>6659</v>
      </c>
      <c r="AU446">
        <v>2023</v>
      </c>
      <c r="AV446">
        <v>192</v>
      </c>
      <c r="AW446" t="s">
        <v>74</v>
      </c>
      <c r="AX446" t="s">
        <v>74</v>
      </c>
      <c r="AY446" t="s">
        <v>74</v>
      </c>
      <c r="AZ446" t="s">
        <v>74</v>
      </c>
      <c r="BA446" t="s">
        <v>74</v>
      </c>
      <c r="BB446" t="s">
        <v>74</v>
      </c>
      <c r="BC446" t="s">
        <v>74</v>
      </c>
      <c r="BD446">
        <v>103937</v>
      </c>
      <c r="BE446" t="s">
        <v>8155</v>
      </c>
      <c r="BF446" t="str">
        <f>HYPERLINK("http://dx.doi.org/10.1016/j.ijengsci.2023.103937","http://dx.doi.org/10.1016/j.ijengsci.2023.103937")</f>
        <v>http://dx.doi.org/10.1016/j.ijengsci.2023.103937</v>
      </c>
      <c r="BG446" t="s">
        <v>74</v>
      </c>
      <c r="BH446" t="s">
        <v>74</v>
      </c>
      <c r="BI446">
        <v>14</v>
      </c>
      <c r="BJ446" t="s">
        <v>8156</v>
      </c>
      <c r="BK446" t="s">
        <v>100</v>
      </c>
      <c r="BL446" t="s">
        <v>873</v>
      </c>
      <c r="BM446" t="s">
        <v>8157</v>
      </c>
      <c r="BN446" t="s">
        <v>74</v>
      </c>
      <c r="BO446" t="s">
        <v>74</v>
      </c>
      <c r="BP446" t="s">
        <v>74</v>
      </c>
      <c r="BQ446" t="s">
        <v>74</v>
      </c>
      <c r="BR446" t="s">
        <v>104</v>
      </c>
      <c r="BS446" t="s">
        <v>8158</v>
      </c>
      <c r="BT446" t="str">
        <f>HYPERLINK("https%3A%2F%2Fwww.webofscience.com%2Fwos%2Fwoscc%2Ffull-record%2FWOS:001059487000001","View Full Record in Web of Science")</f>
        <v>View Full Record in Web of Science</v>
      </c>
    </row>
    <row r="447" spans="1:72" x14ac:dyDescent="0.15">
      <c r="A447" t="s">
        <v>72</v>
      </c>
      <c r="B447" t="s">
        <v>8159</v>
      </c>
      <c r="C447" t="s">
        <v>74</v>
      </c>
      <c r="D447" t="s">
        <v>74</v>
      </c>
      <c r="E447" t="s">
        <v>74</v>
      </c>
      <c r="F447" t="s">
        <v>8160</v>
      </c>
      <c r="G447" t="s">
        <v>74</v>
      </c>
      <c r="H447" t="s">
        <v>74</v>
      </c>
      <c r="I447" t="s">
        <v>8161</v>
      </c>
      <c r="J447" t="s">
        <v>6790</v>
      </c>
      <c r="K447" t="s">
        <v>74</v>
      </c>
      <c r="L447" t="s">
        <v>74</v>
      </c>
      <c r="M447" t="s">
        <v>78</v>
      </c>
      <c r="N447" t="s">
        <v>79</v>
      </c>
      <c r="O447" t="s">
        <v>74</v>
      </c>
      <c r="P447" t="s">
        <v>74</v>
      </c>
      <c r="Q447" t="s">
        <v>74</v>
      </c>
      <c r="R447" t="s">
        <v>74</v>
      </c>
      <c r="S447" t="s">
        <v>74</v>
      </c>
      <c r="T447" t="s">
        <v>8162</v>
      </c>
      <c r="U447" t="s">
        <v>8163</v>
      </c>
      <c r="V447" t="s">
        <v>8164</v>
      </c>
      <c r="W447" t="s">
        <v>8165</v>
      </c>
      <c r="X447" t="s">
        <v>8166</v>
      </c>
      <c r="Y447" t="s">
        <v>8167</v>
      </c>
      <c r="Z447" t="s">
        <v>8168</v>
      </c>
      <c r="AA447" t="s">
        <v>74</v>
      </c>
      <c r="AB447" t="s">
        <v>74</v>
      </c>
      <c r="AC447" t="s">
        <v>8169</v>
      </c>
      <c r="AD447" t="s">
        <v>252</v>
      </c>
      <c r="AE447" t="s">
        <v>8170</v>
      </c>
      <c r="AF447" t="s">
        <v>74</v>
      </c>
      <c r="AG447">
        <v>37</v>
      </c>
      <c r="AH447">
        <v>0</v>
      </c>
      <c r="AI447">
        <v>0</v>
      </c>
      <c r="AJ447">
        <v>0</v>
      </c>
      <c r="AK447">
        <v>0</v>
      </c>
      <c r="AL447" t="s">
        <v>147</v>
      </c>
      <c r="AM447" t="s">
        <v>148</v>
      </c>
      <c r="AN447" t="s">
        <v>149</v>
      </c>
      <c r="AO447" t="s">
        <v>6798</v>
      </c>
      <c r="AP447" t="s">
        <v>74</v>
      </c>
      <c r="AQ447" t="s">
        <v>74</v>
      </c>
      <c r="AR447" t="s">
        <v>6790</v>
      </c>
      <c r="AS447" t="s">
        <v>6799</v>
      </c>
      <c r="AT447" t="s">
        <v>6618</v>
      </c>
      <c r="AU447">
        <v>2023</v>
      </c>
      <c r="AV447">
        <v>57</v>
      </c>
      <c r="AW447" t="s">
        <v>74</v>
      </c>
      <c r="AX447" t="s">
        <v>74</v>
      </c>
      <c r="AY447" t="s">
        <v>74</v>
      </c>
      <c r="AZ447" t="s">
        <v>74</v>
      </c>
      <c r="BA447" t="s">
        <v>74</v>
      </c>
      <c r="BB447" t="s">
        <v>74</v>
      </c>
      <c r="BC447" t="s">
        <v>74</v>
      </c>
      <c r="BD447">
        <v>105027</v>
      </c>
      <c r="BE447" t="s">
        <v>8171</v>
      </c>
      <c r="BF447" t="str">
        <f>HYPERLINK("http://dx.doi.org/10.1016/j.istruc.2023.105027","http://dx.doi.org/10.1016/j.istruc.2023.105027")</f>
        <v>http://dx.doi.org/10.1016/j.istruc.2023.105027</v>
      </c>
      <c r="BG447" t="s">
        <v>74</v>
      </c>
      <c r="BH447" t="s">
        <v>74</v>
      </c>
      <c r="BI447">
        <v>15</v>
      </c>
      <c r="BJ447" t="s">
        <v>5547</v>
      </c>
      <c r="BK447" t="s">
        <v>100</v>
      </c>
      <c r="BL447" t="s">
        <v>873</v>
      </c>
      <c r="BM447" t="s">
        <v>8172</v>
      </c>
      <c r="BN447" t="s">
        <v>74</v>
      </c>
      <c r="BO447" t="s">
        <v>74</v>
      </c>
      <c r="BP447" t="s">
        <v>74</v>
      </c>
      <c r="BQ447" t="s">
        <v>74</v>
      </c>
      <c r="BR447" t="s">
        <v>104</v>
      </c>
      <c r="BS447" t="s">
        <v>8173</v>
      </c>
      <c r="BT447" t="str">
        <f>HYPERLINK("https%3A%2F%2Fwww.webofscience.com%2Fwos%2Fwoscc%2Ffull-record%2FWOS:001070616500001","View Full Record in Web of Science")</f>
        <v>View Full Record in Web of Science</v>
      </c>
    </row>
    <row r="448" spans="1:72" x14ac:dyDescent="0.15">
      <c r="A448" t="s">
        <v>72</v>
      </c>
      <c r="B448" t="s">
        <v>8174</v>
      </c>
      <c r="C448" t="s">
        <v>74</v>
      </c>
      <c r="D448" t="s">
        <v>74</v>
      </c>
      <c r="E448" t="s">
        <v>74</v>
      </c>
      <c r="F448" t="s">
        <v>8175</v>
      </c>
      <c r="G448" t="s">
        <v>74</v>
      </c>
      <c r="H448" t="s">
        <v>74</v>
      </c>
      <c r="I448" t="s">
        <v>8176</v>
      </c>
      <c r="J448" t="s">
        <v>8177</v>
      </c>
      <c r="K448" t="s">
        <v>74</v>
      </c>
      <c r="L448" t="s">
        <v>74</v>
      </c>
      <c r="M448" t="s">
        <v>78</v>
      </c>
      <c r="N448" t="s">
        <v>79</v>
      </c>
      <c r="O448" t="s">
        <v>74</v>
      </c>
      <c r="P448" t="s">
        <v>74</v>
      </c>
      <c r="Q448" t="s">
        <v>74</v>
      </c>
      <c r="R448" t="s">
        <v>74</v>
      </c>
      <c r="S448" t="s">
        <v>74</v>
      </c>
      <c r="T448" t="s">
        <v>8178</v>
      </c>
      <c r="U448" t="s">
        <v>8179</v>
      </c>
      <c r="V448" t="s">
        <v>8180</v>
      </c>
      <c r="W448" t="s">
        <v>8181</v>
      </c>
      <c r="X448" t="s">
        <v>8182</v>
      </c>
      <c r="Y448" t="s">
        <v>8183</v>
      </c>
      <c r="Z448" t="s">
        <v>8184</v>
      </c>
      <c r="AA448" t="s">
        <v>8185</v>
      </c>
      <c r="AB448" t="s">
        <v>8186</v>
      </c>
      <c r="AC448" t="s">
        <v>8187</v>
      </c>
      <c r="AD448" t="s">
        <v>8188</v>
      </c>
      <c r="AE448" t="s">
        <v>8189</v>
      </c>
      <c r="AF448" t="s">
        <v>74</v>
      </c>
      <c r="AG448">
        <v>88</v>
      </c>
      <c r="AH448">
        <v>0</v>
      </c>
      <c r="AI448">
        <v>0</v>
      </c>
      <c r="AJ448">
        <v>11</v>
      </c>
      <c r="AK448">
        <v>11</v>
      </c>
      <c r="AL448" t="s">
        <v>90</v>
      </c>
      <c r="AM448" t="s">
        <v>91</v>
      </c>
      <c r="AN448" t="s">
        <v>92</v>
      </c>
      <c r="AO448" t="s">
        <v>8190</v>
      </c>
      <c r="AP448" t="s">
        <v>8191</v>
      </c>
      <c r="AQ448" t="s">
        <v>74</v>
      </c>
      <c r="AR448" t="s">
        <v>8192</v>
      </c>
      <c r="AS448" t="s">
        <v>8193</v>
      </c>
      <c r="AT448" t="s">
        <v>6618</v>
      </c>
      <c r="AU448">
        <v>2023</v>
      </c>
      <c r="AV448">
        <v>77</v>
      </c>
      <c r="AW448" t="s">
        <v>74</v>
      </c>
      <c r="AX448" t="s">
        <v>74</v>
      </c>
      <c r="AY448" t="s">
        <v>74</v>
      </c>
      <c r="AZ448" t="s">
        <v>74</v>
      </c>
      <c r="BA448" t="s">
        <v>74</v>
      </c>
      <c r="BB448" t="s">
        <v>74</v>
      </c>
      <c r="BC448" t="s">
        <v>74</v>
      </c>
      <c r="BD448">
        <v>102194</v>
      </c>
      <c r="BE448" t="s">
        <v>8194</v>
      </c>
      <c r="BF448" t="str">
        <f>HYPERLINK("http://dx.doi.org/10.1016/j.ecoinf.2023.102194","http://dx.doi.org/10.1016/j.ecoinf.2023.102194")</f>
        <v>http://dx.doi.org/10.1016/j.ecoinf.2023.102194</v>
      </c>
      <c r="BG448" t="s">
        <v>74</v>
      </c>
      <c r="BH448" t="s">
        <v>74</v>
      </c>
      <c r="BI448">
        <v>12</v>
      </c>
      <c r="BJ448" t="s">
        <v>7766</v>
      </c>
      <c r="BK448" t="s">
        <v>100</v>
      </c>
      <c r="BL448" t="s">
        <v>1540</v>
      </c>
      <c r="BM448" t="s">
        <v>8195</v>
      </c>
      <c r="BN448" t="s">
        <v>74</v>
      </c>
      <c r="BO448" t="s">
        <v>74</v>
      </c>
      <c r="BP448" t="s">
        <v>74</v>
      </c>
      <c r="BQ448" t="s">
        <v>74</v>
      </c>
      <c r="BR448" t="s">
        <v>104</v>
      </c>
      <c r="BS448" t="s">
        <v>8196</v>
      </c>
      <c r="BT448" t="str">
        <f>HYPERLINK("https%3A%2F%2Fwww.webofscience.com%2Fwos%2Fwoscc%2Ffull-record%2FWOS:001043668100001","View Full Record in Web of Science")</f>
        <v>View Full Record in Web of Science</v>
      </c>
    </row>
    <row r="449" spans="1:72" x14ac:dyDescent="0.15">
      <c r="A449" t="s">
        <v>72</v>
      </c>
      <c r="B449" t="s">
        <v>8197</v>
      </c>
      <c r="C449" t="s">
        <v>74</v>
      </c>
      <c r="D449" t="s">
        <v>74</v>
      </c>
      <c r="E449" t="s">
        <v>74</v>
      </c>
      <c r="F449" t="s">
        <v>8198</v>
      </c>
      <c r="G449" t="s">
        <v>74</v>
      </c>
      <c r="H449" t="s">
        <v>74</v>
      </c>
      <c r="I449" t="s">
        <v>8199</v>
      </c>
      <c r="J449" t="s">
        <v>8200</v>
      </c>
      <c r="K449" t="s">
        <v>74</v>
      </c>
      <c r="L449" t="s">
        <v>74</v>
      </c>
      <c r="M449" t="s">
        <v>78</v>
      </c>
      <c r="N449" t="s">
        <v>79</v>
      </c>
      <c r="O449" t="s">
        <v>74</v>
      </c>
      <c r="P449" t="s">
        <v>74</v>
      </c>
      <c r="Q449" t="s">
        <v>74</v>
      </c>
      <c r="R449" t="s">
        <v>74</v>
      </c>
      <c r="S449" t="s">
        <v>74</v>
      </c>
      <c r="T449" t="s">
        <v>8201</v>
      </c>
      <c r="U449" t="s">
        <v>8202</v>
      </c>
      <c r="V449" t="s">
        <v>8203</v>
      </c>
      <c r="W449" t="s">
        <v>8204</v>
      </c>
      <c r="X449" t="s">
        <v>8205</v>
      </c>
      <c r="Y449" t="s">
        <v>8206</v>
      </c>
      <c r="Z449" t="s">
        <v>8207</v>
      </c>
      <c r="AA449" t="s">
        <v>74</v>
      </c>
      <c r="AB449" t="s">
        <v>8208</v>
      </c>
      <c r="AC449" t="s">
        <v>8209</v>
      </c>
      <c r="AD449" t="s">
        <v>8210</v>
      </c>
      <c r="AE449" t="s">
        <v>8211</v>
      </c>
      <c r="AF449" t="s">
        <v>74</v>
      </c>
      <c r="AG449">
        <v>29</v>
      </c>
      <c r="AH449">
        <v>0</v>
      </c>
      <c r="AI449">
        <v>0</v>
      </c>
      <c r="AJ449">
        <v>1</v>
      </c>
      <c r="AK449">
        <v>1</v>
      </c>
      <c r="AL449" t="s">
        <v>173</v>
      </c>
      <c r="AM449" t="s">
        <v>121</v>
      </c>
      <c r="AN449" t="s">
        <v>174</v>
      </c>
      <c r="AO449" t="s">
        <v>8212</v>
      </c>
      <c r="AP449" t="s">
        <v>8213</v>
      </c>
      <c r="AQ449" t="s">
        <v>74</v>
      </c>
      <c r="AR449" t="s">
        <v>8214</v>
      </c>
      <c r="AS449" t="s">
        <v>8215</v>
      </c>
      <c r="AT449" t="s">
        <v>6618</v>
      </c>
      <c r="AU449">
        <v>2023</v>
      </c>
      <c r="AV449">
        <v>212</v>
      </c>
      <c r="AW449" t="s">
        <v>74</v>
      </c>
      <c r="AX449" t="s">
        <v>74</v>
      </c>
      <c r="AY449" t="s">
        <v>74</v>
      </c>
      <c r="AZ449" t="s">
        <v>74</v>
      </c>
      <c r="BA449" t="s">
        <v>74</v>
      </c>
      <c r="BB449" t="s">
        <v>74</v>
      </c>
      <c r="BC449" t="s">
        <v>74</v>
      </c>
      <c r="BD449">
        <v>111163</v>
      </c>
      <c r="BE449" t="s">
        <v>8216</v>
      </c>
      <c r="BF449" t="str">
        <f>HYPERLINK("http://dx.doi.org/10.1016/j.radphyschem.2023.111163","http://dx.doi.org/10.1016/j.radphyschem.2023.111163")</f>
        <v>http://dx.doi.org/10.1016/j.radphyschem.2023.111163</v>
      </c>
      <c r="BG449" t="s">
        <v>74</v>
      </c>
      <c r="BH449" t="s">
        <v>74</v>
      </c>
      <c r="BI449">
        <v>6</v>
      </c>
      <c r="BJ449" t="s">
        <v>8217</v>
      </c>
      <c r="BK449" t="s">
        <v>100</v>
      </c>
      <c r="BL449" t="s">
        <v>8218</v>
      </c>
      <c r="BM449" t="s">
        <v>8219</v>
      </c>
      <c r="BN449" t="s">
        <v>74</v>
      </c>
      <c r="BO449" t="s">
        <v>74</v>
      </c>
      <c r="BP449" t="s">
        <v>74</v>
      </c>
      <c r="BQ449" t="s">
        <v>74</v>
      </c>
      <c r="BR449" t="s">
        <v>104</v>
      </c>
      <c r="BS449" t="s">
        <v>8220</v>
      </c>
      <c r="BT449" t="str">
        <f>HYPERLINK("https%3A%2F%2Fwww.webofscience.com%2Fwos%2Fwoscc%2Ffull-record%2FWOS:001048685100001","View Full Record in Web of Science")</f>
        <v>View Full Record in Web of Science</v>
      </c>
    </row>
    <row r="450" spans="1:72" x14ac:dyDescent="0.15">
      <c r="A450" t="s">
        <v>72</v>
      </c>
      <c r="B450" t="s">
        <v>8221</v>
      </c>
      <c r="C450" t="s">
        <v>74</v>
      </c>
      <c r="D450" t="s">
        <v>74</v>
      </c>
      <c r="E450" t="s">
        <v>74</v>
      </c>
      <c r="F450" t="s">
        <v>8222</v>
      </c>
      <c r="G450" t="s">
        <v>74</v>
      </c>
      <c r="H450" t="s">
        <v>74</v>
      </c>
      <c r="I450" t="s">
        <v>8223</v>
      </c>
      <c r="J450" t="s">
        <v>8224</v>
      </c>
      <c r="K450" t="s">
        <v>74</v>
      </c>
      <c r="L450" t="s">
        <v>74</v>
      </c>
      <c r="M450" t="s">
        <v>78</v>
      </c>
      <c r="N450" t="s">
        <v>241</v>
      </c>
      <c r="O450" t="s">
        <v>74</v>
      </c>
      <c r="P450" t="s">
        <v>74</v>
      </c>
      <c r="Q450" t="s">
        <v>74</v>
      </c>
      <c r="R450" t="s">
        <v>74</v>
      </c>
      <c r="S450" t="s">
        <v>74</v>
      </c>
      <c r="T450" t="s">
        <v>8225</v>
      </c>
      <c r="U450" t="s">
        <v>8226</v>
      </c>
      <c r="V450" t="s">
        <v>8227</v>
      </c>
      <c r="W450" t="s">
        <v>8228</v>
      </c>
      <c r="X450" t="s">
        <v>74</v>
      </c>
      <c r="Y450" t="s">
        <v>8229</v>
      </c>
      <c r="Z450" t="s">
        <v>8230</v>
      </c>
      <c r="AA450" t="s">
        <v>8231</v>
      </c>
      <c r="AB450" t="s">
        <v>8232</v>
      </c>
      <c r="AC450" t="s">
        <v>8233</v>
      </c>
      <c r="AD450" t="s">
        <v>8233</v>
      </c>
      <c r="AE450" t="s">
        <v>8234</v>
      </c>
      <c r="AF450" t="s">
        <v>74</v>
      </c>
      <c r="AG450">
        <v>184</v>
      </c>
      <c r="AH450">
        <v>0</v>
      </c>
      <c r="AI450">
        <v>0</v>
      </c>
      <c r="AJ450">
        <v>1</v>
      </c>
      <c r="AK450">
        <v>1</v>
      </c>
      <c r="AL450" t="s">
        <v>90</v>
      </c>
      <c r="AM450" t="s">
        <v>91</v>
      </c>
      <c r="AN450" t="s">
        <v>92</v>
      </c>
      <c r="AO450" t="s">
        <v>8235</v>
      </c>
      <c r="AP450" t="s">
        <v>8236</v>
      </c>
      <c r="AQ450" t="s">
        <v>74</v>
      </c>
      <c r="AR450" t="s">
        <v>8237</v>
      </c>
      <c r="AS450" t="s">
        <v>8238</v>
      </c>
      <c r="AT450" t="s">
        <v>6618</v>
      </c>
      <c r="AU450">
        <v>2023</v>
      </c>
      <c r="AV450">
        <v>297</v>
      </c>
      <c r="AW450" t="s">
        <v>74</v>
      </c>
      <c r="AX450" t="s">
        <v>74</v>
      </c>
      <c r="AY450" t="s">
        <v>74</v>
      </c>
      <c r="AZ450" t="s">
        <v>74</v>
      </c>
      <c r="BA450" t="s">
        <v>74</v>
      </c>
      <c r="BB450" t="s">
        <v>74</v>
      </c>
      <c r="BC450" t="s">
        <v>74</v>
      </c>
      <c r="BD450">
        <v>116816</v>
      </c>
      <c r="BE450" t="s">
        <v>8239</v>
      </c>
      <c r="BF450" t="str">
        <f>HYPERLINK("http://dx.doi.org/10.1016/j.mseb.2023.116816","http://dx.doi.org/10.1016/j.mseb.2023.116816")</f>
        <v>http://dx.doi.org/10.1016/j.mseb.2023.116816</v>
      </c>
      <c r="BG450" t="s">
        <v>74</v>
      </c>
      <c r="BH450" t="s">
        <v>74</v>
      </c>
      <c r="BI450">
        <v>16</v>
      </c>
      <c r="BJ450" t="s">
        <v>8240</v>
      </c>
      <c r="BK450" t="s">
        <v>100</v>
      </c>
      <c r="BL450" t="s">
        <v>3022</v>
      </c>
      <c r="BM450" t="s">
        <v>8241</v>
      </c>
      <c r="BN450" t="s">
        <v>74</v>
      </c>
      <c r="BO450" t="s">
        <v>74</v>
      </c>
      <c r="BP450" t="s">
        <v>74</v>
      </c>
      <c r="BQ450" t="s">
        <v>74</v>
      </c>
      <c r="BR450" t="s">
        <v>104</v>
      </c>
      <c r="BS450" t="s">
        <v>8242</v>
      </c>
      <c r="BT450" t="str">
        <f>HYPERLINK("https%3A%2F%2Fwww.webofscience.com%2Fwos%2Fwoscc%2Ffull-record%2FWOS:001067228000001","View Full Record in Web of Science")</f>
        <v>View Full Record in Web of Science</v>
      </c>
    </row>
    <row r="451" spans="1:72" x14ac:dyDescent="0.15">
      <c r="A451" t="s">
        <v>72</v>
      </c>
      <c r="B451" t="s">
        <v>8243</v>
      </c>
      <c r="C451" t="s">
        <v>74</v>
      </c>
      <c r="D451" t="s">
        <v>74</v>
      </c>
      <c r="E451" t="s">
        <v>74</v>
      </c>
      <c r="F451" t="s">
        <v>8244</v>
      </c>
      <c r="G451" t="s">
        <v>74</v>
      </c>
      <c r="H451" t="s">
        <v>74</v>
      </c>
      <c r="I451" t="s">
        <v>8245</v>
      </c>
      <c r="J451" t="s">
        <v>8246</v>
      </c>
      <c r="K451" t="s">
        <v>74</v>
      </c>
      <c r="L451" t="s">
        <v>74</v>
      </c>
      <c r="M451" t="s">
        <v>78</v>
      </c>
      <c r="N451" t="s">
        <v>79</v>
      </c>
      <c r="O451" t="s">
        <v>74</v>
      </c>
      <c r="P451" t="s">
        <v>74</v>
      </c>
      <c r="Q451" t="s">
        <v>74</v>
      </c>
      <c r="R451" t="s">
        <v>74</v>
      </c>
      <c r="S451" t="s">
        <v>74</v>
      </c>
      <c r="T451" t="s">
        <v>8247</v>
      </c>
      <c r="U451" t="s">
        <v>8248</v>
      </c>
      <c r="V451" t="s">
        <v>8249</v>
      </c>
      <c r="W451" t="s">
        <v>8250</v>
      </c>
      <c r="X451" t="s">
        <v>8251</v>
      </c>
      <c r="Y451" t="s">
        <v>8252</v>
      </c>
      <c r="Z451" t="s">
        <v>8253</v>
      </c>
      <c r="AA451" t="s">
        <v>8254</v>
      </c>
      <c r="AB451" t="s">
        <v>8255</v>
      </c>
      <c r="AC451" t="s">
        <v>74</v>
      </c>
      <c r="AD451" t="s">
        <v>74</v>
      </c>
      <c r="AE451" t="s">
        <v>74</v>
      </c>
      <c r="AF451" t="s">
        <v>74</v>
      </c>
      <c r="AG451">
        <v>82</v>
      </c>
      <c r="AH451">
        <v>1</v>
      </c>
      <c r="AI451">
        <v>1</v>
      </c>
      <c r="AJ451">
        <v>3</v>
      </c>
      <c r="AK451">
        <v>3</v>
      </c>
      <c r="AL451" t="s">
        <v>173</v>
      </c>
      <c r="AM451" t="s">
        <v>121</v>
      </c>
      <c r="AN451" t="s">
        <v>174</v>
      </c>
      <c r="AO451" t="s">
        <v>8256</v>
      </c>
      <c r="AP451" t="s">
        <v>8257</v>
      </c>
      <c r="AQ451" t="s">
        <v>74</v>
      </c>
      <c r="AR451" t="s">
        <v>8258</v>
      </c>
      <c r="AS451" t="s">
        <v>8259</v>
      </c>
      <c r="AT451" t="s">
        <v>6618</v>
      </c>
      <c r="AU451">
        <v>2023</v>
      </c>
      <c r="AV451">
        <v>216</v>
      </c>
      <c r="AW451" t="s">
        <v>74</v>
      </c>
      <c r="AX451" t="s">
        <v>74</v>
      </c>
      <c r="AY451" t="s">
        <v>74</v>
      </c>
      <c r="AZ451" t="s">
        <v>74</v>
      </c>
      <c r="BA451" t="s">
        <v>74</v>
      </c>
      <c r="BB451" t="s">
        <v>74</v>
      </c>
      <c r="BC451" t="s">
        <v>74</v>
      </c>
      <c r="BD451">
        <v>119057</v>
      </c>
      <c r="BE451" t="s">
        <v>8260</v>
      </c>
      <c r="BF451" t="str">
        <f>HYPERLINK("http://dx.doi.org/10.1016/j.renene.2023.119057","http://dx.doi.org/10.1016/j.renene.2023.119057")</f>
        <v>http://dx.doi.org/10.1016/j.renene.2023.119057</v>
      </c>
      <c r="BG451" t="s">
        <v>74</v>
      </c>
      <c r="BH451" t="s">
        <v>74</v>
      </c>
      <c r="BI451">
        <v>19</v>
      </c>
      <c r="BJ451" t="s">
        <v>8261</v>
      </c>
      <c r="BK451" t="s">
        <v>100</v>
      </c>
      <c r="BL451" t="s">
        <v>8262</v>
      </c>
      <c r="BM451" t="s">
        <v>8263</v>
      </c>
      <c r="BN451" t="s">
        <v>74</v>
      </c>
      <c r="BO451" t="s">
        <v>74</v>
      </c>
      <c r="BP451" t="s">
        <v>74</v>
      </c>
      <c r="BQ451" t="s">
        <v>74</v>
      </c>
      <c r="BR451" t="s">
        <v>104</v>
      </c>
      <c r="BS451" t="s">
        <v>8264</v>
      </c>
      <c r="BT451" t="str">
        <f>HYPERLINK("https%3A%2F%2Fwww.webofscience.com%2Fwos%2Fwoscc%2Ffull-record%2FWOS:001050634700001","View Full Record in Web of Science")</f>
        <v>View Full Record in Web of Science</v>
      </c>
    </row>
    <row r="452" spans="1:72" x14ac:dyDescent="0.15">
      <c r="A452" t="s">
        <v>72</v>
      </c>
      <c r="B452" t="s">
        <v>8265</v>
      </c>
      <c r="C452" t="s">
        <v>74</v>
      </c>
      <c r="D452" t="s">
        <v>74</v>
      </c>
      <c r="E452" t="s">
        <v>74</v>
      </c>
      <c r="F452" t="s">
        <v>8266</v>
      </c>
      <c r="G452" t="s">
        <v>74</v>
      </c>
      <c r="H452" t="s">
        <v>74</v>
      </c>
      <c r="I452" t="s">
        <v>8267</v>
      </c>
      <c r="J452" t="s">
        <v>8268</v>
      </c>
      <c r="K452" t="s">
        <v>74</v>
      </c>
      <c r="L452" t="s">
        <v>74</v>
      </c>
      <c r="M452" t="s">
        <v>78</v>
      </c>
      <c r="N452" t="s">
        <v>79</v>
      </c>
      <c r="O452" t="s">
        <v>74</v>
      </c>
      <c r="P452" t="s">
        <v>74</v>
      </c>
      <c r="Q452" t="s">
        <v>74</v>
      </c>
      <c r="R452" t="s">
        <v>74</v>
      </c>
      <c r="S452" t="s">
        <v>74</v>
      </c>
      <c r="T452" t="s">
        <v>8269</v>
      </c>
      <c r="U452" t="s">
        <v>8270</v>
      </c>
      <c r="V452" t="s">
        <v>8271</v>
      </c>
      <c r="W452" t="s">
        <v>8272</v>
      </c>
      <c r="X452" t="s">
        <v>8273</v>
      </c>
      <c r="Y452" t="s">
        <v>8274</v>
      </c>
      <c r="Z452" t="s">
        <v>8275</v>
      </c>
      <c r="AA452" t="s">
        <v>74</v>
      </c>
      <c r="AB452" t="s">
        <v>74</v>
      </c>
      <c r="AC452" t="s">
        <v>8276</v>
      </c>
      <c r="AD452" t="s">
        <v>8277</v>
      </c>
      <c r="AE452" t="s">
        <v>8278</v>
      </c>
      <c r="AF452" t="s">
        <v>74</v>
      </c>
      <c r="AG452">
        <v>49</v>
      </c>
      <c r="AH452">
        <v>0</v>
      </c>
      <c r="AI452">
        <v>0</v>
      </c>
      <c r="AJ452">
        <v>2</v>
      </c>
      <c r="AK452">
        <v>2</v>
      </c>
      <c r="AL452" t="s">
        <v>90</v>
      </c>
      <c r="AM452" t="s">
        <v>91</v>
      </c>
      <c r="AN452" t="s">
        <v>92</v>
      </c>
      <c r="AO452" t="s">
        <v>8279</v>
      </c>
      <c r="AP452" t="s">
        <v>8280</v>
      </c>
      <c r="AQ452" t="s">
        <v>74</v>
      </c>
      <c r="AR452" t="s">
        <v>8281</v>
      </c>
      <c r="AS452" t="s">
        <v>8282</v>
      </c>
      <c r="AT452" t="s">
        <v>6659</v>
      </c>
      <c r="AU452">
        <v>2023</v>
      </c>
      <c r="AV452">
        <v>321</v>
      </c>
      <c r="AW452" t="s">
        <v>74</v>
      </c>
      <c r="AX452" t="s">
        <v>74</v>
      </c>
      <c r="AY452" t="s">
        <v>74</v>
      </c>
      <c r="AZ452" t="s">
        <v>74</v>
      </c>
      <c r="BA452" t="s">
        <v>74</v>
      </c>
      <c r="BB452" t="s">
        <v>74</v>
      </c>
      <c r="BC452" t="s">
        <v>74</v>
      </c>
      <c r="BD452">
        <v>112330</v>
      </c>
      <c r="BE452" t="s">
        <v>8283</v>
      </c>
      <c r="BF452" t="str">
        <f>HYPERLINK("http://dx.doi.org/10.1016/j.scienta.2023.112330","http://dx.doi.org/10.1016/j.scienta.2023.112330")</f>
        <v>http://dx.doi.org/10.1016/j.scienta.2023.112330</v>
      </c>
      <c r="BG452" t="s">
        <v>74</v>
      </c>
      <c r="BH452" t="s">
        <v>74</v>
      </c>
      <c r="BI452">
        <v>10</v>
      </c>
      <c r="BJ452" t="s">
        <v>8284</v>
      </c>
      <c r="BK452" t="s">
        <v>100</v>
      </c>
      <c r="BL452" t="s">
        <v>3447</v>
      </c>
      <c r="BM452" t="s">
        <v>8285</v>
      </c>
      <c r="BN452" t="s">
        <v>74</v>
      </c>
      <c r="BO452" t="s">
        <v>74</v>
      </c>
      <c r="BP452" t="s">
        <v>74</v>
      </c>
      <c r="BQ452" t="s">
        <v>74</v>
      </c>
      <c r="BR452" t="s">
        <v>104</v>
      </c>
      <c r="BS452" t="s">
        <v>8286</v>
      </c>
      <c r="BT452" t="str">
        <f>HYPERLINK("https%3A%2F%2Fwww.webofscience.com%2Fwos%2Fwoscc%2Ffull-record%2FWOS:001046828500001","View Full Record in Web of Science")</f>
        <v>View Full Record in Web of Science</v>
      </c>
    </row>
    <row r="453" spans="1:72" x14ac:dyDescent="0.15">
      <c r="A453" t="s">
        <v>72</v>
      </c>
      <c r="B453" t="s">
        <v>8287</v>
      </c>
      <c r="C453" t="s">
        <v>74</v>
      </c>
      <c r="D453" t="s">
        <v>74</v>
      </c>
      <c r="E453" t="s">
        <v>74</v>
      </c>
      <c r="F453" t="s">
        <v>8288</v>
      </c>
      <c r="G453" t="s">
        <v>74</v>
      </c>
      <c r="H453" t="s">
        <v>74</v>
      </c>
      <c r="I453" t="s">
        <v>8289</v>
      </c>
      <c r="J453" t="s">
        <v>8290</v>
      </c>
      <c r="K453" t="s">
        <v>74</v>
      </c>
      <c r="L453" t="s">
        <v>74</v>
      </c>
      <c r="M453" t="s">
        <v>78</v>
      </c>
      <c r="N453" t="s">
        <v>79</v>
      </c>
      <c r="O453" t="s">
        <v>74</v>
      </c>
      <c r="P453" t="s">
        <v>74</v>
      </c>
      <c r="Q453" t="s">
        <v>74</v>
      </c>
      <c r="R453" t="s">
        <v>74</v>
      </c>
      <c r="S453" t="s">
        <v>74</v>
      </c>
      <c r="T453" t="s">
        <v>8291</v>
      </c>
      <c r="U453" t="s">
        <v>8292</v>
      </c>
      <c r="V453" t="s">
        <v>8293</v>
      </c>
      <c r="W453" t="s">
        <v>8294</v>
      </c>
      <c r="X453" t="s">
        <v>8295</v>
      </c>
      <c r="Y453" t="s">
        <v>8296</v>
      </c>
      <c r="Z453" t="s">
        <v>8297</v>
      </c>
      <c r="AA453" t="s">
        <v>8298</v>
      </c>
      <c r="AB453" t="s">
        <v>8299</v>
      </c>
      <c r="AC453" t="s">
        <v>74</v>
      </c>
      <c r="AD453" t="s">
        <v>74</v>
      </c>
      <c r="AE453" t="s">
        <v>74</v>
      </c>
      <c r="AF453" t="s">
        <v>74</v>
      </c>
      <c r="AG453">
        <v>202</v>
      </c>
      <c r="AH453">
        <v>1</v>
      </c>
      <c r="AI453">
        <v>1</v>
      </c>
      <c r="AJ453">
        <v>11</v>
      </c>
      <c r="AK453">
        <v>11</v>
      </c>
      <c r="AL453" t="s">
        <v>147</v>
      </c>
      <c r="AM453" t="s">
        <v>148</v>
      </c>
      <c r="AN453" t="s">
        <v>149</v>
      </c>
      <c r="AO453" t="s">
        <v>8300</v>
      </c>
      <c r="AP453" t="s">
        <v>8301</v>
      </c>
      <c r="AQ453" t="s">
        <v>74</v>
      </c>
      <c r="AR453" t="s">
        <v>8302</v>
      </c>
      <c r="AS453" t="s">
        <v>8303</v>
      </c>
      <c r="AT453" t="s">
        <v>6618</v>
      </c>
      <c r="AU453">
        <v>2023</v>
      </c>
      <c r="AV453">
        <v>167</v>
      </c>
      <c r="AW453" t="s">
        <v>74</v>
      </c>
      <c r="AX453" t="s">
        <v>74</v>
      </c>
      <c r="AY453" t="s">
        <v>74</v>
      </c>
      <c r="AZ453" t="s">
        <v>74</v>
      </c>
      <c r="BA453" t="s">
        <v>74</v>
      </c>
      <c r="BB453" t="s">
        <v>74</v>
      </c>
      <c r="BC453" t="s">
        <v>74</v>
      </c>
      <c r="BD453">
        <v>114145</v>
      </c>
      <c r="BE453" t="s">
        <v>8304</v>
      </c>
      <c r="BF453" t="str">
        <f>HYPERLINK("http://dx.doi.org/10.1016/j.jbusres.2023.114145","http://dx.doi.org/10.1016/j.jbusres.2023.114145")</f>
        <v>http://dx.doi.org/10.1016/j.jbusres.2023.114145</v>
      </c>
      <c r="BG453" t="s">
        <v>74</v>
      </c>
      <c r="BH453" t="s">
        <v>74</v>
      </c>
      <c r="BI453">
        <v>18</v>
      </c>
      <c r="BJ453" t="s">
        <v>8305</v>
      </c>
      <c r="BK453" t="s">
        <v>627</v>
      </c>
      <c r="BL453" t="s">
        <v>628</v>
      </c>
      <c r="BM453" t="s">
        <v>8306</v>
      </c>
      <c r="BN453" t="s">
        <v>74</v>
      </c>
      <c r="BO453" t="s">
        <v>4366</v>
      </c>
      <c r="BP453" t="s">
        <v>74</v>
      </c>
      <c r="BQ453" t="s">
        <v>74</v>
      </c>
      <c r="BR453" t="s">
        <v>104</v>
      </c>
      <c r="BS453" t="s">
        <v>8307</v>
      </c>
      <c r="BT453" t="str">
        <f>HYPERLINK("https%3A%2F%2Fwww.webofscience.com%2Fwos%2Fwoscc%2Ffull-record%2FWOS:001049460800001","View Full Record in Web of Science")</f>
        <v>View Full Record in Web of Science</v>
      </c>
    </row>
    <row r="454" spans="1:72" x14ac:dyDescent="0.15">
      <c r="A454" t="s">
        <v>72</v>
      </c>
      <c r="B454" t="s">
        <v>8308</v>
      </c>
      <c r="C454" t="s">
        <v>74</v>
      </c>
      <c r="D454" t="s">
        <v>74</v>
      </c>
      <c r="E454" t="s">
        <v>74</v>
      </c>
      <c r="F454" t="s">
        <v>8309</v>
      </c>
      <c r="G454" t="s">
        <v>74</v>
      </c>
      <c r="H454" t="s">
        <v>74</v>
      </c>
      <c r="I454" t="s">
        <v>8310</v>
      </c>
      <c r="J454" t="s">
        <v>8311</v>
      </c>
      <c r="K454" t="s">
        <v>74</v>
      </c>
      <c r="L454" t="s">
        <v>74</v>
      </c>
      <c r="M454" t="s">
        <v>78</v>
      </c>
      <c r="N454" t="s">
        <v>79</v>
      </c>
      <c r="O454" t="s">
        <v>74</v>
      </c>
      <c r="P454" t="s">
        <v>74</v>
      </c>
      <c r="Q454" t="s">
        <v>74</v>
      </c>
      <c r="R454" t="s">
        <v>74</v>
      </c>
      <c r="S454" t="s">
        <v>74</v>
      </c>
      <c r="T454" t="s">
        <v>8312</v>
      </c>
      <c r="U454" t="s">
        <v>8313</v>
      </c>
      <c r="V454" t="s">
        <v>8314</v>
      </c>
      <c r="W454" t="s">
        <v>8315</v>
      </c>
      <c r="X454" t="s">
        <v>8316</v>
      </c>
      <c r="Y454" t="s">
        <v>8317</v>
      </c>
      <c r="Z454" t="s">
        <v>8318</v>
      </c>
      <c r="AA454" t="s">
        <v>74</v>
      </c>
      <c r="AB454" t="s">
        <v>8319</v>
      </c>
      <c r="AC454" t="s">
        <v>8320</v>
      </c>
      <c r="AD454" t="s">
        <v>8321</v>
      </c>
      <c r="AE454" t="s">
        <v>8322</v>
      </c>
      <c r="AF454" t="s">
        <v>74</v>
      </c>
      <c r="AG454">
        <v>79</v>
      </c>
      <c r="AH454">
        <v>0</v>
      </c>
      <c r="AI454">
        <v>0</v>
      </c>
      <c r="AJ454">
        <v>5</v>
      </c>
      <c r="AK454">
        <v>5</v>
      </c>
      <c r="AL454" t="s">
        <v>120</v>
      </c>
      <c r="AM454" t="s">
        <v>121</v>
      </c>
      <c r="AN454" t="s">
        <v>122</v>
      </c>
      <c r="AO454" t="s">
        <v>8323</v>
      </c>
      <c r="AP454" t="s">
        <v>8324</v>
      </c>
      <c r="AQ454" t="s">
        <v>74</v>
      </c>
      <c r="AR454" t="s">
        <v>8325</v>
      </c>
      <c r="AS454" t="s">
        <v>8326</v>
      </c>
      <c r="AT454" t="s">
        <v>6618</v>
      </c>
      <c r="AU454">
        <v>2023</v>
      </c>
      <c r="AV454">
        <v>163</v>
      </c>
      <c r="AW454" t="s">
        <v>74</v>
      </c>
      <c r="AX454" t="s">
        <v>74</v>
      </c>
      <c r="AY454" t="s">
        <v>74</v>
      </c>
      <c r="AZ454" t="s">
        <v>74</v>
      </c>
      <c r="BA454" t="s">
        <v>74</v>
      </c>
      <c r="BB454" t="s">
        <v>74</v>
      </c>
      <c r="BC454" t="s">
        <v>74</v>
      </c>
      <c r="BD454">
        <v>105721</v>
      </c>
      <c r="BE454" t="s">
        <v>8327</v>
      </c>
      <c r="BF454" t="str">
        <f>HYPERLINK("http://dx.doi.org/10.1016/j.compgeo.2023.105721","http://dx.doi.org/10.1016/j.compgeo.2023.105721")</f>
        <v>http://dx.doi.org/10.1016/j.compgeo.2023.105721</v>
      </c>
      <c r="BG454" t="s">
        <v>74</v>
      </c>
      <c r="BH454" t="s">
        <v>74</v>
      </c>
      <c r="BI454">
        <v>14</v>
      </c>
      <c r="BJ454" t="s">
        <v>8328</v>
      </c>
      <c r="BK454" t="s">
        <v>100</v>
      </c>
      <c r="BL454" t="s">
        <v>8329</v>
      </c>
      <c r="BM454" t="s">
        <v>8330</v>
      </c>
      <c r="BN454" t="s">
        <v>74</v>
      </c>
      <c r="BO454" t="s">
        <v>74</v>
      </c>
      <c r="BP454" t="s">
        <v>74</v>
      </c>
      <c r="BQ454" t="s">
        <v>74</v>
      </c>
      <c r="BR454" t="s">
        <v>104</v>
      </c>
      <c r="BS454" t="s">
        <v>8331</v>
      </c>
      <c r="BT454" t="str">
        <f>HYPERLINK("https%3A%2F%2Fwww.webofscience.com%2Fwos%2Fwoscc%2Ffull-record%2FWOS:001059441300001","View Full Record in Web of Science")</f>
        <v>View Full Record in Web of Science</v>
      </c>
    </row>
    <row r="455" spans="1:72" x14ac:dyDescent="0.15">
      <c r="A455" t="s">
        <v>72</v>
      </c>
      <c r="B455" t="s">
        <v>8332</v>
      </c>
      <c r="C455" t="s">
        <v>74</v>
      </c>
      <c r="D455" t="s">
        <v>74</v>
      </c>
      <c r="E455" t="s">
        <v>74</v>
      </c>
      <c r="F455" t="s">
        <v>8333</v>
      </c>
      <c r="G455" t="s">
        <v>74</v>
      </c>
      <c r="H455" t="s">
        <v>74</v>
      </c>
      <c r="I455" t="s">
        <v>8334</v>
      </c>
      <c r="J455" t="s">
        <v>8066</v>
      </c>
      <c r="K455" t="s">
        <v>74</v>
      </c>
      <c r="L455" t="s">
        <v>74</v>
      </c>
      <c r="M455" t="s">
        <v>78</v>
      </c>
      <c r="N455" t="s">
        <v>8335</v>
      </c>
      <c r="O455" t="s">
        <v>74</v>
      </c>
      <c r="P455" t="s">
        <v>74</v>
      </c>
      <c r="Q455" t="s">
        <v>74</v>
      </c>
      <c r="R455" t="s">
        <v>74</v>
      </c>
      <c r="S455" t="s">
        <v>74</v>
      </c>
      <c r="T455" t="s">
        <v>74</v>
      </c>
      <c r="U455" t="s">
        <v>8336</v>
      </c>
      <c r="V455" t="s">
        <v>74</v>
      </c>
      <c r="W455" t="s">
        <v>8337</v>
      </c>
      <c r="X455" t="s">
        <v>74</v>
      </c>
      <c r="Y455" t="s">
        <v>8338</v>
      </c>
      <c r="Z455" t="s">
        <v>8339</v>
      </c>
      <c r="AA455" t="s">
        <v>74</v>
      </c>
      <c r="AB455" t="s">
        <v>8340</v>
      </c>
      <c r="AC455" t="s">
        <v>74</v>
      </c>
      <c r="AD455" t="s">
        <v>74</v>
      </c>
      <c r="AE455" t="s">
        <v>74</v>
      </c>
      <c r="AF455" t="s">
        <v>74</v>
      </c>
      <c r="AG455">
        <v>5</v>
      </c>
      <c r="AH455">
        <v>0</v>
      </c>
      <c r="AI455">
        <v>0</v>
      </c>
      <c r="AJ455">
        <v>0</v>
      </c>
      <c r="AK455">
        <v>0</v>
      </c>
      <c r="AL455" t="s">
        <v>8072</v>
      </c>
      <c r="AM455" t="s">
        <v>148</v>
      </c>
      <c r="AN455" t="s">
        <v>8073</v>
      </c>
      <c r="AO455" t="s">
        <v>8074</v>
      </c>
      <c r="AP455" t="s">
        <v>8075</v>
      </c>
      <c r="AQ455" t="s">
        <v>74</v>
      </c>
      <c r="AR455" t="s">
        <v>8076</v>
      </c>
      <c r="AS455" t="s">
        <v>8077</v>
      </c>
      <c r="AT455" t="s">
        <v>6618</v>
      </c>
      <c r="AU455">
        <v>2023</v>
      </c>
      <c r="AV455">
        <v>48</v>
      </c>
      <c r="AW455">
        <v>11</v>
      </c>
      <c r="AX455" t="s">
        <v>74</v>
      </c>
      <c r="AY455" t="s">
        <v>74</v>
      </c>
      <c r="AZ455" t="s">
        <v>74</v>
      </c>
      <c r="BA455" t="s">
        <v>74</v>
      </c>
      <c r="BB455" t="s">
        <v>74</v>
      </c>
      <c r="BC455" t="s">
        <v>74</v>
      </c>
      <c r="BD455">
        <v>101872</v>
      </c>
      <c r="BE455" t="s">
        <v>8341</v>
      </c>
      <c r="BF455" t="str">
        <f>HYPERLINK("http://dx.doi.org/10.1016/j.cpcardiol.2023.101872","http://dx.doi.org/10.1016/j.cpcardiol.2023.101872")</f>
        <v>http://dx.doi.org/10.1016/j.cpcardiol.2023.101872</v>
      </c>
      <c r="BG455" t="s">
        <v>74</v>
      </c>
      <c r="BH455" t="s">
        <v>74</v>
      </c>
      <c r="BI455">
        <v>2</v>
      </c>
      <c r="BJ455" t="s">
        <v>8079</v>
      </c>
      <c r="BK455" t="s">
        <v>100</v>
      </c>
      <c r="BL455" t="s">
        <v>8080</v>
      </c>
      <c r="BM455" t="s">
        <v>8342</v>
      </c>
      <c r="BN455">
        <v>37302647</v>
      </c>
      <c r="BO455" t="s">
        <v>74</v>
      </c>
      <c r="BP455" t="s">
        <v>74</v>
      </c>
      <c r="BQ455" t="s">
        <v>74</v>
      </c>
      <c r="BR455" t="s">
        <v>104</v>
      </c>
      <c r="BS455" t="s">
        <v>8343</v>
      </c>
      <c r="BT455" t="str">
        <f>HYPERLINK("https%3A%2F%2Fwww.webofscience.com%2Fwos%2Fwoscc%2Ffull-record%2FWOS:001046684100001","View Full Record in Web of Science")</f>
        <v>View Full Record in Web of Science</v>
      </c>
    </row>
    <row r="456" spans="1:72" x14ac:dyDescent="0.15">
      <c r="A456" t="s">
        <v>72</v>
      </c>
      <c r="B456" t="s">
        <v>8344</v>
      </c>
      <c r="C456" t="s">
        <v>74</v>
      </c>
      <c r="D456" t="s">
        <v>74</v>
      </c>
      <c r="E456" t="s">
        <v>74</v>
      </c>
      <c r="F456" t="s">
        <v>8345</v>
      </c>
      <c r="G456" t="s">
        <v>74</v>
      </c>
      <c r="H456" t="s">
        <v>74</v>
      </c>
      <c r="I456" t="s">
        <v>8346</v>
      </c>
      <c r="J456" t="s">
        <v>8347</v>
      </c>
      <c r="K456" t="s">
        <v>74</v>
      </c>
      <c r="L456" t="s">
        <v>74</v>
      </c>
      <c r="M456" t="s">
        <v>78</v>
      </c>
      <c r="N456" t="s">
        <v>79</v>
      </c>
      <c r="O456" t="s">
        <v>74</v>
      </c>
      <c r="P456" t="s">
        <v>74</v>
      </c>
      <c r="Q456" t="s">
        <v>74</v>
      </c>
      <c r="R456" t="s">
        <v>74</v>
      </c>
      <c r="S456" t="s">
        <v>74</v>
      </c>
      <c r="T456" t="s">
        <v>8348</v>
      </c>
      <c r="U456" t="s">
        <v>8349</v>
      </c>
      <c r="V456" t="s">
        <v>8350</v>
      </c>
      <c r="W456" t="s">
        <v>8351</v>
      </c>
      <c r="X456" t="s">
        <v>8352</v>
      </c>
      <c r="Y456" t="s">
        <v>8353</v>
      </c>
      <c r="Z456" t="s">
        <v>8354</v>
      </c>
      <c r="AA456" t="s">
        <v>8355</v>
      </c>
      <c r="AB456" t="s">
        <v>8356</v>
      </c>
      <c r="AC456" t="s">
        <v>8357</v>
      </c>
      <c r="AD456" t="s">
        <v>8357</v>
      </c>
      <c r="AE456" t="s">
        <v>8358</v>
      </c>
      <c r="AF456" t="s">
        <v>74</v>
      </c>
      <c r="AG456">
        <v>22</v>
      </c>
      <c r="AH456">
        <v>0</v>
      </c>
      <c r="AI456">
        <v>0</v>
      </c>
      <c r="AJ456">
        <v>0</v>
      </c>
      <c r="AK456">
        <v>0</v>
      </c>
      <c r="AL456" t="s">
        <v>8359</v>
      </c>
      <c r="AM456" t="s">
        <v>8360</v>
      </c>
      <c r="AN456" t="s">
        <v>8361</v>
      </c>
      <c r="AO456" t="s">
        <v>8362</v>
      </c>
      <c r="AP456" t="s">
        <v>8363</v>
      </c>
      <c r="AQ456" t="s">
        <v>74</v>
      </c>
      <c r="AR456" t="s">
        <v>8364</v>
      </c>
      <c r="AS456" t="s">
        <v>8365</v>
      </c>
      <c r="AT456" t="s">
        <v>6618</v>
      </c>
      <c r="AU456">
        <v>2023</v>
      </c>
      <c r="AV456">
        <v>73</v>
      </c>
      <c r="AW456" t="s">
        <v>74</v>
      </c>
      <c r="AX456" t="s">
        <v>74</v>
      </c>
      <c r="AY456" t="s">
        <v>74</v>
      </c>
      <c r="AZ456" t="s">
        <v>74</v>
      </c>
      <c r="BA456" t="s">
        <v>74</v>
      </c>
      <c r="BB456">
        <v>109</v>
      </c>
      <c r="BC456">
        <v>115</v>
      </c>
      <c r="BD456" t="s">
        <v>74</v>
      </c>
      <c r="BE456" t="s">
        <v>8366</v>
      </c>
      <c r="BF456" t="str">
        <f>HYPERLINK("http://dx.doi.org/10.1016/j.ajem.2023.08.004","http://dx.doi.org/10.1016/j.ajem.2023.08.004")</f>
        <v>http://dx.doi.org/10.1016/j.ajem.2023.08.004</v>
      </c>
      <c r="BG456" t="s">
        <v>74</v>
      </c>
      <c r="BH456" t="s">
        <v>74</v>
      </c>
      <c r="BI456">
        <v>7</v>
      </c>
      <c r="BJ456" t="s">
        <v>8367</v>
      </c>
      <c r="BK456" t="s">
        <v>100</v>
      </c>
      <c r="BL456" t="s">
        <v>8367</v>
      </c>
      <c r="BM456" t="s">
        <v>8368</v>
      </c>
      <c r="BN456">
        <v>37647845</v>
      </c>
      <c r="BO456" t="s">
        <v>74</v>
      </c>
      <c r="BP456" t="s">
        <v>74</v>
      </c>
      <c r="BQ456" t="s">
        <v>74</v>
      </c>
      <c r="BR456" t="s">
        <v>104</v>
      </c>
      <c r="BS456" t="s">
        <v>8369</v>
      </c>
      <c r="BT456" t="str">
        <f>HYPERLINK("https%3A%2F%2Fwww.webofscience.com%2Fwos%2Fwoscc%2Ffull-record%2FWOS:001069621800001","View Full Record in Web of Science")</f>
        <v>View Full Record in Web of Science</v>
      </c>
    </row>
    <row r="457" spans="1:72" x14ac:dyDescent="0.15">
      <c r="A457" t="s">
        <v>72</v>
      </c>
      <c r="B457" t="s">
        <v>8370</v>
      </c>
      <c r="C457" t="s">
        <v>74</v>
      </c>
      <c r="D457" t="s">
        <v>74</v>
      </c>
      <c r="E457" t="s">
        <v>74</v>
      </c>
      <c r="F457" t="s">
        <v>8371</v>
      </c>
      <c r="G457" t="s">
        <v>74</v>
      </c>
      <c r="H457" t="s">
        <v>74</v>
      </c>
      <c r="I457" t="s">
        <v>8372</v>
      </c>
      <c r="J457" t="s">
        <v>6666</v>
      </c>
      <c r="K457" t="s">
        <v>74</v>
      </c>
      <c r="L457" t="s">
        <v>74</v>
      </c>
      <c r="M457" t="s">
        <v>78</v>
      </c>
      <c r="N457" t="s">
        <v>79</v>
      </c>
      <c r="O457" t="s">
        <v>74</v>
      </c>
      <c r="P457" t="s">
        <v>74</v>
      </c>
      <c r="Q457" t="s">
        <v>74</v>
      </c>
      <c r="R457" t="s">
        <v>74</v>
      </c>
      <c r="S457" t="s">
        <v>74</v>
      </c>
      <c r="T457" t="s">
        <v>8373</v>
      </c>
      <c r="U457" t="s">
        <v>8374</v>
      </c>
      <c r="V457" t="s">
        <v>8375</v>
      </c>
      <c r="W457" t="s">
        <v>8376</v>
      </c>
      <c r="X457" t="s">
        <v>8377</v>
      </c>
      <c r="Y457" t="s">
        <v>8378</v>
      </c>
      <c r="Z457" t="s">
        <v>8379</v>
      </c>
      <c r="AA457" t="s">
        <v>74</v>
      </c>
      <c r="AB457" t="s">
        <v>74</v>
      </c>
      <c r="AC457" t="s">
        <v>8380</v>
      </c>
      <c r="AD457" t="s">
        <v>8381</v>
      </c>
      <c r="AE457" t="s">
        <v>8382</v>
      </c>
      <c r="AF457" t="s">
        <v>74</v>
      </c>
      <c r="AG457">
        <v>41</v>
      </c>
      <c r="AH457">
        <v>0</v>
      </c>
      <c r="AI457">
        <v>0</v>
      </c>
      <c r="AJ457">
        <v>0</v>
      </c>
      <c r="AK457">
        <v>0</v>
      </c>
      <c r="AL457" t="s">
        <v>173</v>
      </c>
      <c r="AM457" t="s">
        <v>121</v>
      </c>
      <c r="AN457" t="s">
        <v>174</v>
      </c>
      <c r="AO457" t="s">
        <v>6674</v>
      </c>
      <c r="AP457" t="s">
        <v>6675</v>
      </c>
      <c r="AQ457" t="s">
        <v>74</v>
      </c>
      <c r="AR457" t="s">
        <v>6676</v>
      </c>
      <c r="AS457" t="s">
        <v>6677</v>
      </c>
      <c r="AT457" t="s">
        <v>6618</v>
      </c>
      <c r="AU457">
        <v>2023</v>
      </c>
      <c r="AV457">
        <v>126</v>
      </c>
      <c r="AW457" t="s">
        <v>74</v>
      </c>
      <c r="AX457" t="s">
        <v>373</v>
      </c>
      <c r="AY457" t="s">
        <v>74</v>
      </c>
      <c r="AZ457" t="s">
        <v>74</v>
      </c>
      <c r="BA457" t="s">
        <v>74</v>
      </c>
      <c r="BB457" t="s">
        <v>74</v>
      </c>
      <c r="BC457" t="s">
        <v>74</v>
      </c>
      <c r="BD457">
        <v>106920</v>
      </c>
      <c r="BE457" t="s">
        <v>8383</v>
      </c>
      <c r="BF457" t="str">
        <f>HYPERLINK("http://dx.doi.org/10.1016/j.engappai.2023.106920","http://dx.doi.org/10.1016/j.engappai.2023.106920")</f>
        <v>http://dx.doi.org/10.1016/j.engappai.2023.106920</v>
      </c>
      <c r="BG457" t="s">
        <v>74</v>
      </c>
      <c r="BH457" t="s">
        <v>74</v>
      </c>
      <c r="BI457">
        <v>13</v>
      </c>
      <c r="BJ457" t="s">
        <v>6679</v>
      </c>
      <c r="BK457" t="s">
        <v>100</v>
      </c>
      <c r="BL457" t="s">
        <v>6680</v>
      </c>
      <c r="BM457" t="s">
        <v>8384</v>
      </c>
      <c r="BN457" t="s">
        <v>74</v>
      </c>
      <c r="BO457" t="s">
        <v>74</v>
      </c>
      <c r="BP457" t="s">
        <v>74</v>
      </c>
      <c r="BQ457" t="s">
        <v>74</v>
      </c>
      <c r="BR457" t="s">
        <v>104</v>
      </c>
      <c r="BS457" t="s">
        <v>8385</v>
      </c>
      <c r="BT457" t="str">
        <f>HYPERLINK("https%3A%2F%2Fwww.webofscience.com%2Fwos%2Fwoscc%2Ffull-record%2FWOS:001059218900001","View Full Record in Web of Science")</f>
        <v>View Full Record in Web of Science</v>
      </c>
    </row>
    <row r="458" spans="1:72" x14ac:dyDescent="0.15">
      <c r="A458" t="s">
        <v>72</v>
      </c>
      <c r="B458" t="s">
        <v>8386</v>
      </c>
      <c r="C458" t="s">
        <v>74</v>
      </c>
      <c r="D458" t="s">
        <v>74</v>
      </c>
      <c r="E458" t="s">
        <v>74</v>
      </c>
      <c r="F458" t="s">
        <v>8387</v>
      </c>
      <c r="G458" t="s">
        <v>74</v>
      </c>
      <c r="H458" t="s">
        <v>74</v>
      </c>
      <c r="I458" t="s">
        <v>8388</v>
      </c>
      <c r="J458" t="s">
        <v>4371</v>
      </c>
      <c r="K458" t="s">
        <v>74</v>
      </c>
      <c r="L458" t="s">
        <v>74</v>
      </c>
      <c r="M458" t="s">
        <v>78</v>
      </c>
      <c r="N458" t="s">
        <v>79</v>
      </c>
      <c r="O458" t="s">
        <v>74</v>
      </c>
      <c r="P458" t="s">
        <v>74</v>
      </c>
      <c r="Q458" t="s">
        <v>74</v>
      </c>
      <c r="R458" t="s">
        <v>74</v>
      </c>
      <c r="S458" t="s">
        <v>74</v>
      </c>
      <c r="T458" t="s">
        <v>8389</v>
      </c>
      <c r="U458" t="s">
        <v>8390</v>
      </c>
      <c r="V458" t="s">
        <v>8391</v>
      </c>
      <c r="W458" t="s">
        <v>8392</v>
      </c>
      <c r="X458" t="s">
        <v>8393</v>
      </c>
      <c r="Y458" t="s">
        <v>8394</v>
      </c>
      <c r="Z458" t="s">
        <v>8395</v>
      </c>
      <c r="AA458" t="s">
        <v>74</v>
      </c>
      <c r="AB458" t="s">
        <v>74</v>
      </c>
      <c r="AC458" t="s">
        <v>8396</v>
      </c>
      <c r="AD458" t="s">
        <v>8397</v>
      </c>
      <c r="AE458" t="s">
        <v>8398</v>
      </c>
      <c r="AF458" t="s">
        <v>74</v>
      </c>
      <c r="AG458">
        <v>48</v>
      </c>
      <c r="AH458">
        <v>0</v>
      </c>
      <c r="AI458">
        <v>0</v>
      </c>
      <c r="AJ458">
        <v>4</v>
      </c>
      <c r="AK458">
        <v>4</v>
      </c>
      <c r="AL458" t="s">
        <v>90</v>
      </c>
      <c r="AM458" t="s">
        <v>91</v>
      </c>
      <c r="AN458" t="s">
        <v>92</v>
      </c>
      <c r="AO458" t="s">
        <v>4381</v>
      </c>
      <c r="AP458" t="s">
        <v>4382</v>
      </c>
      <c r="AQ458" t="s">
        <v>74</v>
      </c>
      <c r="AR458" t="s">
        <v>4383</v>
      </c>
      <c r="AS458" t="s">
        <v>4384</v>
      </c>
      <c r="AT458" t="s">
        <v>6618</v>
      </c>
      <c r="AU458">
        <v>2023</v>
      </c>
      <c r="AV458">
        <v>585</v>
      </c>
      <c r="AW458" t="s">
        <v>74</v>
      </c>
      <c r="AX458" t="s">
        <v>74</v>
      </c>
      <c r="AY458" t="s">
        <v>74</v>
      </c>
      <c r="AZ458" t="s">
        <v>74</v>
      </c>
      <c r="BA458" t="s">
        <v>74</v>
      </c>
      <c r="BB458" t="s">
        <v>74</v>
      </c>
      <c r="BC458" t="s">
        <v>74</v>
      </c>
      <c r="BD458">
        <v>154652</v>
      </c>
      <c r="BE458" t="s">
        <v>8399</v>
      </c>
      <c r="BF458" t="str">
        <f>HYPERLINK("http://dx.doi.org/10.1016/j.jnucmat.2023.154652","http://dx.doi.org/10.1016/j.jnucmat.2023.154652")</f>
        <v>http://dx.doi.org/10.1016/j.jnucmat.2023.154652</v>
      </c>
      <c r="BG458" t="s">
        <v>74</v>
      </c>
      <c r="BH458" t="s">
        <v>74</v>
      </c>
      <c r="BI458">
        <v>17</v>
      </c>
      <c r="BJ458" t="s">
        <v>4386</v>
      </c>
      <c r="BK458" t="s">
        <v>100</v>
      </c>
      <c r="BL458" t="s">
        <v>4387</v>
      </c>
      <c r="BM458" t="s">
        <v>8400</v>
      </c>
      <c r="BN458" t="s">
        <v>74</v>
      </c>
      <c r="BO458" t="s">
        <v>74</v>
      </c>
      <c r="BP458" t="s">
        <v>74</v>
      </c>
      <c r="BQ458" t="s">
        <v>74</v>
      </c>
      <c r="BR458" t="s">
        <v>104</v>
      </c>
      <c r="BS458" t="s">
        <v>8401</v>
      </c>
      <c r="BT458" t="str">
        <f>HYPERLINK("https%3A%2F%2Fwww.webofscience.com%2Fwos%2Fwoscc%2Ffull-record%2FWOS:001057805100001","View Full Record in Web of Science")</f>
        <v>View Full Record in Web of Science</v>
      </c>
    </row>
    <row r="459" spans="1:72" x14ac:dyDescent="0.15">
      <c r="A459" t="s">
        <v>72</v>
      </c>
      <c r="B459" t="s">
        <v>8402</v>
      </c>
      <c r="C459" t="s">
        <v>74</v>
      </c>
      <c r="D459" t="s">
        <v>74</v>
      </c>
      <c r="E459" t="s">
        <v>74</v>
      </c>
      <c r="F459" t="s">
        <v>8403</v>
      </c>
      <c r="G459" t="s">
        <v>74</v>
      </c>
      <c r="H459" t="s">
        <v>74</v>
      </c>
      <c r="I459" t="s">
        <v>8404</v>
      </c>
      <c r="J459" t="s">
        <v>8405</v>
      </c>
      <c r="K459" t="s">
        <v>74</v>
      </c>
      <c r="L459" t="s">
        <v>74</v>
      </c>
      <c r="M459" t="s">
        <v>78</v>
      </c>
      <c r="N459" t="s">
        <v>79</v>
      </c>
      <c r="O459" t="s">
        <v>74</v>
      </c>
      <c r="P459" t="s">
        <v>74</v>
      </c>
      <c r="Q459" t="s">
        <v>74</v>
      </c>
      <c r="R459" t="s">
        <v>74</v>
      </c>
      <c r="S459" t="s">
        <v>74</v>
      </c>
      <c r="T459" t="s">
        <v>8406</v>
      </c>
      <c r="U459" t="s">
        <v>8407</v>
      </c>
      <c r="V459" t="s">
        <v>8408</v>
      </c>
      <c r="W459" t="s">
        <v>8409</v>
      </c>
      <c r="X459" t="s">
        <v>8410</v>
      </c>
      <c r="Y459" t="s">
        <v>8411</v>
      </c>
      <c r="Z459" t="s">
        <v>8412</v>
      </c>
      <c r="AA459" t="s">
        <v>8413</v>
      </c>
      <c r="AB459" t="s">
        <v>8414</v>
      </c>
      <c r="AC459" t="s">
        <v>8415</v>
      </c>
      <c r="AD459" t="s">
        <v>8416</v>
      </c>
      <c r="AE459" t="s">
        <v>8417</v>
      </c>
      <c r="AF459" t="s">
        <v>74</v>
      </c>
      <c r="AG459">
        <v>54</v>
      </c>
      <c r="AH459">
        <v>0</v>
      </c>
      <c r="AI459">
        <v>0</v>
      </c>
      <c r="AJ459">
        <v>10</v>
      </c>
      <c r="AK459">
        <v>10</v>
      </c>
      <c r="AL459" t="s">
        <v>90</v>
      </c>
      <c r="AM459" t="s">
        <v>91</v>
      </c>
      <c r="AN459" t="s">
        <v>92</v>
      </c>
      <c r="AO459" t="s">
        <v>8418</v>
      </c>
      <c r="AP459" t="s">
        <v>8419</v>
      </c>
      <c r="AQ459" t="s">
        <v>74</v>
      </c>
      <c r="AR459" t="s">
        <v>8420</v>
      </c>
      <c r="AS459" t="s">
        <v>8421</v>
      </c>
      <c r="AT459" t="s">
        <v>6618</v>
      </c>
      <c r="AU459">
        <v>2023</v>
      </c>
      <c r="AV459">
        <v>122</v>
      </c>
      <c r="AW459" t="s">
        <v>74</v>
      </c>
      <c r="AX459" t="s">
        <v>74</v>
      </c>
      <c r="AY459" t="s">
        <v>74</v>
      </c>
      <c r="AZ459" t="s">
        <v>74</v>
      </c>
      <c r="BA459" t="s">
        <v>74</v>
      </c>
      <c r="BB459" t="s">
        <v>74</v>
      </c>
      <c r="BC459" t="s">
        <v>74</v>
      </c>
      <c r="BD459">
        <v>106895</v>
      </c>
      <c r="BE459" t="s">
        <v>8422</v>
      </c>
      <c r="BF459" t="str">
        <f>HYPERLINK("http://dx.doi.org/10.1016/j.orgel.2023.106895","http://dx.doi.org/10.1016/j.orgel.2023.106895")</f>
        <v>http://dx.doi.org/10.1016/j.orgel.2023.106895</v>
      </c>
      <c r="BG459" t="s">
        <v>74</v>
      </c>
      <c r="BH459" t="s">
        <v>74</v>
      </c>
      <c r="BI459">
        <v>8</v>
      </c>
      <c r="BJ459" t="s">
        <v>3021</v>
      </c>
      <c r="BK459" t="s">
        <v>100</v>
      </c>
      <c r="BL459" t="s">
        <v>3022</v>
      </c>
      <c r="BM459" t="s">
        <v>8423</v>
      </c>
      <c r="BN459" t="s">
        <v>74</v>
      </c>
      <c r="BO459" t="s">
        <v>74</v>
      </c>
      <c r="BP459" t="s">
        <v>74</v>
      </c>
      <c r="BQ459" t="s">
        <v>74</v>
      </c>
      <c r="BR459" t="s">
        <v>104</v>
      </c>
      <c r="BS459" t="s">
        <v>8424</v>
      </c>
      <c r="BT459" t="str">
        <f>HYPERLINK("https%3A%2F%2Fwww.webofscience.com%2Fwos%2Fwoscc%2Ffull-record%2FWOS:001052504600001","View Full Record in Web of Science")</f>
        <v>View Full Record in Web of Science</v>
      </c>
    </row>
    <row r="460" spans="1:72" x14ac:dyDescent="0.15">
      <c r="A460" t="s">
        <v>72</v>
      </c>
      <c r="B460" t="s">
        <v>8425</v>
      </c>
      <c r="C460" t="s">
        <v>74</v>
      </c>
      <c r="D460" t="s">
        <v>74</v>
      </c>
      <c r="E460" t="s">
        <v>74</v>
      </c>
      <c r="F460" t="s">
        <v>8426</v>
      </c>
      <c r="G460" t="s">
        <v>74</v>
      </c>
      <c r="H460" t="s">
        <v>74</v>
      </c>
      <c r="I460" t="s">
        <v>8427</v>
      </c>
      <c r="J460" t="s">
        <v>8428</v>
      </c>
      <c r="K460" t="s">
        <v>74</v>
      </c>
      <c r="L460" t="s">
        <v>74</v>
      </c>
      <c r="M460" t="s">
        <v>78</v>
      </c>
      <c r="N460" t="s">
        <v>79</v>
      </c>
      <c r="O460" t="s">
        <v>74</v>
      </c>
      <c r="P460" t="s">
        <v>74</v>
      </c>
      <c r="Q460" t="s">
        <v>74</v>
      </c>
      <c r="R460" t="s">
        <v>74</v>
      </c>
      <c r="S460" t="s">
        <v>74</v>
      </c>
      <c r="T460" t="s">
        <v>8429</v>
      </c>
      <c r="U460" t="s">
        <v>8430</v>
      </c>
      <c r="V460" t="s">
        <v>8431</v>
      </c>
      <c r="W460" t="s">
        <v>8432</v>
      </c>
      <c r="X460" t="s">
        <v>8433</v>
      </c>
      <c r="Y460" t="s">
        <v>8434</v>
      </c>
      <c r="Z460" t="s">
        <v>8435</v>
      </c>
      <c r="AA460" t="s">
        <v>74</v>
      </c>
      <c r="AB460" t="s">
        <v>74</v>
      </c>
      <c r="AC460" t="s">
        <v>8436</v>
      </c>
      <c r="AD460" t="s">
        <v>8437</v>
      </c>
      <c r="AE460" t="s">
        <v>8438</v>
      </c>
      <c r="AF460" t="s">
        <v>74</v>
      </c>
      <c r="AG460">
        <v>67</v>
      </c>
      <c r="AH460">
        <v>0</v>
      </c>
      <c r="AI460">
        <v>0</v>
      </c>
      <c r="AJ460">
        <v>0</v>
      </c>
      <c r="AK460">
        <v>0</v>
      </c>
      <c r="AL460" t="s">
        <v>120</v>
      </c>
      <c r="AM460" t="s">
        <v>121</v>
      </c>
      <c r="AN460" t="s">
        <v>122</v>
      </c>
      <c r="AO460" t="s">
        <v>8439</v>
      </c>
      <c r="AP460" t="s">
        <v>8440</v>
      </c>
      <c r="AQ460" t="s">
        <v>74</v>
      </c>
      <c r="AR460" t="s">
        <v>8441</v>
      </c>
      <c r="AS460" t="s">
        <v>8442</v>
      </c>
      <c r="AT460" t="s">
        <v>6618</v>
      </c>
      <c r="AU460">
        <v>2023</v>
      </c>
      <c r="AV460">
        <v>174</v>
      </c>
      <c r="AW460" t="s">
        <v>74</v>
      </c>
      <c r="AX460" t="s">
        <v>74</v>
      </c>
      <c r="AY460" t="s">
        <v>74</v>
      </c>
      <c r="AZ460" t="s">
        <v>74</v>
      </c>
      <c r="BA460" t="s">
        <v>74</v>
      </c>
      <c r="BB460" t="s">
        <v>74</v>
      </c>
      <c r="BC460" t="s">
        <v>74</v>
      </c>
      <c r="BD460">
        <v>106246</v>
      </c>
      <c r="BE460" t="s">
        <v>8443</v>
      </c>
      <c r="BF460" t="str">
        <f>HYPERLINK("http://dx.doi.org/10.1016/j.jaerosci.2023.106246","http://dx.doi.org/10.1016/j.jaerosci.2023.106246")</f>
        <v>http://dx.doi.org/10.1016/j.jaerosci.2023.106246</v>
      </c>
      <c r="BG460" t="s">
        <v>74</v>
      </c>
      <c r="BH460" t="s">
        <v>74</v>
      </c>
      <c r="BI460">
        <v>18</v>
      </c>
      <c r="BJ460" t="s">
        <v>8444</v>
      </c>
      <c r="BK460" t="s">
        <v>100</v>
      </c>
      <c r="BL460" t="s">
        <v>8445</v>
      </c>
      <c r="BM460" t="s">
        <v>8446</v>
      </c>
      <c r="BN460" t="s">
        <v>74</v>
      </c>
      <c r="BO460" t="s">
        <v>74</v>
      </c>
      <c r="BP460" t="s">
        <v>74</v>
      </c>
      <c r="BQ460" t="s">
        <v>74</v>
      </c>
      <c r="BR460" t="s">
        <v>104</v>
      </c>
      <c r="BS460" t="s">
        <v>8447</v>
      </c>
      <c r="BT460" t="str">
        <f>HYPERLINK("https%3A%2F%2Fwww.webofscience.com%2Fwos%2Fwoscc%2Ffull-record%2FWOS:001069778200001","View Full Record in Web of Science")</f>
        <v>View Full Record in Web of Science</v>
      </c>
    </row>
    <row r="461" spans="1:72" x14ac:dyDescent="0.15">
      <c r="A461" t="s">
        <v>72</v>
      </c>
      <c r="B461" t="s">
        <v>8448</v>
      </c>
      <c r="C461" t="s">
        <v>74</v>
      </c>
      <c r="D461" t="s">
        <v>74</v>
      </c>
      <c r="E461" t="s">
        <v>74</v>
      </c>
      <c r="F461" t="s">
        <v>8449</v>
      </c>
      <c r="G461" t="s">
        <v>74</v>
      </c>
      <c r="H461" t="s">
        <v>74</v>
      </c>
      <c r="I461" t="s">
        <v>8450</v>
      </c>
      <c r="J461" t="s">
        <v>3348</v>
      </c>
      <c r="K461" t="s">
        <v>74</v>
      </c>
      <c r="L461" t="s">
        <v>74</v>
      </c>
      <c r="M461" t="s">
        <v>78</v>
      </c>
      <c r="N461" t="s">
        <v>79</v>
      </c>
      <c r="O461" t="s">
        <v>74</v>
      </c>
      <c r="P461" t="s">
        <v>74</v>
      </c>
      <c r="Q461" t="s">
        <v>74</v>
      </c>
      <c r="R461" t="s">
        <v>74</v>
      </c>
      <c r="S461" t="s">
        <v>74</v>
      </c>
      <c r="T461" t="s">
        <v>8451</v>
      </c>
      <c r="U461" t="s">
        <v>8452</v>
      </c>
      <c r="V461" t="s">
        <v>8453</v>
      </c>
      <c r="W461" t="s">
        <v>8454</v>
      </c>
      <c r="X461" t="s">
        <v>8455</v>
      </c>
      <c r="Y461" t="s">
        <v>8456</v>
      </c>
      <c r="Z461" t="s">
        <v>8457</v>
      </c>
      <c r="AA461" t="s">
        <v>8458</v>
      </c>
      <c r="AB461" t="s">
        <v>8459</v>
      </c>
      <c r="AC461" t="s">
        <v>74</v>
      </c>
      <c r="AD461" t="s">
        <v>74</v>
      </c>
      <c r="AE461" t="s">
        <v>74</v>
      </c>
      <c r="AF461" t="s">
        <v>74</v>
      </c>
      <c r="AG461">
        <v>63</v>
      </c>
      <c r="AH461">
        <v>0</v>
      </c>
      <c r="AI461">
        <v>0</v>
      </c>
      <c r="AJ461">
        <v>2</v>
      </c>
      <c r="AK461">
        <v>2</v>
      </c>
      <c r="AL461" t="s">
        <v>120</v>
      </c>
      <c r="AM461" t="s">
        <v>121</v>
      </c>
      <c r="AN461" t="s">
        <v>122</v>
      </c>
      <c r="AO461" t="s">
        <v>3358</v>
      </c>
      <c r="AP461" t="s">
        <v>3359</v>
      </c>
      <c r="AQ461" t="s">
        <v>74</v>
      </c>
      <c r="AR461" t="s">
        <v>3360</v>
      </c>
      <c r="AS461" t="s">
        <v>3361</v>
      </c>
      <c r="AT461" t="s">
        <v>6618</v>
      </c>
      <c r="AU461">
        <v>2023</v>
      </c>
      <c r="AV461">
        <v>43</v>
      </c>
      <c r="AW461">
        <v>14</v>
      </c>
      <c r="AX461" t="s">
        <v>74</v>
      </c>
      <c r="AY461" t="s">
        <v>74</v>
      </c>
      <c r="AZ461" t="s">
        <v>74</v>
      </c>
      <c r="BA461" t="s">
        <v>74</v>
      </c>
      <c r="BB461">
        <v>6137</v>
      </c>
      <c r="BC461">
        <v>6144</v>
      </c>
      <c r="BD461" t="s">
        <v>74</v>
      </c>
      <c r="BE461" t="s">
        <v>8460</v>
      </c>
      <c r="BF461" t="str">
        <f>HYPERLINK("http://dx.doi.org/10.1016/j.jeurceramsoc.2023.06.040","http://dx.doi.org/10.1016/j.jeurceramsoc.2023.06.040")</f>
        <v>http://dx.doi.org/10.1016/j.jeurceramsoc.2023.06.040</v>
      </c>
      <c r="BG461" t="s">
        <v>74</v>
      </c>
      <c r="BH461" t="s">
        <v>74</v>
      </c>
      <c r="BI461">
        <v>8</v>
      </c>
      <c r="BJ461" t="s">
        <v>3363</v>
      </c>
      <c r="BK461" t="s">
        <v>100</v>
      </c>
      <c r="BL461" t="s">
        <v>1112</v>
      </c>
      <c r="BM461" t="s">
        <v>8461</v>
      </c>
      <c r="BN461" t="s">
        <v>74</v>
      </c>
      <c r="BO461" t="s">
        <v>2583</v>
      </c>
      <c r="BP461" t="s">
        <v>74</v>
      </c>
      <c r="BQ461" t="s">
        <v>74</v>
      </c>
      <c r="BR461" t="s">
        <v>104</v>
      </c>
      <c r="BS461" t="s">
        <v>8462</v>
      </c>
      <c r="BT461" t="str">
        <f>HYPERLINK("https%3A%2F%2Fwww.webofscience.com%2Fwos%2Fwoscc%2Ffull-record%2FWOS:001044411700001","View Full Record in Web of Science")</f>
        <v>View Full Record in Web of Science</v>
      </c>
    </row>
    <row r="462" spans="1:72" x14ac:dyDescent="0.15">
      <c r="A462" t="s">
        <v>72</v>
      </c>
      <c r="B462" t="s">
        <v>8463</v>
      </c>
      <c r="C462" t="s">
        <v>74</v>
      </c>
      <c r="D462" t="s">
        <v>74</v>
      </c>
      <c r="E462" t="s">
        <v>74</v>
      </c>
      <c r="F462" t="s">
        <v>8464</v>
      </c>
      <c r="G462" t="s">
        <v>74</v>
      </c>
      <c r="H462" t="s">
        <v>74</v>
      </c>
      <c r="I462" t="s">
        <v>8465</v>
      </c>
      <c r="J462" t="s">
        <v>8466</v>
      </c>
      <c r="K462" t="s">
        <v>74</v>
      </c>
      <c r="L462" t="s">
        <v>74</v>
      </c>
      <c r="M462" t="s">
        <v>78</v>
      </c>
      <c r="N462" t="s">
        <v>79</v>
      </c>
      <c r="O462" t="s">
        <v>74</v>
      </c>
      <c r="P462" t="s">
        <v>74</v>
      </c>
      <c r="Q462" t="s">
        <v>74</v>
      </c>
      <c r="R462" t="s">
        <v>74</v>
      </c>
      <c r="S462" t="s">
        <v>74</v>
      </c>
      <c r="T462" t="s">
        <v>8467</v>
      </c>
      <c r="U462" t="s">
        <v>8468</v>
      </c>
      <c r="V462" t="s">
        <v>8469</v>
      </c>
      <c r="W462" t="s">
        <v>8470</v>
      </c>
      <c r="X462" t="s">
        <v>8471</v>
      </c>
      <c r="Y462" t="s">
        <v>8472</v>
      </c>
      <c r="Z462" t="s">
        <v>8473</v>
      </c>
      <c r="AA462" t="s">
        <v>74</v>
      </c>
      <c r="AB462" t="s">
        <v>74</v>
      </c>
      <c r="AC462" t="s">
        <v>8474</v>
      </c>
      <c r="AD462" t="s">
        <v>8475</v>
      </c>
      <c r="AE462" t="s">
        <v>8476</v>
      </c>
      <c r="AF462" t="s">
        <v>74</v>
      </c>
      <c r="AG462">
        <v>49</v>
      </c>
      <c r="AH462">
        <v>0</v>
      </c>
      <c r="AI462">
        <v>0</v>
      </c>
      <c r="AJ462">
        <v>7</v>
      </c>
      <c r="AK462">
        <v>7</v>
      </c>
      <c r="AL462" t="s">
        <v>120</v>
      </c>
      <c r="AM462" t="s">
        <v>121</v>
      </c>
      <c r="AN462" t="s">
        <v>122</v>
      </c>
      <c r="AO462" t="s">
        <v>8477</v>
      </c>
      <c r="AP462" t="s">
        <v>8478</v>
      </c>
      <c r="AQ462" t="s">
        <v>74</v>
      </c>
      <c r="AR462" t="s">
        <v>8479</v>
      </c>
      <c r="AS462" t="s">
        <v>8480</v>
      </c>
      <c r="AT462" t="s">
        <v>6618</v>
      </c>
      <c r="AU462">
        <v>2023</v>
      </c>
      <c r="AV462">
        <v>153</v>
      </c>
      <c r="AW462" t="s">
        <v>74</v>
      </c>
      <c r="AX462" t="s">
        <v>74</v>
      </c>
      <c r="AY462" t="s">
        <v>74</v>
      </c>
      <c r="AZ462" t="s">
        <v>74</v>
      </c>
      <c r="BA462" t="s">
        <v>74</v>
      </c>
      <c r="BB462" t="s">
        <v>74</v>
      </c>
      <c r="BC462" t="s">
        <v>74</v>
      </c>
      <c r="BD462">
        <v>109361</v>
      </c>
      <c r="BE462" t="s">
        <v>8481</v>
      </c>
      <c r="BF462" t="str">
        <f>HYPERLINK("http://dx.doi.org/10.1016/j.ijepes.2023.109361","http://dx.doi.org/10.1016/j.ijepes.2023.109361")</f>
        <v>http://dx.doi.org/10.1016/j.ijepes.2023.109361</v>
      </c>
      <c r="BG462" t="s">
        <v>74</v>
      </c>
      <c r="BH462" t="s">
        <v>74</v>
      </c>
      <c r="BI462">
        <v>17</v>
      </c>
      <c r="BJ462" t="s">
        <v>4594</v>
      </c>
      <c r="BK462" t="s">
        <v>100</v>
      </c>
      <c r="BL462" t="s">
        <v>873</v>
      </c>
      <c r="BM462" t="s">
        <v>8482</v>
      </c>
      <c r="BN462" t="s">
        <v>74</v>
      </c>
      <c r="BO462" t="s">
        <v>74</v>
      </c>
      <c r="BP462" t="s">
        <v>74</v>
      </c>
      <c r="BQ462" t="s">
        <v>74</v>
      </c>
      <c r="BR462" t="s">
        <v>104</v>
      </c>
      <c r="BS462" t="s">
        <v>8483</v>
      </c>
      <c r="BT462" t="str">
        <f>HYPERLINK("https%3A%2F%2Fwww.webofscience.com%2Fwos%2Fwoscc%2Ffull-record%2FWOS:001048309100001","View Full Record in Web of Science")</f>
        <v>View Full Record in Web of Science</v>
      </c>
    </row>
    <row r="463" spans="1:72" x14ac:dyDescent="0.15">
      <c r="A463" t="s">
        <v>72</v>
      </c>
      <c r="B463" t="s">
        <v>8484</v>
      </c>
      <c r="C463" t="s">
        <v>74</v>
      </c>
      <c r="D463" t="s">
        <v>74</v>
      </c>
      <c r="E463" t="s">
        <v>74</v>
      </c>
      <c r="F463" t="s">
        <v>8485</v>
      </c>
      <c r="G463" t="s">
        <v>74</v>
      </c>
      <c r="H463" t="s">
        <v>74</v>
      </c>
      <c r="I463" t="s">
        <v>8486</v>
      </c>
      <c r="J463" t="s">
        <v>8487</v>
      </c>
      <c r="K463" t="s">
        <v>74</v>
      </c>
      <c r="L463" t="s">
        <v>74</v>
      </c>
      <c r="M463" t="s">
        <v>78</v>
      </c>
      <c r="N463" t="s">
        <v>79</v>
      </c>
      <c r="O463" t="s">
        <v>74</v>
      </c>
      <c r="P463" t="s">
        <v>74</v>
      </c>
      <c r="Q463" t="s">
        <v>74</v>
      </c>
      <c r="R463" t="s">
        <v>74</v>
      </c>
      <c r="S463" t="s">
        <v>74</v>
      </c>
      <c r="T463" t="s">
        <v>8488</v>
      </c>
      <c r="U463" t="s">
        <v>8489</v>
      </c>
      <c r="V463" t="s">
        <v>8490</v>
      </c>
      <c r="W463" t="s">
        <v>8491</v>
      </c>
      <c r="X463" t="s">
        <v>8492</v>
      </c>
      <c r="Y463" t="s">
        <v>8493</v>
      </c>
      <c r="Z463" t="s">
        <v>8494</v>
      </c>
      <c r="AA463" t="s">
        <v>74</v>
      </c>
      <c r="AB463" t="s">
        <v>8495</v>
      </c>
      <c r="AC463" t="s">
        <v>74</v>
      </c>
      <c r="AD463" t="s">
        <v>74</v>
      </c>
      <c r="AE463" t="s">
        <v>74</v>
      </c>
      <c r="AF463" t="s">
        <v>74</v>
      </c>
      <c r="AG463">
        <v>42</v>
      </c>
      <c r="AH463">
        <v>0</v>
      </c>
      <c r="AI463">
        <v>0</v>
      </c>
      <c r="AJ463">
        <v>0</v>
      </c>
      <c r="AK463">
        <v>0</v>
      </c>
      <c r="AL463" t="s">
        <v>955</v>
      </c>
      <c r="AM463" t="s">
        <v>956</v>
      </c>
      <c r="AN463" t="s">
        <v>957</v>
      </c>
      <c r="AO463" t="s">
        <v>8496</v>
      </c>
      <c r="AP463" t="s">
        <v>8497</v>
      </c>
      <c r="AQ463" t="s">
        <v>74</v>
      </c>
      <c r="AR463" t="s">
        <v>8498</v>
      </c>
      <c r="AS463" t="s">
        <v>8499</v>
      </c>
      <c r="AT463" t="s">
        <v>6618</v>
      </c>
      <c r="AU463">
        <v>2023</v>
      </c>
      <c r="AV463">
        <v>224</v>
      </c>
      <c r="AW463" t="s">
        <v>74</v>
      </c>
      <c r="AX463" t="s">
        <v>74</v>
      </c>
      <c r="AY463" t="s">
        <v>74</v>
      </c>
      <c r="AZ463" t="s">
        <v>74</v>
      </c>
      <c r="BA463" t="s">
        <v>74</v>
      </c>
      <c r="BB463" t="s">
        <v>74</v>
      </c>
      <c r="BC463" t="s">
        <v>74</v>
      </c>
      <c r="BD463">
        <v>109720</v>
      </c>
      <c r="BE463" t="s">
        <v>8500</v>
      </c>
      <c r="BF463" t="str">
        <f>HYPERLINK("http://dx.doi.org/10.1016/j.epsr.2023.109720","http://dx.doi.org/10.1016/j.epsr.2023.109720")</f>
        <v>http://dx.doi.org/10.1016/j.epsr.2023.109720</v>
      </c>
      <c r="BG463" t="s">
        <v>74</v>
      </c>
      <c r="BH463" t="s">
        <v>74</v>
      </c>
      <c r="BI463">
        <v>16</v>
      </c>
      <c r="BJ463" t="s">
        <v>4594</v>
      </c>
      <c r="BK463" t="s">
        <v>100</v>
      </c>
      <c r="BL463" t="s">
        <v>873</v>
      </c>
      <c r="BM463" t="s">
        <v>8501</v>
      </c>
      <c r="BN463" t="s">
        <v>74</v>
      </c>
      <c r="BO463" t="s">
        <v>74</v>
      </c>
      <c r="BP463" t="s">
        <v>74</v>
      </c>
      <c r="BQ463" t="s">
        <v>74</v>
      </c>
      <c r="BR463" t="s">
        <v>104</v>
      </c>
      <c r="BS463" t="s">
        <v>8502</v>
      </c>
      <c r="BT463" t="str">
        <f>HYPERLINK("https%3A%2F%2Fwww.webofscience.com%2Fwos%2Fwoscc%2Ffull-record%2FWOS:001050075300001","View Full Record in Web of Science")</f>
        <v>View Full Record in Web of Science</v>
      </c>
    </row>
    <row r="464" spans="1:72" x14ac:dyDescent="0.15">
      <c r="A464" t="s">
        <v>72</v>
      </c>
      <c r="B464" t="s">
        <v>8503</v>
      </c>
      <c r="C464" t="s">
        <v>74</v>
      </c>
      <c r="D464" t="s">
        <v>74</v>
      </c>
      <c r="E464" t="s">
        <v>74</v>
      </c>
      <c r="F464" t="s">
        <v>8504</v>
      </c>
      <c r="G464" t="s">
        <v>74</v>
      </c>
      <c r="H464" t="s">
        <v>74</v>
      </c>
      <c r="I464" t="s">
        <v>8505</v>
      </c>
      <c r="J464" t="s">
        <v>8177</v>
      </c>
      <c r="K464" t="s">
        <v>74</v>
      </c>
      <c r="L464" t="s">
        <v>74</v>
      </c>
      <c r="M464" t="s">
        <v>78</v>
      </c>
      <c r="N464" t="s">
        <v>79</v>
      </c>
      <c r="O464" t="s">
        <v>74</v>
      </c>
      <c r="P464" t="s">
        <v>74</v>
      </c>
      <c r="Q464" t="s">
        <v>74</v>
      </c>
      <c r="R464" t="s">
        <v>74</v>
      </c>
      <c r="S464" t="s">
        <v>74</v>
      </c>
      <c r="T464" t="s">
        <v>8506</v>
      </c>
      <c r="U464" t="s">
        <v>8507</v>
      </c>
      <c r="V464" t="s">
        <v>8508</v>
      </c>
      <c r="W464" t="s">
        <v>8509</v>
      </c>
      <c r="X464" t="s">
        <v>8510</v>
      </c>
      <c r="Y464" t="s">
        <v>8511</v>
      </c>
      <c r="Z464" t="s">
        <v>8512</v>
      </c>
      <c r="AA464" t="s">
        <v>74</v>
      </c>
      <c r="AB464" t="s">
        <v>74</v>
      </c>
      <c r="AC464" t="s">
        <v>74</v>
      </c>
      <c r="AD464" t="s">
        <v>74</v>
      </c>
      <c r="AE464" t="s">
        <v>74</v>
      </c>
      <c r="AF464" t="s">
        <v>74</v>
      </c>
      <c r="AG464">
        <v>94</v>
      </c>
      <c r="AH464">
        <v>0</v>
      </c>
      <c r="AI464">
        <v>0</v>
      </c>
      <c r="AJ464">
        <v>3</v>
      </c>
      <c r="AK464">
        <v>3</v>
      </c>
      <c r="AL464" t="s">
        <v>90</v>
      </c>
      <c r="AM464" t="s">
        <v>91</v>
      </c>
      <c r="AN464" t="s">
        <v>92</v>
      </c>
      <c r="AO464" t="s">
        <v>8190</v>
      </c>
      <c r="AP464" t="s">
        <v>8191</v>
      </c>
      <c r="AQ464" t="s">
        <v>74</v>
      </c>
      <c r="AR464" t="s">
        <v>8192</v>
      </c>
      <c r="AS464" t="s">
        <v>8193</v>
      </c>
      <c r="AT464" t="s">
        <v>6618</v>
      </c>
      <c r="AU464">
        <v>2023</v>
      </c>
      <c r="AV464">
        <v>77</v>
      </c>
      <c r="AW464" t="s">
        <v>74</v>
      </c>
      <c r="AX464" t="s">
        <v>74</v>
      </c>
      <c r="AY464" t="s">
        <v>74</v>
      </c>
      <c r="AZ464" t="s">
        <v>74</v>
      </c>
      <c r="BA464" t="s">
        <v>74</v>
      </c>
      <c r="BB464" t="s">
        <v>74</v>
      </c>
      <c r="BC464" t="s">
        <v>74</v>
      </c>
      <c r="BD464">
        <v>102253</v>
      </c>
      <c r="BE464" t="s">
        <v>8513</v>
      </c>
      <c r="BF464" t="str">
        <f>HYPERLINK("http://dx.doi.org/10.1016/j.ecoinf.2023.102253","http://dx.doi.org/10.1016/j.ecoinf.2023.102253")</f>
        <v>http://dx.doi.org/10.1016/j.ecoinf.2023.102253</v>
      </c>
      <c r="BG464" t="s">
        <v>74</v>
      </c>
      <c r="BH464" t="s">
        <v>74</v>
      </c>
      <c r="BI464">
        <v>15</v>
      </c>
      <c r="BJ464" t="s">
        <v>7766</v>
      </c>
      <c r="BK464" t="s">
        <v>100</v>
      </c>
      <c r="BL464" t="s">
        <v>1540</v>
      </c>
      <c r="BM464" t="s">
        <v>8514</v>
      </c>
      <c r="BN464" t="s">
        <v>74</v>
      </c>
      <c r="BO464" t="s">
        <v>74</v>
      </c>
      <c r="BP464" t="s">
        <v>74</v>
      </c>
      <c r="BQ464" t="s">
        <v>74</v>
      </c>
      <c r="BR464" t="s">
        <v>104</v>
      </c>
      <c r="BS464" t="s">
        <v>8515</v>
      </c>
      <c r="BT464" t="str">
        <f>HYPERLINK("https%3A%2F%2Fwww.webofscience.com%2Fwos%2Fwoscc%2Ffull-record%2FWOS:001059000100001","View Full Record in Web of Science")</f>
        <v>View Full Record in Web of Science</v>
      </c>
    </row>
    <row r="465" spans="1:72" x14ac:dyDescent="0.15">
      <c r="A465" t="s">
        <v>72</v>
      </c>
      <c r="B465" t="s">
        <v>8516</v>
      </c>
      <c r="C465" t="s">
        <v>74</v>
      </c>
      <c r="D465" t="s">
        <v>74</v>
      </c>
      <c r="E465" t="s">
        <v>74</v>
      </c>
      <c r="F465" t="s">
        <v>8517</v>
      </c>
      <c r="G465" t="s">
        <v>74</v>
      </c>
      <c r="H465" t="s">
        <v>74</v>
      </c>
      <c r="I465" t="s">
        <v>8518</v>
      </c>
      <c r="J465" t="s">
        <v>7689</v>
      </c>
      <c r="K465" t="s">
        <v>74</v>
      </c>
      <c r="L465" t="s">
        <v>74</v>
      </c>
      <c r="M465" t="s">
        <v>78</v>
      </c>
      <c r="N465" t="s">
        <v>79</v>
      </c>
      <c r="O465" t="s">
        <v>74</v>
      </c>
      <c r="P465" t="s">
        <v>74</v>
      </c>
      <c r="Q465" t="s">
        <v>74</v>
      </c>
      <c r="R465" t="s">
        <v>74</v>
      </c>
      <c r="S465" t="s">
        <v>74</v>
      </c>
      <c r="T465" t="s">
        <v>8519</v>
      </c>
      <c r="U465" t="s">
        <v>8520</v>
      </c>
      <c r="V465" t="s">
        <v>8521</v>
      </c>
      <c r="W465" t="s">
        <v>8522</v>
      </c>
      <c r="X465" t="s">
        <v>8523</v>
      </c>
      <c r="Y465" t="s">
        <v>8524</v>
      </c>
      <c r="Z465" t="s">
        <v>8525</v>
      </c>
      <c r="AA465" t="s">
        <v>74</v>
      </c>
      <c r="AB465" t="s">
        <v>8526</v>
      </c>
      <c r="AC465" t="s">
        <v>8527</v>
      </c>
      <c r="AD465" t="s">
        <v>8528</v>
      </c>
      <c r="AE465" t="s">
        <v>8529</v>
      </c>
      <c r="AF465" t="s">
        <v>74</v>
      </c>
      <c r="AG465">
        <v>45</v>
      </c>
      <c r="AH465">
        <v>0</v>
      </c>
      <c r="AI465">
        <v>0</v>
      </c>
      <c r="AJ465">
        <v>0</v>
      </c>
      <c r="AK465">
        <v>0</v>
      </c>
      <c r="AL465" t="s">
        <v>554</v>
      </c>
      <c r="AM465" t="s">
        <v>555</v>
      </c>
      <c r="AN465" t="s">
        <v>556</v>
      </c>
      <c r="AO465" t="s">
        <v>7697</v>
      </c>
      <c r="AP465" t="s">
        <v>7698</v>
      </c>
      <c r="AQ465" t="s">
        <v>74</v>
      </c>
      <c r="AR465" t="s">
        <v>7699</v>
      </c>
      <c r="AS465" t="s">
        <v>7700</v>
      </c>
      <c r="AT465" t="s">
        <v>6659</v>
      </c>
      <c r="AU465">
        <v>2023</v>
      </c>
      <c r="AV465">
        <v>345</v>
      </c>
      <c r="AW465" t="s">
        <v>74</v>
      </c>
      <c r="AX465" t="s">
        <v>74</v>
      </c>
      <c r="AY465" t="s">
        <v>74</v>
      </c>
      <c r="AZ465" t="s">
        <v>74</v>
      </c>
      <c r="BA465" t="s">
        <v>74</v>
      </c>
      <c r="BB465" t="s">
        <v>74</v>
      </c>
      <c r="BC465" t="s">
        <v>74</v>
      </c>
      <c r="BD465">
        <v>118821</v>
      </c>
      <c r="BE465" t="s">
        <v>8530</v>
      </c>
      <c r="BF465" t="str">
        <f>HYPERLINK("http://dx.doi.org/10.1016/j.jenvman.2023.118821","http://dx.doi.org/10.1016/j.jenvman.2023.118821")</f>
        <v>http://dx.doi.org/10.1016/j.jenvman.2023.118821</v>
      </c>
      <c r="BG465" t="s">
        <v>74</v>
      </c>
      <c r="BH465" t="s">
        <v>74</v>
      </c>
      <c r="BI465">
        <v>10</v>
      </c>
      <c r="BJ465" t="s">
        <v>1539</v>
      </c>
      <c r="BK465" t="s">
        <v>100</v>
      </c>
      <c r="BL465" t="s">
        <v>1540</v>
      </c>
      <c r="BM465" t="s">
        <v>8531</v>
      </c>
      <c r="BN465">
        <v>37598490</v>
      </c>
      <c r="BO465" t="s">
        <v>74</v>
      </c>
      <c r="BP465" t="s">
        <v>74</v>
      </c>
      <c r="BQ465" t="s">
        <v>74</v>
      </c>
      <c r="BR465" t="s">
        <v>104</v>
      </c>
      <c r="BS465" t="s">
        <v>8532</v>
      </c>
      <c r="BT465" t="str">
        <f>HYPERLINK("https%3A%2F%2Fwww.webofscience.com%2Fwos%2Fwoscc%2Ffull-record%2FWOS:001065061600001","View Full Record in Web of Science")</f>
        <v>View Full Record in Web of Science</v>
      </c>
    </row>
    <row r="466" spans="1:72" x14ac:dyDescent="0.15">
      <c r="A466" t="s">
        <v>72</v>
      </c>
      <c r="B466" t="s">
        <v>8533</v>
      </c>
      <c r="C466" t="s">
        <v>74</v>
      </c>
      <c r="D466" t="s">
        <v>74</v>
      </c>
      <c r="E466" t="s">
        <v>74</v>
      </c>
      <c r="F466" t="s">
        <v>8534</v>
      </c>
      <c r="G466" t="s">
        <v>74</v>
      </c>
      <c r="H466" t="s">
        <v>74</v>
      </c>
      <c r="I466" t="s">
        <v>8535</v>
      </c>
      <c r="J466" t="s">
        <v>2812</v>
      </c>
      <c r="K466" t="s">
        <v>74</v>
      </c>
      <c r="L466" t="s">
        <v>74</v>
      </c>
      <c r="M466" t="s">
        <v>78</v>
      </c>
      <c r="N466" t="s">
        <v>79</v>
      </c>
      <c r="O466" t="s">
        <v>74</v>
      </c>
      <c r="P466" t="s">
        <v>74</v>
      </c>
      <c r="Q466" t="s">
        <v>74</v>
      </c>
      <c r="R466" t="s">
        <v>74</v>
      </c>
      <c r="S466" t="s">
        <v>74</v>
      </c>
      <c r="T466" t="s">
        <v>8536</v>
      </c>
      <c r="U466" t="s">
        <v>8537</v>
      </c>
      <c r="V466" t="s">
        <v>8538</v>
      </c>
      <c r="W466" t="s">
        <v>8539</v>
      </c>
      <c r="X466" t="s">
        <v>8540</v>
      </c>
      <c r="Y466" t="s">
        <v>8541</v>
      </c>
      <c r="Z466" t="s">
        <v>8542</v>
      </c>
      <c r="AA466" t="s">
        <v>74</v>
      </c>
      <c r="AB466" t="s">
        <v>74</v>
      </c>
      <c r="AC466" t="s">
        <v>74</v>
      </c>
      <c r="AD466" t="s">
        <v>74</v>
      </c>
      <c r="AE466" t="s">
        <v>74</v>
      </c>
      <c r="AF466" t="s">
        <v>74</v>
      </c>
      <c r="AG466">
        <v>34</v>
      </c>
      <c r="AH466">
        <v>0</v>
      </c>
      <c r="AI466">
        <v>0</v>
      </c>
      <c r="AJ466">
        <v>5</v>
      </c>
      <c r="AK466">
        <v>5</v>
      </c>
      <c r="AL466" t="s">
        <v>475</v>
      </c>
      <c r="AM466" t="s">
        <v>476</v>
      </c>
      <c r="AN466" t="s">
        <v>477</v>
      </c>
      <c r="AO466" t="s">
        <v>2819</v>
      </c>
      <c r="AP466" t="s">
        <v>2820</v>
      </c>
      <c r="AQ466" t="s">
        <v>74</v>
      </c>
      <c r="AR466" t="s">
        <v>2821</v>
      </c>
      <c r="AS466" t="s">
        <v>2822</v>
      </c>
      <c r="AT466" t="s">
        <v>6618</v>
      </c>
      <c r="AU466">
        <v>2023</v>
      </c>
      <c r="AV466">
        <v>57</v>
      </c>
      <c r="AW466" t="s">
        <v>74</v>
      </c>
      <c r="AX466" t="s">
        <v>74</v>
      </c>
      <c r="AY466" t="s">
        <v>74</v>
      </c>
      <c r="AZ466" t="s">
        <v>74</v>
      </c>
      <c r="BA466" t="s">
        <v>74</v>
      </c>
      <c r="BB466" t="s">
        <v>74</v>
      </c>
      <c r="BC466" t="s">
        <v>74</v>
      </c>
      <c r="BD466">
        <v>104241</v>
      </c>
      <c r="BE466" t="s">
        <v>8543</v>
      </c>
      <c r="BF466" t="str">
        <f>HYPERLINK("http://dx.doi.org/10.1016/j.frl.2023.104241","http://dx.doi.org/10.1016/j.frl.2023.104241")</f>
        <v>http://dx.doi.org/10.1016/j.frl.2023.104241</v>
      </c>
      <c r="BG466" t="s">
        <v>74</v>
      </c>
      <c r="BH466" t="s">
        <v>74</v>
      </c>
      <c r="BI466">
        <v>8</v>
      </c>
      <c r="BJ466" t="s">
        <v>2824</v>
      </c>
      <c r="BK466" t="s">
        <v>627</v>
      </c>
      <c r="BL466" t="s">
        <v>628</v>
      </c>
      <c r="BM466" t="s">
        <v>8544</v>
      </c>
      <c r="BN466" t="s">
        <v>74</v>
      </c>
      <c r="BO466" t="s">
        <v>74</v>
      </c>
      <c r="BP466" t="s">
        <v>74</v>
      </c>
      <c r="BQ466" t="s">
        <v>74</v>
      </c>
      <c r="BR466" t="s">
        <v>104</v>
      </c>
      <c r="BS466" t="s">
        <v>8545</v>
      </c>
      <c r="BT466" t="str">
        <f>HYPERLINK("https%3A%2F%2Fwww.webofscience.com%2Fwos%2Fwoscc%2Ffull-record%2FWOS:001055331600001","View Full Record in Web of Science")</f>
        <v>View Full Record in Web of Science</v>
      </c>
    </row>
    <row r="467" spans="1:72" x14ac:dyDescent="0.15">
      <c r="A467" t="s">
        <v>72</v>
      </c>
      <c r="B467" t="s">
        <v>8546</v>
      </c>
      <c r="C467" t="s">
        <v>74</v>
      </c>
      <c r="D467" t="s">
        <v>74</v>
      </c>
      <c r="E467" t="s">
        <v>74</v>
      </c>
      <c r="F467" t="s">
        <v>8547</v>
      </c>
      <c r="G467" t="s">
        <v>74</v>
      </c>
      <c r="H467" t="s">
        <v>74</v>
      </c>
      <c r="I467" t="s">
        <v>8548</v>
      </c>
      <c r="J467" t="s">
        <v>8549</v>
      </c>
      <c r="K467" t="s">
        <v>74</v>
      </c>
      <c r="L467" t="s">
        <v>74</v>
      </c>
      <c r="M467" t="s">
        <v>78</v>
      </c>
      <c r="N467" t="s">
        <v>79</v>
      </c>
      <c r="O467" t="s">
        <v>74</v>
      </c>
      <c r="P467" t="s">
        <v>74</v>
      </c>
      <c r="Q467" t="s">
        <v>74</v>
      </c>
      <c r="R467" t="s">
        <v>74</v>
      </c>
      <c r="S467" t="s">
        <v>74</v>
      </c>
      <c r="T467" t="s">
        <v>8550</v>
      </c>
      <c r="U467" t="s">
        <v>8551</v>
      </c>
      <c r="V467" t="s">
        <v>8552</v>
      </c>
      <c r="W467" t="s">
        <v>8553</v>
      </c>
      <c r="X467" t="s">
        <v>8554</v>
      </c>
      <c r="Y467" t="s">
        <v>8555</v>
      </c>
      <c r="Z467" t="s">
        <v>8556</v>
      </c>
      <c r="AA467" t="s">
        <v>74</v>
      </c>
      <c r="AB467" t="s">
        <v>74</v>
      </c>
      <c r="AC467" t="s">
        <v>8557</v>
      </c>
      <c r="AD467" t="s">
        <v>8558</v>
      </c>
      <c r="AE467" t="s">
        <v>8559</v>
      </c>
      <c r="AF467" t="s">
        <v>74</v>
      </c>
      <c r="AG467">
        <v>87</v>
      </c>
      <c r="AH467">
        <v>0</v>
      </c>
      <c r="AI467">
        <v>0</v>
      </c>
      <c r="AJ467">
        <v>0</v>
      </c>
      <c r="AK467">
        <v>0</v>
      </c>
      <c r="AL467" t="s">
        <v>90</v>
      </c>
      <c r="AM467" t="s">
        <v>91</v>
      </c>
      <c r="AN467" t="s">
        <v>92</v>
      </c>
      <c r="AO467" t="s">
        <v>8560</v>
      </c>
      <c r="AP467" t="s">
        <v>8561</v>
      </c>
      <c r="AQ467" t="s">
        <v>74</v>
      </c>
      <c r="AR467" t="s">
        <v>8562</v>
      </c>
      <c r="AS467" t="s">
        <v>8563</v>
      </c>
      <c r="AT467" t="s">
        <v>6618</v>
      </c>
      <c r="AU467">
        <v>2023</v>
      </c>
      <c r="AV467">
        <v>292</v>
      </c>
      <c r="AW467" t="s">
        <v>74</v>
      </c>
      <c r="AX467" t="s">
        <v>74</v>
      </c>
      <c r="AY467" t="s">
        <v>74</v>
      </c>
      <c r="AZ467" t="s">
        <v>74</v>
      </c>
      <c r="BA467" t="s">
        <v>74</v>
      </c>
      <c r="BB467" t="s">
        <v>74</v>
      </c>
      <c r="BC467" t="s">
        <v>74</v>
      </c>
      <c r="BD467">
        <v>108854</v>
      </c>
      <c r="BE467" t="s">
        <v>8564</v>
      </c>
      <c r="BF467" t="str">
        <f>HYPERLINK("http://dx.doi.org/10.1016/j.cpc.2023.108854","http://dx.doi.org/10.1016/j.cpc.2023.108854")</f>
        <v>http://dx.doi.org/10.1016/j.cpc.2023.108854</v>
      </c>
      <c r="BG467" t="s">
        <v>74</v>
      </c>
      <c r="BH467" t="s">
        <v>74</v>
      </c>
      <c r="BI467">
        <v>7</v>
      </c>
      <c r="BJ467" t="s">
        <v>8565</v>
      </c>
      <c r="BK467" t="s">
        <v>100</v>
      </c>
      <c r="BL467" t="s">
        <v>8566</v>
      </c>
      <c r="BM467" t="s">
        <v>8567</v>
      </c>
      <c r="BN467" t="s">
        <v>74</v>
      </c>
      <c r="BO467" t="s">
        <v>103</v>
      </c>
      <c r="BP467" t="s">
        <v>74</v>
      </c>
      <c r="BQ467" t="s">
        <v>74</v>
      </c>
      <c r="BR467" t="s">
        <v>104</v>
      </c>
      <c r="BS467" t="s">
        <v>8568</v>
      </c>
      <c r="BT467" t="str">
        <f>HYPERLINK("https%3A%2F%2Fwww.webofscience.com%2Fwos%2Fwoscc%2Ffull-record%2FWOS:001059438600001","View Full Record in Web of Science")</f>
        <v>View Full Record in Web of Science</v>
      </c>
    </row>
    <row r="468" spans="1:72" x14ac:dyDescent="0.15">
      <c r="A468" t="s">
        <v>72</v>
      </c>
      <c r="B468" t="s">
        <v>8569</v>
      </c>
      <c r="C468" t="s">
        <v>74</v>
      </c>
      <c r="D468" t="s">
        <v>74</v>
      </c>
      <c r="E468" t="s">
        <v>74</v>
      </c>
      <c r="F468" t="s">
        <v>8570</v>
      </c>
      <c r="G468" t="s">
        <v>74</v>
      </c>
      <c r="H468" t="s">
        <v>74</v>
      </c>
      <c r="I468" t="s">
        <v>8571</v>
      </c>
      <c r="J468" t="s">
        <v>613</v>
      </c>
      <c r="K468" t="s">
        <v>74</v>
      </c>
      <c r="L468" t="s">
        <v>74</v>
      </c>
      <c r="M468" t="s">
        <v>78</v>
      </c>
      <c r="N468" t="s">
        <v>79</v>
      </c>
      <c r="O468" t="s">
        <v>74</v>
      </c>
      <c r="P468" t="s">
        <v>74</v>
      </c>
      <c r="Q468" t="s">
        <v>74</v>
      </c>
      <c r="R468" t="s">
        <v>74</v>
      </c>
      <c r="S468" t="s">
        <v>74</v>
      </c>
      <c r="T468" t="s">
        <v>8572</v>
      </c>
      <c r="U468" t="s">
        <v>8573</v>
      </c>
      <c r="V468" t="s">
        <v>8574</v>
      </c>
      <c r="W468" t="s">
        <v>8575</v>
      </c>
      <c r="X468" t="s">
        <v>8576</v>
      </c>
      <c r="Y468" t="s">
        <v>8577</v>
      </c>
      <c r="Z468" t="s">
        <v>8578</v>
      </c>
      <c r="AA468" t="s">
        <v>8579</v>
      </c>
      <c r="AB468" t="s">
        <v>8580</v>
      </c>
      <c r="AC468" t="s">
        <v>74</v>
      </c>
      <c r="AD468" t="s">
        <v>74</v>
      </c>
      <c r="AE468" t="s">
        <v>74</v>
      </c>
      <c r="AF468" t="s">
        <v>74</v>
      </c>
      <c r="AG468">
        <v>89</v>
      </c>
      <c r="AH468">
        <v>0</v>
      </c>
      <c r="AI468">
        <v>0</v>
      </c>
      <c r="AJ468">
        <v>1</v>
      </c>
      <c r="AK468">
        <v>1</v>
      </c>
      <c r="AL468" t="s">
        <v>90</v>
      </c>
      <c r="AM468" t="s">
        <v>91</v>
      </c>
      <c r="AN468" t="s">
        <v>92</v>
      </c>
      <c r="AO468" t="s">
        <v>621</v>
      </c>
      <c r="AP468" t="s">
        <v>622</v>
      </c>
      <c r="AQ468" t="s">
        <v>74</v>
      </c>
      <c r="AR468" t="s">
        <v>623</v>
      </c>
      <c r="AS468" t="s">
        <v>624</v>
      </c>
      <c r="AT468" t="s">
        <v>6618</v>
      </c>
      <c r="AU468">
        <v>2023</v>
      </c>
      <c r="AV468">
        <v>88</v>
      </c>
      <c r="AW468" t="s">
        <v>74</v>
      </c>
      <c r="AX468" t="s">
        <v>74</v>
      </c>
      <c r="AY468" t="s">
        <v>74</v>
      </c>
      <c r="AZ468" t="s">
        <v>74</v>
      </c>
      <c r="BA468" t="s">
        <v>74</v>
      </c>
      <c r="BB468">
        <v>766</v>
      </c>
      <c r="BC468">
        <v>798</v>
      </c>
      <c r="BD468" t="s">
        <v>74</v>
      </c>
      <c r="BE468" t="s">
        <v>8581</v>
      </c>
      <c r="BF468" t="str">
        <f>HYPERLINK("http://dx.doi.org/10.1016/j.iref.2023.07.019","http://dx.doi.org/10.1016/j.iref.2023.07.019")</f>
        <v>http://dx.doi.org/10.1016/j.iref.2023.07.019</v>
      </c>
      <c r="BG468" t="s">
        <v>74</v>
      </c>
      <c r="BH468" t="s">
        <v>74</v>
      </c>
      <c r="BI468">
        <v>33</v>
      </c>
      <c r="BJ468" t="s">
        <v>626</v>
      </c>
      <c r="BK468" t="s">
        <v>627</v>
      </c>
      <c r="BL468" t="s">
        <v>628</v>
      </c>
      <c r="BM468" t="s">
        <v>8582</v>
      </c>
      <c r="BN468" t="s">
        <v>74</v>
      </c>
      <c r="BO468" t="s">
        <v>74</v>
      </c>
      <c r="BP468" t="s">
        <v>74</v>
      </c>
      <c r="BQ468" t="s">
        <v>74</v>
      </c>
      <c r="BR468" t="s">
        <v>104</v>
      </c>
      <c r="BS468" t="s">
        <v>8583</v>
      </c>
      <c r="BT468" t="str">
        <f>HYPERLINK("https%3A%2F%2Fwww.webofscience.com%2Fwos%2Fwoscc%2Ffull-record%2FWOS:001048831900001","View Full Record in Web of Science")</f>
        <v>View Full Record in Web of Science</v>
      </c>
    </row>
    <row r="469" spans="1:72" x14ac:dyDescent="0.15">
      <c r="A469" t="s">
        <v>72</v>
      </c>
      <c r="B469" t="s">
        <v>8584</v>
      </c>
      <c r="C469" t="s">
        <v>74</v>
      </c>
      <c r="D469" t="s">
        <v>74</v>
      </c>
      <c r="E469" t="s">
        <v>74</v>
      </c>
      <c r="F469" t="s">
        <v>8585</v>
      </c>
      <c r="G469" t="s">
        <v>74</v>
      </c>
      <c r="H469" t="s">
        <v>74</v>
      </c>
      <c r="I469" t="s">
        <v>8586</v>
      </c>
      <c r="J469" t="s">
        <v>5302</v>
      </c>
      <c r="K469" t="s">
        <v>74</v>
      </c>
      <c r="L469" t="s">
        <v>74</v>
      </c>
      <c r="M469" t="s">
        <v>78</v>
      </c>
      <c r="N469" t="s">
        <v>79</v>
      </c>
      <c r="O469" t="s">
        <v>74</v>
      </c>
      <c r="P469" t="s">
        <v>74</v>
      </c>
      <c r="Q469" t="s">
        <v>74</v>
      </c>
      <c r="R469" t="s">
        <v>74</v>
      </c>
      <c r="S469" t="s">
        <v>74</v>
      </c>
      <c r="T469" t="s">
        <v>8587</v>
      </c>
      <c r="U469" t="s">
        <v>8588</v>
      </c>
      <c r="V469" t="s">
        <v>8589</v>
      </c>
      <c r="W469" t="s">
        <v>8590</v>
      </c>
      <c r="X469" t="s">
        <v>8591</v>
      </c>
      <c r="Y469" t="s">
        <v>8592</v>
      </c>
      <c r="Z469" t="s">
        <v>8593</v>
      </c>
      <c r="AA469" t="s">
        <v>74</v>
      </c>
      <c r="AB469" t="s">
        <v>8594</v>
      </c>
      <c r="AC469" t="s">
        <v>8595</v>
      </c>
      <c r="AD469" t="s">
        <v>8596</v>
      </c>
      <c r="AE469" t="s">
        <v>8597</v>
      </c>
      <c r="AF469" t="s">
        <v>74</v>
      </c>
      <c r="AG469">
        <v>81</v>
      </c>
      <c r="AH469">
        <v>0</v>
      </c>
      <c r="AI469">
        <v>0</v>
      </c>
      <c r="AJ469">
        <v>0</v>
      </c>
      <c r="AK469">
        <v>0</v>
      </c>
      <c r="AL469" t="s">
        <v>475</v>
      </c>
      <c r="AM469" t="s">
        <v>476</v>
      </c>
      <c r="AN469" t="s">
        <v>477</v>
      </c>
      <c r="AO469" t="s">
        <v>5315</v>
      </c>
      <c r="AP469" t="s">
        <v>5316</v>
      </c>
      <c r="AQ469" t="s">
        <v>74</v>
      </c>
      <c r="AR469" t="s">
        <v>5317</v>
      </c>
      <c r="AS469" t="s">
        <v>5318</v>
      </c>
      <c r="AT469" t="s">
        <v>6659</v>
      </c>
      <c r="AU469">
        <v>2023</v>
      </c>
      <c r="AV469">
        <v>236</v>
      </c>
      <c r="AW469" t="s">
        <v>74</v>
      </c>
      <c r="AX469">
        <v>2</v>
      </c>
      <c r="AY469" t="s">
        <v>74</v>
      </c>
      <c r="AZ469" t="s">
        <v>74</v>
      </c>
      <c r="BA469" t="s">
        <v>74</v>
      </c>
      <c r="BB469" t="s">
        <v>74</v>
      </c>
      <c r="BC469" t="s">
        <v>74</v>
      </c>
      <c r="BD469">
        <v>116880</v>
      </c>
      <c r="BE469" t="s">
        <v>8598</v>
      </c>
      <c r="BF469" t="str">
        <f>HYPERLINK("http://dx.doi.org/10.1016/j.envres.2023.116880","http://dx.doi.org/10.1016/j.envres.2023.116880")</f>
        <v>http://dx.doi.org/10.1016/j.envres.2023.116880</v>
      </c>
      <c r="BG469" t="s">
        <v>74</v>
      </c>
      <c r="BH469" t="s">
        <v>74</v>
      </c>
      <c r="BI469">
        <v>11</v>
      </c>
      <c r="BJ469" t="s">
        <v>5320</v>
      </c>
      <c r="BK469" t="s">
        <v>100</v>
      </c>
      <c r="BL469" t="s">
        <v>5321</v>
      </c>
      <c r="BM469" t="s">
        <v>8599</v>
      </c>
      <c r="BN469">
        <v>37574101</v>
      </c>
      <c r="BO469" t="s">
        <v>74</v>
      </c>
      <c r="BP469" t="s">
        <v>74</v>
      </c>
      <c r="BQ469" t="s">
        <v>74</v>
      </c>
      <c r="BR469" t="s">
        <v>104</v>
      </c>
      <c r="BS469" t="s">
        <v>8600</v>
      </c>
      <c r="BT469" t="str">
        <f>HYPERLINK("https%3A%2F%2Fwww.webofscience.com%2Fwos%2Fwoscc%2Ffull-record%2FWOS:001061682700001","View Full Record in Web of Science")</f>
        <v>View Full Record in Web of Science</v>
      </c>
    </row>
    <row r="470" spans="1:72" x14ac:dyDescent="0.15">
      <c r="A470" t="s">
        <v>72</v>
      </c>
      <c r="B470" t="s">
        <v>8601</v>
      </c>
      <c r="C470" t="s">
        <v>74</v>
      </c>
      <c r="D470" t="s">
        <v>74</v>
      </c>
      <c r="E470" t="s">
        <v>74</v>
      </c>
      <c r="F470" t="s">
        <v>8602</v>
      </c>
      <c r="G470" t="s">
        <v>74</v>
      </c>
      <c r="H470" t="s">
        <v>74</v>
      </c>
      <c r="I470" t="s">
        <v>8603</v>
      </c>
      <c r="J470" t="s">
        <v>8066</v>
      </c>
      <c r="K470" t="s">
        <v>74</v>
      </c>
      <c r="L470" t="s">
        <v>74</v>
      </c>
      <c r="M470" t="s">
        <v>78</v>
      </c>
      <c r="N470" t="s">
        <v>241</v>
      </c>
      <c r="O470" t="s">
        <v>74</v>
      </c>
      <c r="P470" t="s">
        <v>74</v>
      </c>
      <c r="Q470" t="s">
        <v>74</v>
      </c>
      <c r="R470" t="s">
        <v>74</v>
      </c>
      <c r="S470" t="s">
        <v>74</v>
      </c>
      <c r="T470" t="s">
        <v>74</v>
      </c>
      <c r="U470" t="s">
        <v>8604</v>
      </c>
      <c r="V470" t="s">
        <v>8605</v>
      </c>
      <c r="W470" t="s">
        <v>8606</v>
      </c>
      <c r="X470" t="s">
        <v>8607</v>
      </c>
      <c r="Y470" t="s">
        <v>8608</v>
      </c>
      <c r="Z470" t="s">
        <v>8609</v>
      </c>
      <c r="AA470" t="s">
        <v>74</v>
      </c>
      <c r="AB470" t="s">
        <v>74</v>
      </c>
      <c r="AC470" t="s">
        <v>74</v>
      </c>
      <c r="AD470" t="s">
        <v>74</v>
      </c>
      <c r="AE470" t="s">
        <v>74</v>
      </c>
      <c r="AF470" t="s">
        <v>74</v>
      </c>
      <c r="AG470">
        <v>152</v>
      </c>
      <c r="AH470">
        <v>0</v>
      </c>
      <c r="AI470">
        <v>0</v>
      </c>
      <c r="AJ470">
        <v>2</v>
      </c>
      <c r="AK470">
        <v>2</v>
      </c>
      <c r="AL470" t="s">
        <v>8072</v>
      </c>
      <c r="AM470" t="s">
        <v>148</v>
      </c>
      <c r="AN470" t="s">
        <v>8073</v>
      </c>
      <c r="AO470" t="s">
        <v>8074</v>
      </c>
      <c r="AP470" t="s">
        <v>8075</v>
      </c>
      <c r="AQ470" t="s">
        <v>74</v>
      </c>
      <c r="AR470" t="s">
        <v>8076</v>
      </c>
      <c r="AS470" t="s">
        <v>8077</v>
      </c>
      <c r="AT470" t="s">
        <v>6618</v>
      </c>
      <c r="AU470">
        <v>2023</v>
      </c>
      <c r="AV470">
        <v>48</v>
      </c>
      <c r="AW470">
        <v>11</v>
      </c>
      <c r="AX470" t="s">
        <v>74</v>
      </c>
      <c r="AY470" t="s">
        <v>74</v>
      </c>
      <c r="AZ470" t="s">
        <v>74</v>
      </c>
      <c r="BA470" t="s">
        <v>74</v>
      </c>
      <c r="BB470" t="s">
        <v>74</v>
      </c>
      <c r="BC470" t="s">
        <v>74</v>
      </c>
      <c r="BD470">
        <v>101935</v>
      </c>
      <c r="BE470" t="s">
        <v>8610</v>
      </c>
      <c r="BF470" t="str">
        <f>HYPERLINK("http://dx.doi.org/10.1016/j.cpcardiol.2023.101935","http://dx.doi.org/10.1016/j.cpcardiol.2023.101935")</f>
        <v>http://dx.doi.org/10.1016/j.cpcardiol.2023.101935</v>
      </c>
      <c r="BG470" t="s">
        <v>74</v>
      </c>
      <c r="BH470" t="s">
        <v>74</v>
      </c>
      <c r="BI470">
        <v>39</v>
      </c>
      <c r="BJ470" t="s">
        <v>8079</v>
      </c>
      <c r="BK470" t="s">
        <v>100</v>
      </c>
      <c r="BL470" t="s">
        <v>8080</v>
      </c>
      <c r="BM470" t="s">
        <v>8611</v>
      </c>
      <c r="BN470">
        <v>37433414</v>
      </c>
      <c r="BO470" t="s">
        <v>74</v>
      </c>
      <c r="BP470" t="s">
        <v>74</v>
      </c>
      <c r="BQ470" t="s">
        <v>74</v>
      </c>
      <c r="BR470" t="s">
        <v>104</v>
      </c>
      <c r="BS470" t="s">
        <v>8612</v>
      </c>
      <c r="BT470" t="str">
        <f>HYPERLINK("https%3A%2F%2Fwww.webofscience.com%2Fwos%2Fwoscc%2Ffull-record%2FWOS:001047821200001","View Full Record in Web of Science")</f>
        <v>View Full Record in Web of Science</v>
      </c>
    </row>
    <row r="471" spans="1:72" x14ac:dyDescent="0.15">
      <c r="A471" t="s">
        <v>72</v>
      </c>
      <c r="B471" t="s">
        <v>8613</v>
      </c>
      <c r="C471" t="s">
        <v>74</v>
      </c>
      <c r="D471" t="s">
        <v>74</v>
      </c>
      <c r="E471" t="s">
        <v>74</v>
      </c>
      <c r="F471" t="s">
        <v>8614</v>
      </c>
      <c r="G471" t="s">
        <v>74</v>
      </c>
      <c r="H471" t="s">
        <v>74</v>
      </c>
      <c r="I471" t="s">
        <v>8615</v>
      </c>
      <c r="J471" t="s">
        <v>7324</v>
      </c>
      <c r="K471" t="s">
        <v>74</v>
      </c>
      <c r="L471" t="s">
        <v>74</v>
      </c>
      <c r="M471" t="s">
        <v>78</v>
      </c>
      <c r="N471" t="s">
        <v>79</v>
      </c>
      <c r="O471" t="s">
        <v>74</v>
      </c>
      <c r="P471" t="s">
        <v>74</v>
      </c>
      <c r="Q471" t="s">
        <v>74</v>
      </c>
      <c r="R471" t="s">
        <v>74</v>
      </c>
      <c r="S471" t="s">
        <v>74</v>
      </c>
      <c r="T471" t="s">
        <v>8616</v>
      </c>
      <c r="U471" t="s">
        <v>8617</v>
      </c>
      <c r="V471" t="s">
        <v>8618</v>
      </c>
      <c r="W471" t="s">
        <v>8619</v>
      </c>
      <c r="X471" t="s">
        <v>8620</v>
      </c>
      <c r="Y471" t="s">
        <v>8621</v>
      </c>
      <c r="Z471" t="s">
        <v>8622</v>
      </c>
      <c r="AA471" t="s">
        <v>8623</v>
      </c>
      <c r="AB471" t="s">
        <v>8624</v>
      </c>
      <c r="AC471" t="s">
        <v>8625</v>
      </c>
      <c r="AD471" t="s">
        <v>8626</v>
      </c>
      <c r="AE471" t="s">
        <v>8627</v>
      </c>
      <c r="AF471" t="s">
        <v>74</v>
      </c>
      <c r="AG471">
        <v>20</v>
      </c>
      <c r="AH471">
        <v>0</v>
      </c>
      <c r="AI471">
        <v>0</v>
      </c>
      <c r="AJ471">
        <v>1</v>
      </c>
      <c r="AK471">
        <v>1</v>
      </c>
      <c r="AL471" t="s">
        <v>90</v>
      </c>
      <c r="AM471" t="s">
        <v>91</v>
      </c>
      <c r="AN471" t="s">
        <v>92</v>
      </c>
      <c r="AO471" t="s">
        <v>7335</v>
      </c>
      <c r="AP471" t="s">
        <v>7336</v>
      </c>
      <c r="AQ471" t="s">
        <v>74</v>
      </c>
      <c r="AR471" t="s">
        <v>7337</v>
      </c>
      <c r="AS471" t="s">
        <v>7338</v>
      </c>
      <c r="AT471" t="s">
        <v>6659</v>
      </c>
      <c r="AU471">
        <v>2023</v>
      </c>
      <c r="AV471">
        <v>546</v>
      </c>
      <c r="AW471" t="s">
        <v>74</v>
      </c>
      <c r="AX471" t="s">
        <v>74</v>
      </c>
      <c r="AY471" t="s">
        <v>74</v>
      </c>
      <c r="AZ471" t="s">
        <v>74</v>
      </c>
      <c r="BA471" t="s">
        <v>74</v>
      </c>
      <c r="BB471" t="s">
        <v>74</v>
      </c>
      <c r="BC471" t="s">
        <v>74</v>
      </c>
      <c r="BD471">
        <v>129774</v>
      </c>
      <c r="BE471" t="s">
        <v>8628</v>
      </c>
      <c r="BF471" t="str">
        <f>HYPERLINK("http://dx.doi.org/10.1016/j.optcom.2023.129774","http://dx.doi.org/10.1016/j.optcom.2023.129774")</f>
        <v>http://dx.doi.org/10.1016/j.optcom.2023.129774</v>
      </c>
      <c r="BG471" t="s">
        <v>74</v>
      </c>
      <c r="BH471" t="s">
        <v>74</v>
      </c>
      <c r="BI471">
        <v>9</v>
      </c>
      <c r="BJ471" t="s">
        <v>2920</v>
      </c>
      <c r="BK471" t="s">
        <v>100</v>
      </c>
      <c r="BL471" t="s">
        <v>2920</v>
      </c>
      <c r="BM471" t="s">
        <v>8629</v>
      </c>
      <c r="BN471" t="s">
        <v>74</v>
      </c>
      <c r="BO471" t="s">
        <v>74</v>
      </c>
      <c r="BP471" t="s">
        <v>74</v>
      </c>
      <c r="BQ471" t="s">
        <v>74</v>
      </c>
      <c r="BR471" t="s">
        <v>104</v>
      </c>
      <c r="BS471" t="s">
        <v>8630</v>
      </c>
      <c r="BT471" t="str">
        <f>HYPERLINK("https%3A%2F%2Fwww.webofscience.com%2Fwos%2Fwoscc%2Ffull-record%2FWOS:001053616400001","View Full Record in Web of Science")</f>
        <v>View Full Record in Web of Science</v>
      </c>
    </row>
    <row r="472" spans="1:72" x14ac:dyDescent="0.15">
      <c r="A472" t="s">
        <v>72</v>
      </c>
      <c r="B472" t="s">
        <v>8631</v>
      </c>
      <c r="C472" t="s">
        <v>74</v>
      </c>
      <c r="D472" t="s">
        <v>74</v>
      </c>
      <c r="E472" t="s">
        <v>74</v>
      </c>
      <c r="F472" t="s">
        <v>8632</v>
      </c>
      <c r="G472" t="s">
        <v>74</v>
      </c>
      <c r="H472" t="s">
        <v>74</v>
      </c>
      <c r="I472" t="s">
        <v>8633</v>
      </c>
      <c r="J472" t="s">
        <v>8634</v>
      </c>
      <c r="K472" t="s">
        <v>74</v>
      </c>
      <c r="L472" t="s">
        <v>74</v>
      </c>
      <c r="M472" t="s">
        <v>78</v>
      </c>
      <c r="N472" t="s">
        <v>8335</v>
      </c>
      <c r="O472" t="s">
        <v>74</v>
      </c>
      <c r="P472" t="s">
        <v>74</v>
      </c>
      <c r="Q472" t="s">
        <v>74</v>
      </c>
      <c r="R472" t="s">
        <v>74</v>
      </c>
      <c r="S472" t="s">
        <v>74</v>
      </c>
      <c r="T472" t="s">
        <v>8635</v>
      </c>
      <c r="U472" t="s">
        <v>8636</v>
      </c>
      <c r="V472" t="s">
        <v>8637</v>
      </c>
      <c r="W472" t="s">
        <v>8638</v>
      </c>
      <c r="X472" t="s">
        <v>8639</v>
      </c>
      <c r="Y472" t="s">
        <v>8640</v>
      </c>
      <c r="Z472" t="s">
        <v>8641</v>
      </c>
      <c r="AA472" t="s">
        <v>74</v>
      </c>
      <c r="AB472" t="s">
        <v>8642</v>
      </c>
      <c r="AC472" t="s">
        <v>8643</v>
      </c>
      <c r="AD472" t="s">
        <v>8644</v>
      </c>
      <c r="AE472" t="s">
        <v>8645</v>
      </c>
      <c r="AF472" t="s">
        <v>74</v>
      </c>
      <c r="AG472">
        <v>43</v>
      </c>
      <c r="AH472">
        <v>0</v>
      </c>
      <c r="AI472">
        <v>0</v>
      </c>
      <c r="AJ472">
        <v>1</v>
      </c>
      <c r="AK472">
        <v>1</v>
      </c>
      <c r="AL472" t="s">
        <v>475</v>
      </c>
      <c r="AM472" t="s">
        <v>476</v>
      </c>
      <c r="AN472" t="s">
        <v>477</v>
      </c>
      <c r="AO472" t="s">
        <v>8646</v>
      </c>
      <c r="AP472" t="s">
        <v>8647</v>
      </c>
      <c r="AQ472" t="s">
        <v>74</v>
      </c>
      <c r="AR472" t="s">
        <v>8648</v>
      </c>
      <c r="AS472" t="s">
        <v>8649</v>
      </c>
      <c r="AT472" t="s">
        <v>6618</v>
      </c>
      <c r="AU472">
        <v>2023</v>
      </c>
      <c r="AV472">
        <v>67</v>
      </c>
      <c r="AW472" t="s">
        <v>74</v>
      </c>
      <c r="AX472" t="s">
        <v>74</v>
      </c>
      <c r="AY472" t="s">
        <v>74</v>
      </c>
      <c r="AZ472" t="s">
        <v>74</v>
      </c>
      <c r="BA472" t="s">
        <v>74</v>
      </c>
      <c r="BB472" t="s">
        <v>74</v>
      </c>
      <c r="BC472" t="s">
        <v>74</v>
      </c>
      <c r="BD472">
        <v>101577</v>
      </c>
      <c r="BE472" t="s">
        <v>8650</v>
      </c>
      <c r="BF472" t="str">
        <f>HYPERLINK("http://dx.doi.org/10.1016/j.acha.2023.101577","http://dx.doi.org/10.1016/j.acha.2023.101577")</f>
        <v>http://dx.doi.org/10.1016/j.acha.2023.101577</v>
      </c>
      <c r="BG472" t="s">
        <v>74</v>
      </c>
      <c r="BH472" t="s">
        <v>74</v>
      </c>
      <c r="BI472">
        <v>8</v>
      </c>
      <c r="BJ472" t="s">
        <v>202</v>
      </c>
      <c r="BK472" t="s">
        <v>100</v>
      </c>
      <c r="BL472" t="s">
        <v>101</v>
      </c>
      <c r="BM472" t="s">
        <v>8651</v>
      </c>
      <c r="BN472" t="s">
        <v>74</v>
      </c>
      <c r="BO472" t="s">
        <v>74</v>
      </c>
      <c r="BP472" t="s">
        <v>74</v>
      </c>
      <c r="BQ472" t="s">
        <v>74</v>
      </c>
      <c r="BR472" t="s">
        <v>104</v>
      </c>
      <c r="BS472" t="s">
        <v>8652</v>
      </c>
      <c r="BT472" t="str">
        <f>HYPERLINK("https%3A%2F%2Fwww.webofscience.com%2Fwos%2Fwoscc%2Ffull-record%2FWOS:001052307600001","View Full Record in Web of Science")</f>
        <v>View Full Record in Web of Science</v>
      </c>
    </row>
    <row r="473" spans="1:72" x14ac:dyDescent="0.15">
      <c r="A473" t="s">
        <v>72</v>
      </c>
      <c r="B473" t="s">
        <v>8653</v>
      </c>
      <c r="C473" t="s">
        <v>74</v>
      </c>
      <c r="D473" t="s">
        <v>74</v>
      </c>
      <c r="E473" t="s">
        <v>74</v>
      </c>
      <c r="F473" t="s">
        <v>8654</v>
      </c>
      <c r="G473" t="s">
        <v>74</v>
      </c>
      <c r="H473" t="s">
        <v>74</v>
      </c>
      <c r="I473" t="s">
        <v>8655</v>
      </c>
      <c r="J473" t="s">
        <v>1524</v>
      </c>
      <c r="K473" t="s">
        <v>74</v>
      </c>
      <c r="L473" t="s">
        <v>74</v>
      </c>
      <c r="M473" t="s">
        <v>78</v>
      </c>
      <c r="N473" t="s">
        <v>79</v>
      </c>
      <c r="O473" t="s">
        <v>74</v>
      </c>
      <c r="P473" t="s">
        <v>74</v>
      </c>
      <c r="Q473" t="s">
        <v>74</v>
      </c>
      <c r="R473" t="s">
        <v>74</v>
      </c>
      <c r="S473" t="s">
        <v>74</v>
      </c>
      <c r="T473" t="s">
        <v>8656</v>
      </c>
      <c r="U473" t="s">
        <v>8657</v>
      </c>
      <c r="V473" t="s">
        <v>8658</v>
      </c>
      <c r="W473" t="s">
        <v>8659</v>
      </c>
      <c r="X473" t="s">
        <v>8660</v>
      </c>
      <c r="Y473" t="s">
        <v>8661</v>
      </c>
      <c r="Z473" t="s">
        <v>8662</v>
      </c>
      <c r="AA473" t="s">
        <v>74</v>
      </c>
      <c r="AB473" t="s">
        <v>74</v>
      </c>
      <c r="AC473" t="s">
        <v>8663</v>
      </c>
      <c r="AD473" t="s">
        <v>8664</v>
      </c>
      <c r="AE473" t="s">
        <v>8665</v>
      </c>
      <c r="AF473" t="s">
        <v>74</v>
      </c>
      <c r="AG473">
        <v>48</v>
      </c>
      <c r="AH473">
        <v>0</v>
      </c>
      <c r="AI473">
        <v>0</v>
      </c>
      <c r="AJ473">
        <v>31</v>
      </c>
      <c r="AK473">
        <v>31</v>
      </c>
      <c r="AL473" t="s">
        <v>90</v>
      </c>
      <c r="AM473" t="s">
        <v>91</v>
      </c>
      <c r="AN473" t="s">
        <v>92</v>
      </c>
      <c r="AO473" t="s">
        <v>1534</v>
      </c>
      <c r="AP473" t="s">
        <v>1535</v>
      </c>
      <c r="AQ473" t="s">
        <v>74</v>
      </c>
      <c r="AR473" t="s">
        <v>1536</v>
      </c>
      <c r="AS473" t="s">
        <v>1537</v>
      </c>
      <c r="AT473" t="s">
        <v>6659</v>
      </c>
      <c r="AU473">
        <v>2023</v>
      </c>
      <c r="AV473">
        <v>897</v>
      </c>
      <c r="AW473" t="s">
        <v>74</v>
      </c>
      <c r="AX473" t="s">
        <v>74</v>
      </c>
      <c r="AY473" t="s">
        <v>74</v>
      </c>
      <c r="AZ473" t="s">
        <v>74</v>
      </c>
      <c r="BA473" t="s">
        <v>74</v>
      </c>
      <c r="BB473" t="s">
        <v>74</v>
      </c>
      <c r="BC473" t="s">
        <v>74</v>
      </c>
      <c r="BD473">
        <v>165404</v>
      </c>
      <c r="BE473" t="s">
        <v>8666</v>
      </c>
      <c r="BF473" t="str">
        <f>HYPERLINK("http://dx.doi.org/10.1016/j.scitotenv.2023.165404","http://dx.doi.org/10.1016/j.scitotenv.2023.165404")</f>
        <v>http://dx.doi.org/10.1016/j.scitotenv.2023.165404</v>
      </c>
      <c r="BG473" t="s">
        <v>74</v>
      </c>
      <c r="BH473" t="s">
        <v>74</v>
      </c>
      <c r="BI473">
        <v>11</v>
      </c>
      <c r="BJ473" t="s">
        <v>1539</v>
      </c>
      <c r="BK473" t="s">
        <v>100</v>
      </c>
      <c r="BL473" t="s">
        <v>1540</v>
      </c>
      <c r="BM473" t="s">
        <v>8667</v>
      </c>
      <c r="BN473">
        <v>37423291</v>
      </c>
      <c r="BO473" t="s">
        <v>74</v>
      </c>
      <c r="BP473" t="s">
        <v>74</v>
      </c>
      <c r="BQ473" t="s">
        <v>74</v>
      </c>
      <c r="BR473" t="s">
        <v>104</v>
      </c>
      <c r="BS473" t="s">
        <v>8668</v>
      </c>
      <c r="BT473" t="str">
        <f>HYPERLINK("https%3A%2F%2Fwww.webofscience.com%2Fwos%2Fwoscc%2Ffull-record%2FWOS:001046893500001","View Full Record in Web of Science")</f>
        <v>View Full Record in Web of Science</v>
      </c>
    </row>
    <row r="474" spans="1:72" x14ac:dyDescent="0.15">
      <c r="A474" t="s">
        <v>72</v>
      </c>
      <c r="B474" t="s">
        <v>8669</v>
      </c>
      <c r="C474" t="s">
        <v>74</v>
      </c>
      <c r="D474" t="s">
        <v>74</v>
      </c>
      <c r="E474" t="s">
        <v>74</v>
      </c>
      <c r="F474" t="s">
        <v>8670</v>
      </c>
      <c r="G474" t="s">
        <v>74</v>
      </c>
      <c r="H474" t="s">
        <v>74</v>
      </c>
      <c r="I474" t="s">
        <v>8671</v>
      </c>
      <c r="J474" t="s">
        <v>8672</v>
      </c>
      <c r="K474" t="s">
        <v>74</v>
      </c>
      <c r="L474" t="s">
        <v>74</v>
      </c>
      <c r="M474" t="s">
        <v>78</v>
      </c>
      <c r="N474" t="s">
        <v>79</v>
      </c>
      <c r="O474" t="s">
        <v>74</v>
      </c>
      <c r="P474" t="s">
        <v>74</v>
      </c>
      <c r="Q474" t="s">
        <v>74</v>
      </c>
      <c r="R474" t="s">
        <v>74</v>
      </c>
      <c r="S474" t="s">
        <v>74</v>
      </c>
      <c r="T474" t="s">
        <v>8673</v>
      </c>
      <c r="U474" t="s">
        <v>8674</v>
      </c>
      <c r="V474" t="s">
        <v>8675</v>
      </c>
      <c r="W474" t="s">
        <v>8676</v>
      </c>
      <c r="X474" t="s">
        <v>8677</v>
      </c>
      <c r="Y474" t="s">
        <v>8678</v>
      </c>
      <c r="Z474" t="s">
        <v>8679</v>
      </c>
      <c r="AA474" t="s">
        <v>74</v>
      </c>
      <c r="AB474" t="s">
        <v>74</v>
      </c>
      <c r="AC474" t="s">
        <v>8680</v>
      </c>
      <c r="AD474" t="s">
        <v>8681</v>
      </c>
      <c r="AE474" t="s">
        <v>8682</v>
      </c>
      <c r="AF474" t="s">
        <v>74</v>
      </c>
      <c r="AG474">
        <v>44</v>
      </c>
      <c r="AH474">
        <v>0</v>
      </c>
      <c r="AI474">
        <v>0</v>
      </c>
      <c r="AJ474">
        <v>1</v>
      </c>
      <c r="AK474">
        <v>1</v>
      </c>
      <c r="AL474" t="s">
        <v>90</v>
      </c>
      <c r="AM474" t="s">
        <v>91</v>
      </c>
      <c r="AN474" t="s">
        <v>92</v>
      </c>
      <c r="AO474" t="s">
        <v>8683</v>
      </c>
      <c r="AP474" t="s">
        <v>74</v>
      </c>
      <c r="AQ474" t="s">
        <v>74</v>
      </c>
      <c r="AR474" t="s">
        <v>8684</v>
      </c>
      <c r="AS474" t="s">
        <v>8685</v>
      </c>
      <c r="AT474" t="s">
        <v>6618</v>
      </c>
      <c r="AU474">
        <v>2023</v>
      </c>
      <c r="AV474">
        <v>39</v>
      </c>
      <c r="AW474" t="s">
        <v>74</v>
      </c>
      <c r="AX474" t="s">
        <v>74</v>
      </c>
      <c r="AY474" t="s">
        <v>74</v>
      </c>
      <c r="AZ474" t="s">
        <v>74</v>
      </c>
      <c r="BA474" t="s">
        <v>74</v>
      </c>
      <c r="BB474" t="s">
        <v>74</v>
      </c>
      <c r="BC474" t="s">
        <v>74</v>
      </c>
      <c r="BD474">
        <v>101146</v>
      </c>
      <c r="BE474" t="s">
        <v>8686</v>
      </c>
      <c r="BF474" t="str">
        <f>HYPERLINK("http://dx.doi.org/10.1016/j.fpsl.2023.101146","http://dx.doi.org/10.1016/j.fpsl.2023.101146")</f>
        <v>http://dx.doi.org/10.1016/j.fpsl.2023.101146</v>
      </c>
      <c r="BG474" t="s">
        <v>74</v>
      </c>
      <c r="BH474" t="s">
        <v>74</v>
      </c>
      <c r="BI474">
        <v>11</v>
      </c>
      <c r="BJ474" t="s">
        <v>1033</v>
      </c>
      <c r="BK474" t="s">
        <v>100</v>
      </c>
      <c r="BL474" t="s">
        <v>1033</v>
      </c>
      <c r="BM474" t="s">
        <v>8687</v>
      </c>
      <c r="BN474" t="s">
        <v>74</v>
      </c>
      <c r="BO474" t="s">
        <v>74</v>
      </c>
      <c r="BP474" t="s">
        <v>74</v>
      </c>
      <c r="BQ474" t="s">
        <v>74</v>
      </c>
      <c r="BR474" t="s">
        <v>104</v>
      </c>
      <c r="BS474" t="s">
        <v>8688</v>
      </c>
      <c r="BT474" t="str">
        <f>HYPERLINK("https%3A%2F%2Fwww.webofscience.com%2Fwos%2Fwoscc%2Ffull-record%2FWOS:001057719600001","View Full Record in Web of Science")</f>
        <v>View Full Record in Web of Science</v>
      </c>
    </row>
    <row r="475" spans="1:72" x14ac:dyDescent="0.15">
      <c r="A475" t="s">
        <v>72</v>
      </c>
      <c r="B475" t="s">
        <v>8689</v>
      </c>
      <c r="C475" t="s">
        <v>74</v>
      </c>
      <c r="D475" t="s">
        <v>74</v>
      </c>
      <c r="E475" t="s">
        <v>74</v>
      </c>
      <c r="F475" t="s">
        <v>8690</v>
      </c>
      <c r="G475" t="s">
        <v>74</v>
      </c>
      <c r="H475" t="s">
        <v>74</v>
      </c>
      <c r="I475" t="s">
        <v>8691</v>
      </c>
      <c r="J475" t="s">
        <v>8692</v>
      </c>
      <c r="K475" t="s">
        <v>74</v>
      </c>
      <c r="L475" t="s">
        <v>74</v>
      </c>
      <c r="M475" t="s">
        <v>78</v>
      </c>
      <c r="N475" t="s">
        <v>79</v>
      </c>
      <c r="O475" t="s">
        <v>74</v>
      </c>
      <c r="P475" t="s">
        <v>74</v>
      </c>
      <c r="Q475" t="s">
        <v>74</v>
      </c>
      <c r="R475" t="s">
        <v>74</v>
      </c>
      <c r="S475" t="s">
        <v>74</v>
      </c>
      <c r="T475" t="s">
        <v>8693</v>
      </c>
      <c r="U475" t="s">
        <v>8694</v>
      </c>
      <c r="V475" t="s">
        <v>8695</v>
      </c>
      <c r="W475" t="s">
        <v>8696</v>
      </c>
      <c r="X475" t="s">
        <v>8697</v>
      </c>
      <c r="Y475" t="s">
        <v>8698</v>
      </c>
      <c r="Z475" t="s">
        <v>8699</v>
      </c>
      <c r="AA475" t="s">
        <v>74</v>
      </c>
      <c r="AB475" t="s">
        <v>74</v>
      </c>
      <c r="AC475" t="s">
        <v>8700</v>
      </c>
      <c r="AD475" t="s">
        <v>8701</v>
      </c>
      <c r="AE475" t="s">
        <v>8702</v>
      </c>
      <c r="AF475" t="s">
        <v>74</v>
      </c>
      <c r="AG475">
        <v>44</v>
      </c>
      <c r="AH475">
        <v>1</v>
      </c>
      <c r="AI475">
        <v>1</v>
      </c>
      <c r="AJ475">
        <v>4</v>
      </c>
      <c r="AK475">
        <v>4</v>
      </c>
      <c r="AL475" t="s">
        <v>90</v>
      </c>
      <c r="AM475" t="s">
        <v>91</v>
      </c>
      <c r="AN475" t="s">
        <v>92</v>
      </c>
      <c r="AO475" t="s">
        <v>8703</v>
      </c>
      <c r="AP475" t="s">
        <v>8704</v>
      </c>
      <c r="AQ475" t="s">
        <v>74</v>
      </c>
      <c r="AR475" t="s">
        <v>8705</v>
      </c>
      <c r="AS475" t="s">
        <v>8706</v>
      </c>
      <c r="AT475" t="s">
        <v>6618</v>
      </c>
      <c r="AU475">
        <v>2023</v>
      </c>
      <c r="AV475">
        <v>126</v>
      </c>
      <c r="AW475" t="s">
        <v>74</v>
      </c>
      <c r="AX475" t="s">
        <v>74</v>
      </c>
      <c r="AY475" t="s">
        <v>74</v>
      </c>
      <c r="AZ475" t="s">
        <v>74</v>
      </c>
      <c r="BA475" t="s">
        <v>74</v>
      </c>
      <c r="BB475" t="s">
        <v>74</v>
      </c>
      <c r="BC475" t="s">
        <v>74</v>
      </c>
      <c r="BD475">
        <v>107433</v>
      </c>
      <c r="BE475" t="s">
        <v>8707</v>
      </c>
      <c r="BF475" t="str">
        <f>HYPERLINK("http://dx.doi.org/10.1016/j.cnsns.2023.107433","http://dx.doi.org/10.1016/j.cnsns.2023.107433")</f>
        <v>http://dx.doi.org/10.1016/j.cnsns.2023.107433</v>
      </c>
      <c r="BG475" t="s">
        <v>74</v>
      </c>
      <c r="BH475" t="s">
        <v>74</v>
      </c>
      <c r="BI475">
        <v>26</v>
      </c>
      <c r="BJ475" t="s">
        <v>8708</v>
      </c>
      <c r="BK475" t="s">
        <v>100</v>
      </c>
      <c r="BL475" t="s">
        <v>8709</v>
      </c>
      <c r="BM475" t="s">
        <v>8710</v>
      </c>
      <c r="BN475" t="s">
        <v>74</v>
      </c>
      <c r="BO475" t="s">
        <v>74</v>
      </c>
      <c r="BP475" t="s">
        <v>74</v>
      </c>
      <c r="BQ475" t="s">
        <v>74</v>
      </c>
      <c r="BR475" t="s">
        <v>104</v>
      </c>
      <c r="BS475" t="s">
        <v>8711</v>
      </c>
      <c r="BT475" t="str">
        <f>HYPERLINK("https%3A%2F%2Fwww.webofscience.com%2Fwos%2Fwoscc%2Ffull-record%2FWOS:001047530600001","View Full Record in Web of Science")</f>
        <v>View Full Record in Web of Science</v>
      </c>
    </row>
    <row r="476" spans="1:72" x14ac:dyDescent="0.15">
      <c r="A476" t="s">
        <v>72</v>
      </c>
      <c r="B476" t="s">
        <v>8712</v>
      </c>
      <c r="C476" t="s">
        <v>74</v>
      </c>
      <c r="D476" t="s">
        <v>74</v>
      </c>
      <c r="E476" t="s">
        <v>74</v>
      </c>
      <c r="F476" t="s">
        <v>8713</v>
      </c>
      <c r="G476" t="s">
        <v>74</v>
      </c>
      <c r="H476" t="s">
        <v>74</v>
      </c>
      <c r="I476" t="s">
        <v>8714</v>
      </c>
      <c r="J476" t="s">
        <v>1524</v>
      </c>
      <c r="K476" t="s">
        <v>74</v>
      </c>
      <c r="L476" t="s">
        <v>74</v>
      </c>
      <c r="M476" t="s">
        <v>78</v>
      </c>
      <c r="N476" t="s">
        <v>79</v>
      </c>
      <c r="O476" t="s">
        <v>74</v>
      </c>
      <c r="P476" t="s">
        <v>74</v>
      </c>
      <c r="Q476" t="s">
        <v>74</v>
      </c>
      <c r="R476" t="s">
        <v>74</v>
      </c>
      <c r="S476" t="s">
        <v>74</v>
      </c>
      <c r="T476" t="s">
        <v>8715</v>
      </c>
      <c r="U476" t="s">
        <v>8716</v>
      </c>
      <c r="V476" t="s">
        <v>8717</v>
      </c>
      <c r="W476" t="s">
        <v>8718</v>
      </c>
      <c r="X476" t="s">
        <v>8719</v>
      </c>
      <c r="Y476" t="s">
        <v>8720</v>
      </c>
      <c r="Z476" t="s">
        <v>8721</v>
      </c>
      <c r="AA476" t="s">
        <v>74</v>
      </c>
      <c r="AB476" t="s">
        <v>8722</v>
      </c>
      <c r="AC476" t="s">
        <v>8723</v>
      </c>
      <c r="AD476" t="s">
        <v>8724</v>
      </c>
      <c r="AE476" t="s">
        <v>8725</v>
      </c>
      <c r="AF476" t="s">
        <v>74</v>
      </c>
      <c r="AG476">
        <v>37</v>
      </c>
      <c r="AH476">
        <v>0</v>
      </c>
      <c r="AI476">
        <v>0</v>
      </c>
      <c r="AJ476">
        <v>17</v>
      </c>
      <c r="AK476">
        <v>17</v>
      </c>
      <c r="AL476" t="s">
        <v>90</v>
      </c>
      <c r="AM476" t="s">
        <v>91</v>
      </c>
      <c r="AN476" t="s">
        <v>92</v>
      </c>
      <c r="AO476" t="s">
        <v>1534</v>
      </c>
      <c r="AP476" t="s">
        <v>1535</v>
      </c>
      <c r="AQ476" t="s">
        <v>74</v>
      </c>
      <c r="AR476" t="s">
        <v>1536</v>
      </c>
      <c r="AS476" t="s">
        <v>1537</v>
      </c>
      <c r="AT476" t="s">
        <v>6659</v>
      </c>
      <c r="AU476">
        <v>2023</v>
      </c>
      <c r="AV476">
        <v>897</v>
      </c>
      <c r="AW476" t="s">
        <v>74</v>
      </c>
      <c r="AX476" t="s">
        <v>74</v>
      </c>
      <c r="AY476" t="s">
        <v>74</v>
      </c>
      <c r="AZ476" t="s">
        <v>74</v>
      </c>
      <c r="BA476" t="s">
        <v>74</v>
      </c>
      <c r="BB476" t="s">
        <v>74</v>
      </c>
      <c r="BC476" t="s">
        <v>74</v>
      </c>
      <c r="BD476">
        <v>165444</v>
      </c>
      <c r="BE476" t="s">
        <v>8726</v>
      </c>
      <c r="BF476" t="str">
        <f>HYPERLINK("http://dx.doi.org/10.1016/j.scitotenv.2023.165444","http://dx.doi.org/10.1016/j.scitotenv.2023.165444")</f>
        <v>http://dx.doi.org/10.1016/j.scitotenv.2023.165444</v>
      </c>
      <c r="BG476" t="s">
        <v>74</v>
      </c>
      <c r="BH476" t="s">
        <v>74</v>
      </c>
      <c r="BI476">
        <v>9</v>
      </c>
      <c r="BJ476" t="s">
        <v>1539</v>
      </c>
      <c r="BK476" t="s">
        <v>100</v>
      </c>
      <c r="BL476" t="s">
        <v>1540</v>
      </c>
      <c r="BM476" t="s">
        <v>8727</v>
      </c>
      <c r="BN476">
        <v>37442468</v>
      </c>
      <c r="BO476" t="s">
        <v>74</v>
      </c>
      <c r="BP476" t="s">
        <v>74</v>
      </c>
      <c r="BQ476" t="s">
        <v>74</v>
      </c>
      <c r="BR476" t="s">
        <v>104</v>
      </c>
      <c r="BS476" t="s">
        <v>8728</v>
      </c>
      <c r="BT476" t="str">
        <f>HYPERLINK("https%3A%2F%2Fwww.webofscience.com%2Fwos%2Fwoscc%2Ffull-record%2FWOS:001044501500001","View Full Record in Web of Science")</f>
        <v>View Full Record in Web of Science</v>
      </c>
    </row>
    <row r="477" spans="1:72" x14ac:dyDescent="0.15">
      <c r="A477" t="s">
        <v>72</v>
      </c>
      <c r="B477" t="s">
        <v>8729</v>
      </c>
      <c r="C477" t="s">
        <v>74</v>
      </c>
      <c r="D477" t="s">
        <v>74</v>
      </c>
      <c r="E477" t="s">
        <v>74</v>
      </c>
      <c r="F477" t="s">
        <v>8730</v>
      </c>
      <c r="G477" t="s">
        <v>74</v>
      </c>
      <c r="H477" t="s">
        <v>74</v>
      </c>
      <c r="I477" t="s">
        <v>8731</v>
      </c>
      <c r="J477" t="s">
        <v>8487</v>
      </c>
      <c r="K477" t="s">
        <v>74</v>
      </c>
      <c r="L477" t="s">
        <v>74</v>
      </c>
      <c r="M477" t="s">
        <v>78</v>
      </c>
      <c r="N477" t="s">
        <v>79</v>
      </c>
      <c r="O477" t="s">
        <v>74</v>
      </c>
      <c r="P477" t="s">
        <v>74</v>
      </c>
      <c r="Q477" t="s">
        <v>74</v>
      </c>
      <c r="R477" t="s">
        <v>74</v>
      </c>
      <c r="S477" t="s">
        <v>74</v>
      </c>
      <c r="T477" t="s">
        <v>8732</v>
      </c>
      <c r="U477" t="s">
        <v>8733</v>
      </c>
      <c r="V477" t="s">
        <v>8734</v>
      </c>
      <c r="W477" t="s">
        <v>8735</v>
      </c>
      <c r="X477" t="s">
        <v>8736</v>
      </c>
      <c r="Y477" t="s">
        <v>8737</v>
      </c>
      <c r="Z477" t="s">
        <v>8738</v>
      </c>
      <c r="AA477" t="s">
        <v>74</v>
      </c>
      <c r="AB477" t="s">
        <v>74</v>
      </c>
      <c r="AC477" t="s">
        <v>8739</v>
      </c>
      <c r="AD477" t="s">
        <v>8740</v>
      </c>
      <c r="AE477" t="s">
        <v>8741</v>
      </c>
      <c r="AF477" t="s">
        <v>74</v>
      </c>
      <c r="AG477">
        <v>31</v>
      </c>
      <c r="AH477">
        <v>0</v>
      </c>
      <c r="AI477">
        <v>0</v>
      </c>
      <c r="AJ477">
        <v>0</v>
      </c>
      <c r="AK477">
        <v>0</v>
      </c>
      <c r="AL477" t="s">
        <v>955</v>
      </c>
      <c r="AM477" t="s">
        <v>956</v>
      </c>
      <c r="AN477" t="s">
        <v>957</v>
      </c>
      <c r="AO477" t="s">
        <v>8496</v>
      </c>
      <c r="AP477" t="s">
        <v>8497</v>
      </c>
      <c r="AQ477" t="s">
        <v>74</v>
      </c>
      <c r="AR477" t="s">
        <v>8498</v>
      </c>
      <c r="AS477" t="s">
        <v>8499</v>
      </c>
      <c r="AT477" t="s">
        <v>6618</v>
      </c>
      <c r="AU477">
        <v>2023</v>
      </c>
      <c r="AV477">
        <v>224</v>
      </c>
      <c r="AW477" t="s">
        <v>74</v>
      </c>
      <c r="AX477" t="s">
        <v>74</v>
      </c>
      <c r="AY477" t="s">
        <v>74</v>
      </c>
      <c r="AZ477" t="s">
        <v>74</v>
      </c>
      <c r="BA477" t="s">
        <v>74</v>
      </c>
      <c r="BB477" t="s">
        <v>74</v>
      </c>
      <c r="BC477" t="s">
        <v>74</v>
      </c>
      <c r="BD477">
        <v>109730</v>
      </c>
      <c r="BE477" t="s">
        <v>8742</v>
      </c>
      <c r="BF477" t="str">
        <f>HYPERLINK("http://dx.doi.org/10.1016/j.epsr.2023.109730","http://dx.doi.org/10.1016/j.epsr.2023.109730")</f>
        <v>http://dx.doi.org/10.1016/j.epsr.2023.109730</v>
      </c>
      <c r="BG477" t="s">
        <v>74</v>
      </c>
      <c r="BH477" t="s">
        <v>74</v>
      </c>
      <c r="BI477">
        <v>12</v>
      </c>
      <c r="BJ477" t="s">
        <v>4594</v>
      </c>
      <c r="BK477" t="s">
        <v>100</v>
      </c>
      <c r="BL477" t="s">
        <v>873</v>
      </c>
      <c r="BM477" t="s">
        <v>8743</v>
      </c>
      <c r="BN477" t="s">
        <v>74</v>
      </c>
      <c r="BO477" t="s">
        <v>74</v>
      </c>
      <c r="BP477" t="s">
        <v>74</v>
      </c>
      <c r="BQ477" t="s">
        <v>74</v>
      </c>
      <c r="BR477" t="s">
        <v>104</v>
      </c>
      <c r="BS477" t="s">
        <v>8744</v>
      </c>
      <c r="BT477" t="str">
        <f>HYPERLINK("https%3A%2F%2Fwww.webofscience.com%2Fwos%2Fwoscc%2Ffull-record%2FWOS:001051706200001","View Full Record in Web of Science")</f>
        <v>View Full Record in Web of Science</v>
      </c>
    </row>
    <row r="478" spans="1:72" x14ac:dyDescent="0.15">
      <c r="A478" t="s">
        <v>72</v>
      </c>
      <c r="B478" t="s">
        <v>8745</v>
      </c>
      <c r="C478" t="s">
        <v>74</v>
      </c>
      <c r="D478" t="s">
        <v>74</v>
      </c>
      <c r="E478" t="s">
        <v>74</v>
      </c>
      <c r="F478" t="s">
        <v>8746</v>
      </c>
      <c r="G478" t="s">
        <v>74</v>
      </c>
      <c r="H478" t="s">
        <v>74</v>
      </c>
      <c r="I478" t="s">
        <v>8747</v>
      </c>
      <c r="J478" t="s">
        <v>8466</v>
      </c>
      <c r="K478" t="s">
        <v>74</v>
      </c>
      <c r="L478" t="s">
        <v>74</v>
      </c>
      <c r="M478" t="s">
        <v>78</v>
      </c>
      <c r="N478" t="s">
        <v>79</v>
      </c>
      <c r="O478" t="s">
        <v>74</v>
      </c>
      <c r="P478" t="s">
        <v>74</v>
      </c>
      <c r="Q478" t="s">
        <v>74</v>
      </c>
      <c r="R478" t="s">
        <v>74</v>
      </c>
      <c r="S478" t="s">
        <v>74</v>
      </c>
      <c r="T478" t="s">
        <v>8748</v>
      </c>
      <c r="U478" t="s">
        <v>8749</v>
      </c>
      <c r="V478" t="s">
        <v>8750</v>
      </c>
      <c r="W478" t="s">
        <v>8751</v>
      </c>
      <c r="X478" t="s">
        <v>8752</v>
      </c>
      <c r="Y478" t="s">
        <v>8753</v>
      </c>
      <c r="Z478" t="s">
        <v>8754</v>
      </c>
      <c r="AA478" t="s">
        <v>74</v>
      </c>
      <c r="AB478" t="s">
        <v>74</v>
      </c>
      <c r="AC478" t="s">
        <v>74</v>
      </c>
      <c r="AD478" t="s">
        <v>74</v>
      </c>
      <c r="AE478" t="s">
        <v>74</v>
      </c>
      <c r="AF478" t="s">
        <v>74</v>
      </c>
      <c r="AG478">
        <v>31</v>
      </c>
      <c r="AH478">
        <v>0</v>
      </c>
      <c r="AI478">
        <v>0</v>
      </c>
      <c r="AJ478">
        <v>10</v>
      </c>
      <c r="AK478">
        <v>10</v>
      </c>
      <c r="AL478" t="s">
        <v>120</v>
      </c>
      <c r="AM478" t="s">
        <v>121</v>
      </c>
      <c r="AN478" t="s">
        <v>122</v>
      </c>
      <c r="AO478" t="s">
        <v>8477</v>
      </c>
      <c r="AP478" t="s">
        <v>8478</v>
      </c>
      <c r="AQ478" t="s">
        <v>74</v>
      </c>
      <c r="AR478" t="s">
        <v>8479</v>
      </c>
      <c r="AS478" t="s">
        <v>8480</v>
      </c>
      <c r="AT478" t="s">
        <v>6618</v>
      </c>
      <c r="AU478">
        <v>2023</v>
      </c>
      <c r="AV478">
        <v>153</v>
      </c>
      <c r="AW478" t="s">
        <v>74</v>
      </c>
      <c r="AX478" t="s">
        <v>74</v>
      </c>
      <c r="AY478" t="s">
        <v>74</v>
      </c>
      <c r="AZ478" t="s">
        <v>74</v>
      </c>
      <c r="BA478" t="s">
        <v>74</v>
      </c>
      <c r="BB478" t="s">
        <v>74</v>
      </c>
      <c r="BC478" t="s">
        <v>74</v>
      </c>
      <c r="BD478">
        <v>109370</v>
      </c>
      <c r="BE478" t="s">
        <v>8755</v>
      </c>
      <c r="BF478" t="str">
        <f>HYPERLINK("http://dx.doi.org/10.1016/j.ijepes.2023.109370","http://dx.doi.org/10.1016/j.ijepes.2023.109370")</f>
        <v>http://dx.doi.org/10.1016/j.ijepes.2023.109370</v>
      </c>
      <c r="BG478" t="s">
        <v>74</v>
      </c>
      <c r="BH478" t="s">
        <v>74</v>
      </c>
      <c r="BI478">
        <v>11</v>
      </c>
      <c r="BJ478" t="s">
        <v>4594</v>
      </c>
      <c r="BK478" t="s">
        <v>100</v>
      </c>
      <c r="BL478" t="s">
        <v>873</v>
      </c>
      <c r="BM478" t="s">
        <v>8756</v>
      </c>
      <c r="BN478" t="s">
        <v>74</v>
      </c>
      <c r="BO478" t="s">
        <v>74</v>
      </c>
      <c r="BP478" t="s">
        <v>74</v>
      </c>
      <c r="BQ478" t="s">
        <v>74</v>
      </c>
      <c r="BR478" t="s">
        <v>104</v>
      </c>
      <c r="BS478" t="s">
        <v>8757</v>
      </c>
      <c r="BT478" t="str">
        <f>HYPERLINK("https%3A%2F%2Fwww.webofscience.com%2Fwos%2Fwoscc%2Ffull-record%2FWOS:001050123000001","View Full Record in Web of Science")</f>
        <v>View Full Record in Web of Science</v>
      </c>
    </row>
    <row r="479" spans="1:72" x14ac:dyDescent="0.15">
      <c r="A479" t="s">
        <v>72</v>
      </c>
      <c r="B479" t="s">
        <v>8758</v>
      </c>
      <c r="C479" t="s">
        <v>74</v>
      </c>
      <c r="D479" t="s">
        <v>74</v>
      </c>
      <c r="E479" t="s">
        <v>74</v>
      </c>
      <c r="F479" t="s">
        <v>8759</v>
      </c>
      <c r="G479" t="s">
        <v>74</v>
      </c>
      <c r="H479" t="s">
        <v>74</v>
      </c>
      <c r="I479" t="s">
        <v>8760</v>
      </c>
      <c r="J479" t="s">
        <v>8761</v>
      </c>
      <c r="K479" t="s">
        <v>74</v>
      </c>
      <c r="L479" t="s">
        <v>74</v>
      </c>
      <c r="M479" t="s">
        <v>78</v>
      </c>
      <c r="N479" t="s">
        <v>79</v>
      </c>
      <c r="O479" t="s">
        <v>74</v>
      </c>
      <c r="P479" t="s">
        <v>74</v>
      </c>
      <c r="Q479" t="s">
        <v>74</v>
      </c>
      <c r="R479" t="s">
        <v>74</v>
      </c>
      <c r="S479" t="s">
        <v>74</v>
      </c>
      <c r="T479" t="s">
        <v>8762</v>
      </c>
      <c r="U479" t="s">
        <v>8763</v>
      </c>
      <c r="V479" t="s">
        <v>8764</v>
      </c>
      <c r="W479" t="s">
        <v>8765</v>
      </c>
      <c r="X479" t="s">
        <v>8766</v>
      </c>
      <c r="Y479" t="s">
        <v>8767</v>
      </c>
      <c r="Z479" t="s">
        <v>8768</v>
      </c>
      <c r="AA479" t="s">
        <v>74</v>
      </c>
      <c r="AB479" t="s">
        <v>74</v>
      </c>
      <c r="AC479" t="s">
        <v>8769</v>
      </c>
      <c r="AD479" t="s">
        <v>8770</v>
      </c>
      <c r="AE479" t="s">
        <v>8771</v>
      </c>
      <c r="AF479" t="s">
        <v>74</v>
      </c>
      <c r="AG479">
        <v>48</v>
      </c>
      <c r="AH479">
        <v>1</v>
      </c>
      <c r="AI479">
        <v>1</v>
      </c>
      <c r="AJ479">
        <v>7</v>
      </c>
      <c r="AK479">
        <v>7</v>
      </c>
      <c r="AL479" t="s">
        <v>147</v>
      </c>
      <c r="AM479" t="s">
        <v>148</v>
      </c>
      <c r="AN479" t="s">
        <v>149</v>
      </c>
      <c r="AO479" t="s">
        <v>8772</v>
      </c>
      <c r="AP479" t="s">
        <v>8773</v>
      </c>
      <c r="AQ479" t="s">
        <v>74</v>
      </c>
      <c r="AR479" t="s">
        <v>8774</v>
      </c>
      <c r="AS479" t="s">
        <v>8775</v>
      </c>
      <c r="AT479" t="s">
        <v>6659</v>
      </c>
      <c r="AU479">
        <v>2023</v>
      </c>
      <c r="AV479">
        <v>149</v>
      </c>
      <c r="AW479" t="s">
        <v>74</v>
      </c>
      <c r="AX479" t="s">
        <v>74</v>
      </c>
      <c r="AY479" t="s">
        <v>74</v>
      </c>
      <c r="AZ479" t="s">
        <v>74</v>
      </c>
      <c r="BA479" t="s">
        <v>74</v>
      </c>
      <c r="BB479" t="s">
        <v>74</v>
      </c>
      <c r="BC479" t="s">
        <v>74</v>
      </c>
      <c r="BD479">
        <v>110997</v>
      </c>
      <c r="BE479" t="s">
        <v>8776</v>
      </c>
      <c r="BF479" t="str">
        <f>HYPERLINK("http://dx.doi.org/10.1016/j.expthermflusci.2023.110997","http://dx.doi.org/10.1016/j.expthermflusci.2023.110997")</f>
        <v>http://dx.doi.org/10.1016/j.expthermflusci.2023.110997</v>
      </c>
      <c r="BG479" t="s">
        <v>74</v>
      </c>
      <c r="BH479" t="s">
        <v>74</v>
      </c>
      <c r="BI479">
        <v>19</v>
      </c>
      <c r="BJ479" t="s">
        <v>8777</v>
      </c>
      <c r="BK479" t="s">
        <v>100</v>
      </c>
      <c r="BL479" t="s">
        <v>8778</v>
      </c>
      <c r="BM479" t="s">
        <v>8779</v>
      </c>
      <c r="BN479" t="s">
        <v>74</v>
      </c>
      <c r="BO479" t="s">
        <v>74</v>
      </c>
      <c r="BP479" t="s">
        <v>74</v>
      </c>
      <c r="BQ479" t="s">
        <v>74</v>
      </c>
      <c r="BR479" t="s">
        <v>104</v>
      </c>
      <c r="BS479" t="s">
        <v>8780</v>
      </c>
      <c r="BT479" t="str">
        <f>HYPERLINK("https%3A%2F%2Fwww.webofscience.com%2Fwos%2Fwoscc%2Ffull-record%2FWOS:001050470100001","View Full Record in Web of Science")</f>
        <v>View Full Record in Web of Science</v>
      </c>
    </row>
    <row r="480" spans="1:72" x14ac:dyDescent="0.15">
      <c r="A480" t="s">
        <v>72</v>
      </c>
      <c r="B480" t="s">
        <v>8781</v>
      </c>
      <c r="C480" t="s">
        <v>74</v>
      </c>
      <c r="D480" t="s">
        <v>74</v>
      </c>
      <c r="E480" t="s">
        <v>74</v>
      </c>
      <c r="F480" t="s">
        <v>8782</v>
      </c>
      <c r="G480" t="s">
        <v>74</v>
      </c>
      <c r="H480" t="s">
        <v>74</v>
      </c>
      <c r="I480" t="s">
        <v>8783</v>
      </c>
      <c r="J480" t="s">
        <v>7265</v>
      </c>
      <c r="K480" t="s">
        <v>74</v>
      </c>
      <c r="L480" t="s">
        <v>74</v>
      </c>
      <c r="M480" t="s">
        <v>78</v>
      </c>
      <c r="N480" t="s">
        <v>79</v>
      </c>
      <c r="O480" t="s">
        <v>74</v>
      </c>
      <c r="P480" t="s">
        <v>74</v>
      </c>
      <c r="Q480" t="s">
        <v>74</v>
      </c>
      <c r="R480" t="s">
        <v>74</v>
      </c>
      <c r="S480" t="s">
        <v>74</v>
      </c>
      <c r="T480" t="s">
        <v>8784</v>
      </c>
      <c r="U480" t="s">
        <v>8785</v>
      </c>
      <c r="V480" t="s">
        <v>8786</v>
      </c>
      <c r="W480" t="s">
        <v>8787</v>
      </c>
      <c r="X480" t="s">
        <v>8788</v>
      </c>
      <c r="Y480" t="s">
        <v>8789</v>
      </c>
      <c r="Z480" t="s">
        <v>8790</v>
      </c>
      <c r="AA480" t="s">
        <v>74</v>
      </c>
      <c r="AB480" t="s">
        <v>74</v>
      </c>
      <c r="AC480" t="s">
        <v>8791</v>
      </c>
      <c r="AD480" t="s">
        <v>8792</v>
      </c>
      <c r="AE480" t="s">
        <v>8793</v>
      </c>
      <c r="AF480" t="s">
        <v>74</v>
      </c>
      <c r="AG480">
        <v>29</v>
      </c>
      <c r="AH480">
        <v>0</v>
      </c>
      <c r="AI480">
        <v>0</v>
      </c>
      <c r="AJ480">
        <v>0</v>
      </c>
      <c r="AK480">
        <v>0</v>
      </c>
      <c r="AL480" t="s">
        <v>475</v>
      </c>
      <c r="AM480" t="s">
        <v>476</v>
      </c>
      <c r="AN480" t="s">
        <v>477</v>
      </c>
      <c r="AO480" t="s">
        <v>7276</v>
      </c>
      <c r="AP480" t="s">
        <v>7277</v>
      </c>
      <c r="AQ480" t="s">
        <v>74</v>
      </c>
      <c r="AR480" t="s">
        <v>7278</v>
      </c>
      <c r="AS480" t="s">
        <v>7279</v>
      </c>
      <c r="AT480" t="s">
        <v>6659</v>
      </c>
      <c r="AU480">
        <v>2023</v>
      </c>
      <c r="AV480">
        <v>633</v>
      </c>
      <c r="AW480" t="s">
        <v>74</v>
      </c>
      <c r="AX480" t="s">
        <v>74</v>
      </c>
      <c r="AY480" t="s">
        <v>74</v>
      </c>
      <c r="AZ480" t="s">
        <v>74</v>
      </c>
      <c r="BA480" t="s">
        <v>74</v>
      </c>
      <c r="BB480">
        <v>833</v>
      </c>
      <c r="BC480">
        <v>856</v>
      </c>
      <c r="BD480" t="s">
        <v>74</v>
      </c>
      <c r="BE480" t="s">
        <v>8794</v>
      </c>
      <c r="BF480" t="str">
        <f>HYPERLINK("http://dx.doi.org/10.1016/j.jalgebra.2023.03.036","http://dx.doi.org/10.1016/j.jalgebra.2023.03.036")</f>
        <v>http://dx.doi.org/10.1016/j.jalgebra.2023.03.036</v>
      </c>
      <c r="BG480" t="s">
        <v>74</v>
      </c>
      <c r="BH480" t="s">
        <v>74</v>
      </c>
      <c r="BI480">
        <v>24</v>
      </c>
      <c r="BJ480" t="s">
        <v>101</v>
      </c>
      <c r="BK480" t="s">
        <v>100</v>
      </c>
      <c r="BL480" t="s">
        <v>101</v>
      </c>
      <c r="BM480" t="s">
        <v>8795</v>
      </c>
      <c r="BN480" t="s">
        <v>74</v>
      </c>
      <c r="BO480" t="s">
        <v>103</v>
      </c>
      <c r="BP480" t="s">
        <v>74</v>
      </c>
      <c r="BQ480" t="s">
        <v>74</v>
      </c>
      <c r="BR480" t="s">
        <v>104</v>
      </c>
      <c r="BS480" t="s">
        <v>8796</v>
      </c>
      <c r="BT480" t="str">
        <f>HYPERLINK("https%3A%2F%2Fwww.webofscience.com%2Fwos%2Fwoscc%2Ffull-record%2FWOS:001051570800001","View Full Record in Web of Science")</f>
        <v>View Full Record in Web of Science</v>
      </c>
    </row>
    <row r="481" spans="1:72" x14ac:dyDescent="0.15">
      <c r="A481" t="s">
        <v>72</v>
      </c>
      <c r="B481" t="s">
        <v>8797</v>
      </c>
      <c r="C481" t="s">
        <v>74</v>
      </c>
      <c r="D481" t="s">
        <v>74</v>
      </c>
      <c r="E481" t="s">
        <v>74</v>
      </c>
      <c r="F481" t="s">
        <v>8798</v>
      </c>
      <c r="G481" t="s">
        <v>74</v>
      </c>
      <c r="H481" t="s">
        <v>74</v>
      </c>
      <c r="I481" t="s">
        <v>8799</v>
      </c>
      <c r="J481" t="s">
        <v>5616</v>
      </c>
      <c r="K481" t="s">
        <v>74</v>
      </c>
      <c r="L481" t="s">
        <v>74</v>
      </c>
      <c r="M481" t="s">
        <v>78</v>
      </c>
      <c r="N481" t="s">
        <v>79</v>
      </c>
      <c r="O481" t="s">
        <v>74</v>
      </c>
      <c r="P481" t="s">
        <v>74</v>
      </c>
      <c r="Q481" t="s">
        <v>74</v>
      </c>
      <c r="R481" t="s">
        <v>74</v>
      </c>
      <c r="S481" t="s">
        <v>74</v>
      </c>
      <c r="T481" t="s">
        <v>8800</v>
      </c>
      <c r="U481" t="s">
        <v>8801</v>
      </c>
      <c r="V481" t="s">
        <v>8802</v>
      </c>
      <c r="W481" t="s">
        <v>8803</v>
      </c>
      <c r="X481" t="s">
        <v>8804</v>
      </c>
      <c r="Y481" t="s">
        <v>8805</v>
      </c>
      <c r="Z481" t="s">
        <v>8806</v>
      </c>
      <c r="AA481" t="s">
        <v>8807</v>
      </c>
      <c r="AB481" t="s">
        <v>8808</v>
      </c>
      <c r="AC481" t="s">
        <v>8809</v>
      </c>
      <c r="AD481" t="s">
        <v>8810</v>
      </c>
      <c r="AE481" t="s">
        <v>8811</v>
      </c>
      <c r="AF481" t="s">
        <v>74</v>
      </c>
      <c r="AG481">
        <v>45</v>
      </c>
      <c r="AH481">
        <v>0</v>
      </c>
      <c r="AI481">
        <v>0</v>
      </c>
      <c r="AJ481">
        <v>9</v>
      </c>
      <c r="AK481">
        <v>9</v>
      </c>
      <c r="AL481" t="s">
        <v>90</v>
      </c>
      <c r="AM481" t="s">
        <v>91</v>
      </c>
      <c r="AN481" t="s">
        <v>92</v>
      </c>
      <c r="AO481" t="s">
        <v>5627</v>
      </c>
      <c r="AP481" t="s">
        <v>5628</v>
      </c>
      <c r="AQ481" t="s">
        <v>74</v>
      </c>
      <c r="AR481" t="s">
        <v>5629</v>
      </c>
      <c r="AS481" t="s">
        <v>5630</v>
      </c>
      <c r="AT481" t="s">
        <v>6659</v>
      </c>
      <c r="AU481">
        <v>2023</v>
      </c>
      <c r="AV481">
        <v>203</v>
      </c>
      <c r="AW481" t="s">
        <v>74</v>
      </c>
      <c r="AX481" t="s">
        <v>74</v>
      </c>
      <c r="AY481" t="s">
        <v>74</v>
      </c>
      <c r="AZ481" t="s">
        <v>74</v>
      </c>
      <c r="BA481" t="s">
        <v>74</v>
      </c>
      <c r="BB481" t="s">
        <v>74</v>
      </c>
      <c r="BC481" t="s">
        <v>74</v>
      </c>
      <c r="BD481">
        <v>117236</v>
      </c>
      <c r="BE481" t="s">
        <v>8812</v>
      </c>
      <c r="BF481" t="str">
        <f>HYPERLINK("http://dx.doi.org/10.1016/j.indcrop.2023.117236","http://dx.doi.org/10.1016/j.indcrop.2023.117236")</f>
        <v>http://dx.doi.org/10.1016/j.indcrop.2023.117236</v>
      </c>
      <c r="BG481" t="s">
        <v>74</v>
      </c>
      <c r="BH481" t="s">
        <v>74</v>
      </c>
      <c r="BI481">
        <v>8</v>
      </c>
      <c r="BJ481" t="s">
        <v>5632</v>
      </c>
      <c r="BK481" t="s">
        <v>100</v>
      </c>
      <c r="BL481" t="s">
        <v>3447</v>
      </c>
      <c r="BM481" t="s">
        <v>8813</v>
      </c>
      <c r="BN481" t="s">
        <v>74</v>
      </c>
      <c r="BO481" t="s">
        <v>74</v>
      </c>
      <c r="BP481" t="s">
        <v>74</v>
      </c>
      <c r="BQ481" t="s">
        <v>74</v>
      </c>
      <c r="BR481" t="s">
        <v>104</v>
      </c>
      <c r="BS481" t="s">
        <v>8814</v>
      </c>
      <c r="BT481" t="str">
        <f>HYPERLINK("https%3A%2F%2Fwww.webofscience.com%2Fwos%2Fwoscc%2Ffull-record%2FWOS:001051025300001","View Full Record in Web of Science")</f>
        <v>View Full Record in Web of Science</v>
      </c>
    </row>
    <row r="482" spans="1:72" x14ac:dyDescent="0.15">
      <c r="A482" t="s">
        <v>72</v>
      </c>
      <c r="B482" t="s">
        <v>8815</v>
      </c>
      <c r="C482" t="s">
        <v>74</v>
      </c>
      <c r="D482" t="s">
        <v>74</v>
      </c>
      <c r="E482" t="s">
        <v>74</v>
      </c>
      <c r="F482" t="s">
        <v>8816</v>
      </c>
      <c r="G482" t="s">
        <v>74</v>
      </c>
      <c r="H482" t="s">
        <v>74</v>
      </c>
      <c r="I482" t="s">
        <v>8817</v>
      </c>
      <c r="J482" t="s">
        <v>7530</v>
      </c>
      <c r="K482" t="s">
        <v>74</v>
      </c>
      <c r="L482" t="s">
        <v>74</v>
      </c>
      <c r="M482" t="s">
        <v>78</v>
      </c>
      <c r="N482" t="s">
        <v>79</v>
      </c>
      <c r="O482" t="s">
        <v>74</v>
      </c>
      <c r="P482" t="s">
        <v>74</v>
      </c>
      <c r="Q482" t="s">
        <v>74</v>
      </c>
      <c r="R482" t="s">
        <v>74</v>
      </c>
      <c r="S482" t="s">
        <v>74</v>
      </c>
      <c r="T482" t="s">
        <v>8818</v>
      </c>
      <c r="U482" t="s">
        <v>8819</v>
      </c>
      <c r="V482" t="s">
        <v>8820</v>
      </c>
      <c r="W482" t="s">
        <v>8821</v>
      </c>
      <c r="X482" t="s">
        <v>7694</v>
      </c>
      <c r="Y482" t="s">
        <v>8822</v>
      </c>
      <c r="Z482" t="s">
        <v>8823</v>
      </c>
      <c r="AA482" t="s">
        <v>74</v>
      </c>
      <c r="AB482" t="s">
        <v>74</v>
      </c>
      <c r="AC482" t="s">
        <v>8824</v>
      </c>
      <c r="AD482" t="s">
        <v>252</v>
      </c>
      <c r="AE482" t="s">
        <v>8825</v>
      </c>
      <c r="AF482" t="s">
        <v>74</v>
      </c>
      <c r="AG482">
        <v>10</v>
      </c>
      <c r="AH482">
        <v>0</v>
      </c>
      <c r="AI482">
        <v>0</v>
      </c>
      <c r="AJ482">
        <v>2</v>
      </c>
      <c r="AK482">
        <v>2</v>
      </c>
      <c r="AL482" t="s">
        <v>173</v>
      </c>
      <c r="AM482" t="s">
        <v>121</v>
      </c>
      <c r="AN482" t="s">
        <v>174</v>
      </c>
      <c r="AO482" t="s">
        <v>7541</v>
      </c>
      <c r="AP482" t="s">
        <v>7542</v>
      </c>
      <c r="AQ482" t="s">
        <v>74</v>
      </c>
      <c r="AR482" t="s">
        <v>7543</v>
      </c>
      <c r="AS482" t="s">
        <v>7544</v>
      </c>
      <c r="AT482" t="s">
        <v>6618</v>
      </c>
      <c r="AU482">
        <v>2023</v>
      </c>
      <c r="AV482">
        <v>145</v>
      </c>
      <c r="AW482" t="s">
        <v>74</v>
      </c>
      <c r="AX482" t="s">
        <v>74</v>
      </c>
      <c r="AY482" t="s">
        <v>74</v>
      </c>
      <c r="AZ482" t="s">
        <v>74</v>
      </c>
      <c r="BA482" t="s">
        <v>74</v>
      </c>
      <c r="BB482" t="s">
        <v>74</v>
      </c>
      <c r="BC482" t="s">
        <v>74</v>
      </c>
      <c r="BD482">
        <v>108794</v>
      </c>
      <c r="BE482" t="s">
        <v>8826</v>
      </c>
      <c r="BF482" t="str">
        <f>HYPERLINK("http://dx.doi.org/10.1016/j.aml.2023.108794","http://dx.doi.org/10.1016/j.aml.2023.108794")</f>
        <v>http://dx.doi.org/10.1016/j.aml.2023.108794</v>
      </c>
      <c r="BG482" t="s">
        <v>74</v>
      </c>
      <c r="BH482" t="s">
        <v>74</v>
      </c>
      <c r="BI482">
        <v>6</v>
      </c>
      <c r="BJ482" t="s">
        <v>202</v>
      </c>
      <c r="BK482" t="s">
        <v>100</v>
      </c>
      <c r="BL482" t="s">
        <v>101</v>
      </c>
      <c r="BM482" t="s">
        <v>8827</v>
      </c>
      <c r="BN482" t="s">
        <v>74</v>
      </c>
      <c r="BO482" t="s">
        <v>74</v>
      </c>
      <c r="BP482" t="s">
        <v>74</v>
      </c>
      <c r="BQ482" t="s">
        <v>74</v>
      </c>
      <c r="BR482" t="s">
        <v>104</v>
      </c>
      <c r="BS482" t="s">
        <v>8828</v>
      </c>
      <c r="BT482" t="str">
        <f>HYPERLINK("https%3A%2F%2Fwww.webofscience.com%2Fwos%2Fwoscc%2Ffull-record%2FWOS:001050158600001","View Full Record in Web of Science")</f>
        <v>View Full Record in Web of Science</v>
      </c>
    </row>
    <row r="483" spans="1:72" x14ac:dyDescent="0.15">
      <c r="A483" t="s">
        <v>72</v>
      </c>
      <c r="B483" t="s">
        <v>8829</v>
      </c>
      <c r="C483" t="s">
        <v>74</v>
      </c>
      <c r="D483" t="s">
        <v>74</v>
      </c>
      <c r="E483" t="s">
        <v>74</v>
      </c>
      <c r="F483" t="s">
        <v>8830</v>
      </c>
      <c r="G483" t="s">
        <v>74</v>
      </c>
      <c r="H483" t="s">
        <v>74</v>
      </c>
      <c r="I483" t="s">
        <v>8831</v>
      </c>
      <c r="J483" t="s">
        <v>7324</v>
      </c>
      <c r="K483" t="s">
        <v>74</v>
      </c>
      <c r="L483" t="s">
        <v>74</v>
      </c>
      <c r="M483" t="s">
        <v>78</v>
      </c>
      <c r="N483" t="s">
        <v>79</v>
      </c>
      <c r="O483" t="s">
        <v>74</v>
      </c>
      <c r="P483" t="s">
        <v>74</v>
      </c>
      <c r="Q483" t="s">
        <v>74</v>
      </c>
      <c r="R483" t="s">
        <v>74</v>
      </c>
      <c r="S483" t="s">
        <v>74</v>
      </c>
      <c r="T483" t="s">
        <v>8832</v>
      </c>
      <c r="U483" t="s">
        <v>8833</v>
      </c>
      <c r="V483" t="s">
        <v>8834</v>
      </c>
      <c r="W483" t="s">
        <v>8835</v>
      </c>
      <c r="X483" t="s">
        <v>8836</v>
      </c>
      <c r="Y483" t="s">
        <v>8837</v>
      </c>
      <c r="Z483" t="s">
        <v>8838</v>
      </c>
      <c r="AA483" t="s">
        <v>8839</v>
      </c>
      <c r="AB483" t="s">
        <v>8840</v>
      </c>
      <c r="AC483" t="s">
        <v>8841</v>
      </c>
      <c r="AD483" t="s">
        <v>8842</v>
      </c>
      <c r="AE483" t="s">
        <v>8843</v>
      </c>
      <c r="AF483" t="s">
        <v>74</v>
      </c>
      <c r="AG483">
        <v>33</v>
      </c>
      <c r="AH483">
        <v>0</v>
      </c>
      <c r="AI483">
        <v>0</v>
      </c>
      <c r="AJ483">
        <v>6</v>
      </c>
      <c r="AK483">
        <v>6</v>
      </c>
      <c r="AL483" t="s">
        <v>90</v>
      </c>
      <c r="AM483" t="s">
        <v>91</v>
      </c>
      <c r="AN483" t="s">
        <v>92</v>
      </c>
      <c r="AO483" t="s">
        <v>7335</v>
      </c>
      <c r="AP483" t="s">
        <v>7336</v>
      </c>
      <c r="AQ483" t="s">
        <v>74</v>
      </c>
      <c r="AR483" t="s">
        <v>7337</v>
      </c>
      <c r="AS483" t="s">
        <v>7338</v>
      </c>
      <c r="AT483" t="s">
        <v>6659</v>
      </c>
      <c r="AU483">
        <v>2023</v>
      </c>
      <c r="AV483">
        <v>546</v>
      </c>
      <c r="AW483" t="s">
        <v>74</v>
      </c>
      <c r="AX483" t="s">
        <v>74</v>
      </c>
      <c r="AY483" t="s">
        <v>74</v>
      </c>
      <c r="AZ483" t="s">
        <v>74</v>
      </c>
      <c r="BA483" t="s">
        <v>74</v>
      </c>
      <c r="BB483" t="s">
        <v>74</v>
      </c>
      <c r="BC483" t="s">
        <v>74</v>
      </c>
      <c r="BD483">
        <v>129756</v>
      </c>
      <c r="BE483" t="s">
        <v>8844</v>
      </c>
      <c r="BF483" t="str">
        <f>HYPERLINK("http://dx.doi.org/10.1016/j.optcom.2023.129756","http://dx.doi.org/10.1016/j.optcom.2023.129756")</f>
        <v>http://dx.doi.org/10.1016/j.optcom.2023.129756</v>
      </c>
      <c r="BG483" t="s">
        <v>74</v>
      </c>
      <c r="BH483" t="s">
        <v>74</v>
      </c>
      <c r="BI483">
        <v>8</v>
      </c>
      <c r="BJ483" t="s">
        <v>2920</v>
      </c>
      <c r="BK483" t="s">
        <v>100</v>
      </c>
      <c r="BL483" t="s">
        <v>2920</v>
      </c>
      <c r="BM483" t="s">
        <v>8845</v>
      </c>
      <c r="BN483" t="s">
        <v>74</v>
      </c>
      <c r="BO483" t="s">
        <v>74</v>
      </c>
      <c r="BP483" t="s">
        <v>74</v>
      </c>
      <c r="BQ483" t="s">
        <v>74</v>
      </c>
      <c r="BR483" t="s">
        <v>104</v>
      </c>
      <c r="BS483" t="s">
        <v>8846</v>
      </c>
      <c r="BT483" t="str">
        <f>HYPERLINK("https%3A%2F%2Fwww.webofscience.com%2Fwos%2Fwoscc%2Ffull-record%2FWOS:001050532600001","View Full Record in Web of Science")</f>
        <v>View Full Record in Web of Science</v>
      </c>
    </row>
    <row r="484" spans="1:72" x14ac:dyDescent="0.15">
      <c r="A484" t="s">
        <v>72</v>
      </c>
      <c r="B484" t="s">
        <v>8847</v>
      </c>
      <c r="C484" t="s">
        <v>74</v>
      </c>
      <c r="D484" t="s">
        <v>74</v>
      </c>
      <c r="E484" t="s">
        <v>74</v>
      </c>
      <c r="F484" t="s">
        <v>8848</v>
      </c>
      <c r="G484" t="s">
        <v>74</v>
      </c>
      <c r="H484" t="s">
        <v>74</v>
      </c>
      <c r="I484" t="s">
        <v>8849</v>
      </c>
      <c r="J484" t="s">
        <v>1587</v>
      </c>
      <c r="K484" t="s">
        <v>74</v>
      </c>
      <c r="L484" t="s">
        <v>74</v>
      </c>
      <c r="M484" t="s">
        <v>78</v>
      </c>
      <c r="N484" t="s">
        <v>241</v>
      </c>
      <c r="O484" t="s">
        <v>74</v>
      </c>
      <c r="P484" t="s">
        <v>74</v>
      </c>
      <c r="Q484" t="s">
        <v>74</v>
      </c>
      <c r="R484" t="s">
        <v>74</v>
      </c>
      <c r="S484" t="s">
        <v>74</v>
      </c>
      <c r="T484" t="s">
        <v>8850</v>
      </c>
      <c r="U484" t="s">
        <v>8851</v>
      </c>
      <c r="V484" t="s">
        <v>8852</v>
      </c>
      <c r="W484" t="s">
        <v>8853</v>
      </c>
      <c r="X484" t="s">
        <v>8854</v>
      </c>
      <c r="Y484" t="s">
        <v>8855</v>
      </c>
      <c r="Z484" t="s">
        <v>8856</v>
      </c>
      <c r="AA484" t="s">
        <v>74</v>
      </c>
      <c r="AB484" t="s">
        <v>74</v>
      </c>
      <c r="AC484" t="s">
        <v>8857</v>
      </c>
      <c r="AD484" t="s">
        <v>8858</v>
      </c>
      <c r="AE484" t="s">
        <v>8859</v>
      </c>
      <c r="AF484" t="s">
        <v>74</v>
      </c>
      <c r="AG484">
        <v>60</v>
      </c>
      <c r="AH484">
        <v>0</v>
      </c>
      <c r="AI484">
        <v>0</v>
      </c>
      <c r="AJ484">
        <v>11</v>
      </c>
      <c r="AK484">
        <v>11</v>
      </c>
      <c r="AL484" t="s">
        <v>90</v>
      </c>
      <c r="AM484" t="s">
        <v>91</v>
      </c>
      <c r="AN484" t="s">
        <v>92</v>
      </c>
      <c r="AO484" t="s">
        <v>1598</v>
      </c>
      <c r="AP484" t="s">
        <v>1599</v>
      </c>
      <c r="AQ484" t="s">
        <v>74</v>
      </c>
      <c r="AR484" t="s">
        <v>1600</v>
      </c>
      <c r="AS484" t="s">
        <v>1601</v>
      </c>
      <c r="AT484" t="s">
        <v>6659</v>
      </c>
      <c r="AU484">
        <v>2023</v>
      </c>
      <c r="AV484">
        <v>324</v>
      </c>
      <c r="AW484" t="s">
        <v>74</v>
      </c>
      <c r="AX484" t="s">
        <v>74</v>
      </c>
      <c r="AY484" t="s">
        <v>74</v>
      </c>
      <c r="AZ484" t="s">
        <v>74</v>
      </c>
      <c r="BA484" t="s">
        <v>74</v>
      </c>
      <c r="BB484" t="s">
        <v>74</v>
      </c>
      <c r="BC484" t="s">
        <v>74</v>
      </c>
      <c r="BD484">
        <v>124514</v>
      </c>
      <c r="BE484" t="s">
        <v>8860</v>
      </c>
      <c r="BF484" t="str">
        <f>HYPERLINK("http://dx.doi.org/10.1016/j.seppur.2023.124514","http://dx.doi.org/10.1016/j.seppur.2023.124514")</f>
        <v>http://dx.doi.org/10.1016/j.seppur.2023.124514</v>
      </c>
      <c r="BG484" t="s">
        <v>74</v>
      </c>
      <c r="BH484" t="s">
        <v>74</v>
      </c>
      <c r="BI484">
        <v>20</v>
      </c>
      <c r="BJ484" t="s">
        <v>1603</v>
      </c>
      <c r="BK484" t="s">
        <v>100</v>
      </c>
      <c r="BL484" t="s">
        <v>873</v>
      </c>
      <c r="BM484" t="s">
        <v>8861</v>
      </c>
      <c r="BN484" t="s">
        <v>74</v>
      </c>
      <c r="BO484" t="s">
        <v>74</v>
      </c>
      <c r="BP484" t="s">
        <v>74</v>
      </c>
      <c r="BQ484" t="s">
        <v>74</v>
      </c>
      <c r="BR484" t="s">
        <v>104</v>
      </c>
      <c r="BS484" t="s">
        <v>8862</v>
      </c>
      <c r="BT484" t="str">
        <f>HYPERLINK("https%3A%2F%2Fwww.webofscience.com%2Fwos%2Fwoscc%2Ffull-record%2FWOS:001040441800001","View Full Record in Web of Science")</f>
        <v>View Full Record in Web of Science</v>
      </c>
    </row>
    <row r="485" spans="1:72" x14ac:dyDescent="0.15">
      <c r="A485" t="s">
        <v>72</v>
      </c>
      <c r="B485" t="s">
        <v>8863</v>
      </c>
      <c r="C485" t="s">
        <v>74</v>
      </c>
      <c r="D485" t="s">
        <v>74</v>
      </c>
      <c r="E485" t="s">
        <v>74</v>
      </c>
      <c r="F485" t="s">
        <v>8864</v>
      </c>
      <c r="G485" t="s">
        <v>74</v>
      </c>
      <c r="H485" t="s">
        <v>74</v>
      </c>
      <c r="I485" t="s">
        <v>8865</v>
      </c>
      <c r="J485" t="s">
        <v>8866</v>
      </c>
      <c r="K485" t="s">
        <v>74</v>
      </c>
      <c r="L485" t="s">
        <v>74</v>
      </c>
      <c r="M485" t="s">
        <v>78</v>
      </c>
      <c r="N485" t="s">
        <v>79</v>
      </c>
      <c r="O485" t="s">
        <v>74</v>
      </c>
      <c r="P485" t="s">
        <v>74</v>
      </c>
      <c r="Q485" t="s">
        <v>74</v>
      </c>
      <c r="R485" t="s">
        <v>74</v>
      </c>
      <c r="S485" t="s">
        <v>74</v>
      </c>
      <c r="T485" t="s">
        <v>8867</v>
      </c>
      <c r="U485" t="s">
        <v>8868</v>
      </c>
      <c r="V485" t="s">
        <v>8869</v>
      </c>
      <c r="W485" t="s">
        <v>8870</v>
      </c>
      <c r="X485" t="s">
        <v>8871</v>
      </c>
      <c r="Y485" t="s">
        <v>8872</v>
      </c>
      <c r="Z485" t="s">
        <v>8873</v>
      </c>
      <c r="AA485" t="s">
        <v>74</v>
      </c>
      <c r="AB485" t="s">
        <v>74</v>
      </c>
      <c r="AC485" t="s">
        <v>8874</v>
      </c>
      <c r="AD485" t="s">
        <v>8874</v>
      </c>
      <c r="AE485" t="s">
        <v>8875</v>
      </c>
      <c r="AF485" t="s">
        <v>74</v>
      </c>
      <c r="AG485">
        <v>83</v>
      </c>
      <c r="AH485">
        <v>1</v>
      </c>
      <c r="AI485">
        <v>1</v>
      </c>
      <c r="AJ485">
        <v>11</v>
      </c>
      <c r="AK485">
        <v>11</v>
      </c>
      <c r="AL485" t="s">
        <v>90</v>
      </c>
      <c r="AM485" t="s">
        <v>91</v>
      </c>
      <c r="AN485" t="s">
        <v>92</v>
      </c>
      <c r="AO485" t="s">
        <v>8876</v>
      </c>
      <c r="AP485" t="s">
        <v>8877</v>
      </c>
      <c r="AQ485" t="s">
        <v>74</v>
      </c>
      <c r="AR485" t="s">
        <v>8878</v>
      </c>
      <c r="AS485" t="s">
        <v>8879</v>
      </c>
      <c r="AT485" t="s">
        <v>6618</v>
      </c>
      <c r="AU485">
        <v>2023</v>
      </c>
      <c r="AV485">
        <v>737</v>
      </c>
      <c r="AW485" t="s">
        <v>74</v>
      </c>
      <c r="AX485" t="s">
        <v>74</v>
      </c>
      <c r="AY485" t="s">
        <v>74</v>
      </c>
      <c r="AZ485" t="s">
        <v>74</v>
      </c>
      <c r="BA485" t="s">
        <v>74</v>
      </c>
      <c r="BB485" t="s">
        <v>74</v>
      </c>
      <c r="BC485" t="s">
        <v>74</v>
      </c>
      <c r="BD485">
        <v>122250</v>
      </c>
      <c r="BE485" t="s">
        <v>8880</v>
      </c>
      <c r="BF485" t="str">
        <f>HYPERLINK("http://dx.doi.org/10.1016/j.susc.2023.122250","http://dx.doi.org/10.1016/j.susc.2023.122250")</f>
        <v>http://dx.doi.org/10.1016/j.susc.2023.122250</v>
      </c>
      <c r="BG485" t="s">
        <v>74</v>
      </c>
      <c r="BH485" t="s">
        <v>74</v>
      </c>
      <c r="BI485">
        <v>11</v>
      </c>
      <c r="BJ485" t="s">
        <v>8881</v>
      </c>
      <c r="BK485" t="s">
        <v>100</v>
      </c>
      <c r="BL485" t="s">
        <v>7965</v>
      </c>
      <c r="BM485" t="s">
        <v>8882</v>
      </c>
      <c r="BN485" t="s">
        <v>74</v>
      </c>
      <c r="BO485" t="s">
        <v>74</v>
      </c>
      <c r="BP485" t="s">
        <v>74</v>
      </c>
      <c r="BQ485" t="s">
        <v>74</v>
      </c>
      <c r="BR485" t="s">
        <v>104</v>
      </c>
      <c r="BS485" t="s">
        <v>8883</v>
      </c>
      <c r="BT485" t="str">
        <f>HYPERLINK("https%3A%2F%2Fwww.webofscience.com%2Fwos%2Fwoscc%2Ffull-record%2FWOS:001047393100001","View Full Record in Web of Science")</f>
        <v>View Full Record in Web of Science</v>
      </c>
    </row>
    <row r="486" spans="1:72" x14ac:dyDescent="0.15">
      <c r="A486" t="s">
        <v>72</v>
      </c>
      <c r="B486" t="s">
        <v>8884</v>
      </c>
      <c r="C486" t="s">
        <v>74</v>
      </c>
      <c r="D486" t="s">
        <v>74</v>
      </c>
      <c r="E486" t="s">
        <v>74</v>
      </c>
      <c r="F486" t="s">
        <v>8885</v>
      </c>
      <c r="G486" t="s">
        <v>74</v>
      </c>
      <c r="H486" t="s">
        <v>74</v>
      </c>
      <c r="I486" t="s">
        <v>8886</v>
      </c>
      <c r="J486" t="s">
        <v>8887</v>
      </c>
      <c r="K486" t="s">
        <v>74</v>
      </c>
      <c r="L486" t="s">
        <v>74</v>
      </c>
      <c r="M486" t="s">
        <v>78</v>
      </c>
      <c r="N486" t="s">
        <v>241</v>
      </c>
      <c r="O486" t="s">
        <v>74</v>
      </c>
      <c r="P486" t="s">
        <v>74</v>
      </c>
      <c r="Q486" t="s">
        <v>74</v>
      </c>
      <c r="R486" t="s">
        <v>74</v>
      </c>
      <c r="S486" t="s">
        <v>74</v>
      </c>
      <c r="T486" t="s">
        <v>8888</v>
      </c>
      <c r="U486" t="s">
        <v>8889</v>
      </c>
      <c r="V486" t="s">
        <v>8890</v>
      </c>
      <c r="W486" t="s">
        <v>8891</v>
      </c>
      <c r="X486" t="s">
        <v>8892</v>
      </c>
      <c r="Y486" t="s">
        <v>8893</v>
      </c>
      <c r="Z486" t="s">
        <v>8894</v>
      </c>
      <c r="AA486" t="s">
        <v>74</v>
      </c>
      <c r="AB486" t="s">
        <v>74</v>
      </c>
      <c r="AC486" t="s">
        <v>74</v>
      </c>
      <c r="AD486" t="s">
        <v>74</v>
      </c>
      <c r="AE486" t="s">
        <v>74</v>
      </c>
      <c r="AF486" t="s">
        <v>74</v>
      </c>
      <c r="AG486">
        <v>37</v>
      </c>
      <c r="AH486">
        <v>0</v>
      </c>
      <c r="AI486">
        <v>0</v>
      </c>
      <c r="AJ486">
        <v>0</v>
      </c>
      <c r="AK486">
        <v>0</v>
      </c>
      <c r="AL486" t="s">
        <v>475</v>
      </c>
      <c r="AM486" t="s">
        <v>476</v>
      </c>
      <c r="AN486" t="s">
        <v>477</v>
      </c>
      <c r="AO486" t="s">
        <v>8895</v>
      </c>
      <c r="AP486" t="s">
        <v>8896</v>
      </c>
      <c r="AQ486" t="s">
        <v>74</v>
      </c>
      <c r="AR486" t="s">
        <v>8897</v>
      </c>
      <c r="AS486" t="s">
        <v>8898</v>
      </c>
      <c r="AT486" t="s">
        <v>6618</v>
      </c>
      <c r="AU486">
        <v>2023</v>
      </c>
      <c r="AV486">
        <v>103</v>
      </c>
      <c r="AW486" t="s">
        <v>74</v>
      </c>
      <c r="AX486" t="s">
        <v>74</v>
      </c>
      <c r="AY486" t="s">
        <v>74</v>
      </c>
      <c r="AZ486" t="s">
        <v>74</v>
      </c>
      <c r="BA486" t="s">
        <v>74</v>
      </c>
      <c r="BB486" t="s">
        <v>74</v>
      </c>
      <c r="BC486" t="s">
        <v>74</v>
      </c>
      <c r="BD486">
        <v>102778</v>
      </c>
      <c r="BE486" t="s">
        <v>8899</v>
      </c>
      <c r="BF486" t="str">
        <f>HYPERLINK("http://dx.doi.org/10.1016/j.bcmd.2023.102778","http://dx.doi.org/10.1016/j.bcmd.2023.102778")</f>
        <v>http://dx.doi.org/10.1016/j.bcmd.2023.102778</v>
      </c>
      <c r="BG486" t="s">
        <v>74</v>
      </c>
      <c r="BH486" t="s">
        <v>74</v>
      </c>
      <c r="BI486">
        <v>6</v>
      </c>
      <c r="BJ486" t="s">
        <v>8900</v>
      </c>
      <c r="BK486" t="s">
        <v>100</v>
      </c>
      <c r="BL486" t="s">
        <v>8900</v>
      </c>
      <c r="BM486" t="s">
        <v>8901</v>
      </c>
      <c r="BN486">
        <v>37379758</v>
      </c>
      <c r="BO486" t="s">
        <v>504</v>
      </c>
      <c r="BP486" t="s">
        <v>74</v>
      </c>
      <c r="BQ486" t="s">
        <v>74</v>
      </c>
      <c r="BR486" t="s">
        <v>104</v>
      </c>
      <c r="BS486" t="s">
        <v>8902</v>
      </c>
      <c r="BT486" t="str">
        <f>HYPERLINK("https%3A%2F%2Fwww.webofscience.com%2Fwos%2Fwoscc%2Ffull-record%2FWOS:001059049500001","View Full Record in Web of Science")</f>
        <v>View Full Record in Web of Science</v>
      </c>
    </row>
    <row r="487" spans="1:72" x14ac:dyDescent="0.15">
      <c r="A487" t="s">
        <v>72</v>
      </c>
      <c r="B487" t="s">
        <v>8903</v>
      </c>
      <c r="C487" t="s">
        <v>74</v>
      </c>
      <c r="D487" t="s">
        <v>74</v>
      </c>
      <c r="E487" t="s">
        <v>74</v>
      </c>
      <c r="F487" t="s">
        <v>8904</v>
      </c>
      <c r="G487" t="s">
        <v>74</v>
      </c>
      <c r="H487" t="s">
        <v>74</v>
      </c>
      <c r="I487" t="s">
        <v>8905</v>
      </c>
      <c r="J487" t="s">
        <v>8906</v>
      </c>
      <c r="K487" t="s">
        <v>74</v>
      </c>
      <c r="L487" t="s">
        <v>74</v>
      </c>
      <c r="M487" t="s">
        <v>78</v>
      </c>
      <c r="N487" t="s">
        <v>79</v>
      </c>
      <c r="O487" t="s">
        <v>74</v>
      </c>
      <c r="P487" t="s">
        <v>74</v>
      </c>
      <c r="Q487" t="s">
        <v>74</v>
      </c>
      <c r="R487" t="s">
        <v>74</v>
      </c>
      <c r="S487" t="s">
        <v>74</v>
      </c>
      <c r="T487" t="s">
        <v>8907</v>
      </c>
      <c r="U487" t="s">
        <v>8908</v>
      </c>
      <c r="V487" t="s">
        <v>8909</v>
      </c>
      <c r="W487" t="s">
        <v>8910</v>
      </c>
      <c r="X487" t="s">
        <v>8911</v>
      </c>
      <c r="Y487" t="s">
        <v>8912</v>
      </c>
      <c r="Z487" t="s">
        <v>8913</v>
      </c>
      <c r="AA487" t="s">
        <v>8914</v>
      </c>
      <c r="AB487" t="s">
        <v>8915</v>
      </c>
      <c r="AC487" t="s">
        <v>8916</v>
      </c>
      <c r="AD487" t="s">
        <v>8917</v>
      </c>
      <c r="AE487" t="s">
        <v>8918</v>
      </c>
      <c r="AF487" t="s">
        <v>74</v>
      </c>
      <c r="AG487">
        <v>52</v>
      </c>
      <c r="AH487">
        <v>0</v>
      </c>
      <c r="AI487">
        <v>0</v>
      </c>
      <c r="AJ487">
        <v>1</v>
      </c>
      <c r="AK487">
        <v>1</v>
      </c>
      <c r="AL487" t="s">
        <v>147</v>
      </c>
      <c r="AM487" t="s">
        <v>148</v>
      </c>
      <c r="AN487" t="s">
        <v>149</v>
      </c>
      <c r="AO487" t="s">
        <v>8919</v>
      </c>
      <c r="AP487" t="s">
        <v>8920</v>
      </c>
      <c r="AQ487" t="s">
        <v>74</v>
      </c>
      <c r="AR487" t="s">
        <v>8906</v>
      </c>
      <c r="AS487" t="s">
        <v>8921</v>
      </c>
      <c r="AT487" t="s">
        <v>6618</v>
      </c>
      <c r="AU487">
        <v>2023</v>
      </c>
      <c r="AV487">
        <v>115</v>
      </c>
      <c r="AW487" t="s">
        <v>74</v>
      </c>
      <c r="AX487" t="s">
        <v>74</v>
      </c>
      <c r="AY487" t="s">
        <v>74</v>
      </c>
      <c r="AZ487" t="s">
        <v>74</v>
      </c>
      <c r="BA487" t="s">
        <v>74</v>
      </c>
      <c r="BB487" t="s">
        <v>74</v>
      </c>
      <c r="BC487" t="s">
        <v>74</v>
      </c>
      <c r="BD487">
        <v>112146</v>
      </c>
      <c r="BE487" t="s">
        <v>8922</v>
      </c>
      <c r="BF487" t="str">
        <f>HYPERLINK("http://dx.doi.org/10.1016/j.nut.2023.112146","http://dx.doi.org/10.1016/j.nut.2023.112146")</f>
        <v>http://dx.doi.org/10.1016/j.nut.2023.112146</v>
      </c>
      <c r="BG487" t="s">
        <v>74</v>
      </c>
      <c r="BH487" t="s">
        <v>74</v>
      </c>
      <c r="BI487">
        <v>7</v>
      </c>
      <c r="BJ487" t="s">
        <v>8923</v>
      </c>
      <c r="BK487" t="s">
        <v>100</v>
      </c>
      <c r="BL487" t="s">
        <v>8923</v>
      </c>
      <c r="BM487" t="s">
        <v>8924</v>
      </c>
      <c r="BN487">
        <v>37531791</v>
      </c>
      <c r="BO487" t="s">
        <v>74</v>
      </c>
      <c r="BP487" t="s">
        <v>74</v>
      </c>
      <c r="BQ487" t="s">
        <v>74</v>
      </c>
      <c r="BR487" t="s">
        <v>104</v>
      </c>
      <c r="BS487" t="s">
        <v>8925</v>
      </c>
      <c r="BT487" t="str">
        <f>HYPERLINK("https%3A%2F%2Fwww.webofscience.com%2Fwos%2Fwoscc%2Ffull-record%2FWOS:001050356300001","View Full Record in Web of Science")</f>
        <v>View Full Record in Web of Science</v>
      </c>
    </row>
    <row r="488" spans="1:72" x14ac:dyDescent="0.15">
      <c r="A488" t="s">
        <v>72</v>
      </c>
      <c r="B488" t="s">
        <v>8926</v>
      </c>
      <c r="C488" t="s">
        <v>74</v>
      </c>
      <c r="D488" t="s">
        <v>74</v>
      </c>
      <c r="E488" t="s">
        <v>74</v>
      </c>
      <c r="F488" t="s">
        <v>8927</v>
      </c>
      <c r="G488" t="s">
        <v>74</v>
      </c>
      <c r="H488" t="s">
        <v>74</v>
      </c>
      <c r="I488" t="s">
        <v>8928</v>
      </c>
      <c r="J488" t="s">
        <v>7689</v>
      </c>
      <c r="K488" t="s">
        <v>74</v>
      </c>
      <c r="L488" t="s">
        <v>74</v>
      </c>
      <c r="M488" t="s">
        <v>78</v>
      </c>
      <c r="N488" t="s">
        <v>79</v>
      </c>
      <c r="O488" t="s">
        <v>74</v>
      </c>
      <c r="P488" t="s">
        <v>74</v>
      </c>
      <c r="Q488" t="s">
        <v>74</v>
      </c>
      <c r="R488" t="s">
        <v>74</v>
      </c>
      <c r="S488" t="s">
        <v>74</v>
      </c>
      <c r="T488" t="s">
        <v>8929</v>
      </c>
      <c r="U488" t="s">
        <v>8930</v>
      </c>
      <c r="V488" t="s">
        <v>8931</v>
      </c>
      <c r="W488" t="s">
        <v>8932</v>
      </c>
      <c r="X488" t="s">
        <v>3248</v>
      </c>
      <c r="Y488" t="s">
        <v>8933</v>
      </c>
      <c r="Z488" t="s">
        <v>8934</v>
      </c>
      <c r="AA488" t="s">
        <v>8935</v>
      </c>
      <c r="AB488" t="s">
        <v>8936</v>
      </c>
      <c r="AC488" t="s">
        <v>8937</v>
      </c>
      <c r="AD488" t="s">
        <v>8938</v>
      </c>
      <c r="AE488" t="s">
        <v>8939</v>
      </c>
      <c r="AF488" t="s">
        <v>74</v>
      </c>
      <c r="AG488">
        <v>59</v>
      </c>
      <c r="AH488">
        <v>0</v>
      </c>
      <c r="AI488">
        <v>0</v>
      </c>
      <c r="AJ488">
        <v>8</v>
      </c>
      <c r="AK488">
        <v>8</v>
      </c>
      <c r="AL488" t="s">
        <v>554</v>
      </c>
      <c r="AM488" t="s">
        <v>555</v>
      </c>
      <c r="AN488" t="s">
        <v>556</v>
      </c>
      <c r="AO488" t="s">
        <v>7697</v>
      </c>
      <c r="AP488" t="s">
        <v>7698</v>
      </c>
      <c r="AQ488" t="s">
        <v>74</v>
      </c>
      <c r="AR488" t="s">
        <v>7699</v>
      </c>
      <c r="AS488" t="s">
        <v>7700</v>
      </c>
      <c r="AT488" t="s">
        <v>6659</v>
      </c>
      <c r="AU488">
        <v>2023</v>
      </c>
      <c r="AV488">
        <v>345</v>
      </c>
      <c r="AW488" t="s">
        <v>74</v>
      </c>
      <c r="AX488" t="s">
        <v>74</v>
      </c>
      <c r="AY488" t="s">
        <v>74</v>
      </c>
      <c r="AZ488" t="s">
        <v>74</v>
      </c>
      <c r="BA488" t="s">
        <v>74</v>
      </c>
      <c r="BB488" t="s">
        <v>74</v>
      </c>
      <c r="BC488" t="s">
        <v>74</v>
      </c>
      <c r="BD488">
        <v>118764</v>
      </c>
      <c r="BE488" t="s">
        <v>8940</v>
      </c>
      <c r="BF488" t="str">
        <f>HYPERLINK("http://dx.doi.org/10.1016/j.jenvman.2023.118764","http://dx.doi.org/10.1016/j.jenvman.2023.118764")</f>
        <v>http://dx.doi.org/10.1016/j.jenvman.2023.118764</v>
      </c>
      <c r="BG488" t="s">
        <v>74</v>
      </c>
      <c r="BH488" t="s">
        <v>74</v>
      </c>
      <c r="BI488">
        <v>9</v>
      </c>
      <c r="BJ488" t="s">
        <v>1539</v>
      </c>
      <c r="BK488" t="s">
        <v>100</v>
      </c>
      <c r="BL488" t="s">
        <v>1540</v>
      </c>
      <c r="BM488" t="s">
        <v>8941</v>
      </c>
      <c r="BN488">
        <v>37607436</v>
      </c>
      <c r="BO488" t="s">
        <v>74</v>
      </c>
      <c r="BP488" t="s">
        <v>74</v>
      </c>
      <c r="BQ488" t="s">
        <v>74</v>
      </c>
      <c r="BR488" t="s">
        <v>104</v>
      </c>
      <c r="BS488" t="s">
        <v>8942</v>
      </c>
      <c r="BT488" t="str">
        <f>HYPERLINK("https%3A%2F%2Fwww.webofscience.com%2Fwos%2Fwoscc%2Ffull-record%2FWOS:001062122100001","View Full Record in Web of Science")</f>
        <v>View Full Record in Web of Science</v>
      </c>
    </row>
    <row r="489" spans="1:72" x14ac:dyDescent="0.15">
      <c r="A489" t="s">
        <v>72</v>
      </c>
      <c r="B489" t="s">
        <v>8943</v>
      </c>
      <c r="C489" t="s">
        <v>74</v>
      </c>
      <c r="D489" t="s">
        <v>74</v>
      </c>
      <c r="E489" t="s">
        <v>74</v>
      </c>
      <c r="F489" t="s">
        <v>8944</v>
      </c>
      <c r="G489" t="s">
        <v>74</v>
      </c>
      <c r="H489" t="s">
        <v>74</v>
      </c>
      <c r="I489" t="s">
        <v>8945</v>
      </c>
      <c r="J489" t="s">
        <v>8946</v>
      </c>
      <c r="K489" t="s">
        <v>74</v>
      </c>
      <c r="L489" t="s">
        <v>74</v>
      </c>
      <c r="M489" t="s">
        <v>78</v>
      </c>
      <c r="N489" t="s">
        <v>79</v>
      </c>
      <c r="O489" t="s">
        <v>74</v>
      </c>
      <c r="P489" t="s">
        <v>74</v>
      </c>
      <c r="Q489" t="s">
        <v>74</v>
      </c>
      <c r="R489" t="s">
        <v>74</v>
      </c>
      <c r="S489" t="s">
        <v>74</v>
      </c>
      <c r="T489" t="s">
        <v>8947</v>
      </c>
      <c r="U489" t="s">
        <v>8948</v>
      </c>
      <c r="V489" t="s">
        <v>8949</v>
      </c>
      <c r="W489" t="s">
        <v>8950</v>
      </c>
      <c r="X489" t="s">
        <v>8951</v>
      </c>
      <c r="Y489" t="s">
        <v>8952</v>
      </c>
      <c r="Z489" t="s">
        <v>8953</v>
      </c>
      <c r="AA489" t="s">
        <v>74</v>
      </c>
      <c r="AB489" t="s">
        <v>74</v>
      </c>
      <c r="AC489" t="s">
        <v>74</v>
      </c>
      <c r="AD489" t="s">
        <v>74</v>
      </c>
      <c r="AE489" t="s">
        <v>74</v>
      </c>
      <c r="AF489" t="s">
        <v>74</v>
      </c>
      <c r="AG489">
        <v>51</v>
      </c>
      <c r="AH489">
        <v>0</v>
      </c>
      <c r="AI489">
        <v>0</v>
      </c>
      <c r="AJ489">
        <v>7</v>
      </c>
      <c r="AK489">
        <v>7</v>
      </c>
      <c r="AL489" t="s">
        <v>120</v>
      </c>
      <c r="AM489" t="s">
        <v>121</v>
      </c>
      <c r="AN489" t="s">
        <v>122</v>
      </c>
      <c r="AO489" t="s">
        <v>8954</v>
      </c>
      <c r="AP489" t="s">
        <v>8955</v>
      </c>
      <c r="AQ489" t="s">
        <v>74</v>
      </c>
      <c r="AR489" t="s">
        <v>8956</v>
      </c>
      <c r="AS489" t="s">
        <v>8957</v>
      </c>
      <c r="AT489" t="s">
        <v>6618</v>
      </c>
      <c r="AU489">
        <v>2023</v>
      </c>
      <c r="AV489">
        <v>219</v>
      </c>
      <c r="AW489" t="s">
        <v>74</v>
      </c>
      <c r="AX489" t="s">
        <v>74</v>
      </c>
      <c r="AY489" t="s">
        <v>74</v>
      </c>
      <c r="AZ489" t="s">
        <v>74</v>
      </c>
      <c r="BA489" t="s">
        <v>74</v>
      </c>
      <c r="BB489" t="s">
        <v>74</v>
      </c>
      <c r="BC489" t="s">
        <v>74</v>
      </c>
      <c r="BD489">
        <v>111521</v>
      </c>
      <c r="BE489" t="s">
        <v>8958</v>
      </c>
      <c r="BF489" t="str">
        <f>HYPERLINK("http://dx.doi.org/10.1016/j.dyepig.2023.111521","http://dx.doi.org/10.1016/j.dyepig.2023.111521")</f>
        <v>http://dx.doi.org/10.1016/j.dyepig.2023.111521</v>
      </c>
      <c r="BG489" t="s">
        <v>74</v>
      </c>
      <c r="BH489" t="s">
        <v>74</v>
      </c>
      <c r="BI489">
        <v>7</v>
      </c>
      <c r="BJ489" t="s">
        <v>8959</v>
      </c>
      <c r="BK489" t="s">
        <v>100</v>
      </c>
      <c r="BL489" t="s">
        <v>8960</v>
      </c>
      <c r="BM489" t="s">
        <v>8961</v>
      </c>
      <c r="BN489" t="s">
        <v>74</v>
      </c>
      <c r="BO489" t="s">
        <v>74</v>
      </c>
      <c r="BP489" t="s">
        <v>74</v>
      </c>
      <c r="BQ489" t="s">
        <v>74</v>
      </c>
      <c r="BR489" t="s">
        <v>104</v>
      </c>
      <c r="BS489" t="s">
        <v>8962</v>
      </c>
      <c r="BT489" t="str">
        <f>HYPERLINK("https%3A%2F%2Fwww.webofscience.com%2Fwos%2Fwoscc%2Ffull-record%2FWOS:001047053200001","View Full Record in Web of Science")</f>
        <v>View Full Record in Web of Science</v>
      </c>
    </row>
    <row r="490" spans="1:72" x14ac:dyDescent="0.15">
      <c r="A490" t="s">
        <v>72</v>
      </c>
      <c r="B490" t="s">
        <v>8963</v>
      </c>
      <c r="C490" t="s">
        <v>74</v>
      </c>
      <c r="D490" t="s">
        <v>74</v>
      </c>
      <c r="E490" t="s">
        <v>74</v>
      </c>
      <c r="F490" t="s">
        <v>8964</v>
      </c>
      <c r="G490" t="s">
        <v>74</v>
      </c>
      <c r="H490" t="s">
        <v>74</v>
      </c>
      <c r="I490" t="s">
        <v>8965</v>
      </c>
      <c r="J490" t="s">
        <v>8966</v>
      </c>
      <c r="K490" t="s">
        <v>74</v>
      </c>
      <c r="L490" t="s">
        <v>74</v>
      </c>
      <c r="M490" t="s">
        <v>78</v>
      </c>
      <c r="N490" t="s">
        <v>79</v>
      </c>
      <c r="O490" t="s">
        <v>74</v>
      </c>
      <c r="P490" t="s">
        <v>74</v>
      </c>
      <c r="Q490" t="s">
        <v>74</v>
      </c>
      <c r="R490" t="s">
        <v>74</v>
      </c>
      <c r="S490" t="s">
        <v>74</v>
      </c>
      <c r="T490" t="s">
        <v>8967</v>
      </c>
      <c r="U490" t="s">
        <v>8968</v>
      </c>
      <c r="V490" t="s">
        <v>8969</v>
      </c>
      <c r="W490" t="s">
        <v>8970</v>
      </c>
      <c r="X490" t="s">
        <v>8971</v>
      </c>
      <c r="Y490" t="s">
        <v>8972</v>
      </c>
      <c r="Z490" t="s">
        <v>8973</v>
      </c>
      <c r="AA490" t="s">
        <v>74</v>
      </c>
      <c r="AB490" t="s">
        <v>74</v>
      </c>
      <c r="AC490" t="s">
        <v>8974</v>
      </c>
      <c r="AD490" t="s">
        <v>8975</v>
      </c>
      <c r="AE490" t="s">
        <v>8976</v>
      </c>
      <c r="AF490" t="s">
        <v>74</v>
      </c>
      <c r="AG490">
        <v>20</v>
      </c>
      <c r="AH490">
        <v>0</v>
      </c>
      <c r="AI490">
        <v>0</v>
      </c>
      <c r="AJ490">
        <v>2</v>
      </c>
      <c r="AK490">
        <v>2</v>
      </c>
      <c r="AL490" t="s">
        <v>90</v>
      </c>
      <c r="AM490" t="s">
        <v>91</v>
      </c>
      <c r="AN490" t="s">
        <v>92</v>
      </c>
      <c r="AO490" t="s">
        <v>8977</v>
      </c>
      <c r="AP490" t="s">
        <v>8978</v>
      </c>
      <c r="AQ490" t="s">
        <v>74</v>
      </c>
      <c r="AR490" t="s">
        <v>8979</v>
      </c>
      <c r="AS490" t="s">
        <v>8980</v>
      </c>
      <c r="AT490" t="s">
        <v>6659</v>
      </c>
      <c r="AU490">
        <v>2023</v>
      </c>
      <c r="AV490">
        <v>621</v>
      </c>
      <c r="AW490" t="s">
        <v>74</v>
      </c>
      <c r="AX490" t="s">
        <v>74</v>
      </c>
      <c r="AY490" t="s">
        <v>74</v>
      </c>
      <c r="AZ490" t="s">
        <v>74</v>
      </c>
      <c r="BA490" t="s">
        <v>74</v>
      </c>
      <c r="BB490" t="s">
        <v>74</v>
      </c>
      <c r="BC490" t="s">
        <v>74</v>
      </c>
      <c r="BD490">
        <v>127379</v>
      </c>
      <c r="BE490" t="s">
        <v>8981</v>
      </c>
      <c r="BF490" t="str">
        <f>HYPERLINK("http://dx.doi.org/10.1016/j.jcrysgro.2023.127379","http://dx.doi.org/10.1016/j.jcrysgro.2023.127379")</f>
        <v>http://dx.doi.org/10.1016/j.jcrysgro.2023.127379</v>
      </c>
      <c r="BG490" t="s">
        <v>74</v>
      </c>
      <c r="BH490" t="s">
        <v>74</v>
      </c>
      <c r="BI490">
        <v>7</v>
      </c>
      <c r="BJ490" t="s">
        <v>8982</v>
      </c>
      <c r="BK490" t="s">
        <v>100</v>
      </c>
      <c r="BL490" t="s">
        <v>8983</v>
      </c>
      <c r="BM490" t="s">
        <v>8984</v>
      </c>
      <c r="BN490" t="s">
        <v>74</v>
      </c>
      <c r="BO490" t="s">
        <v>74</v>
      </c>
      <c r="BP490" t="s">
        <v>74</v>
      </c>
      <c r="BQ490" t="s">
        <v>74</v>
      </c>
      <c r="BR490" t="s">
        <v>104</v>
      </c>
      <c r="BS490" t="s">
        <v>8985</v>
      </c>
      <c r="BT490" t="str">
        <f>HYPERLINK("https%3A%2F%2Fwww.webofscience.com%2Fwos%2Fwoscc%2Ffull-record%2FWOS:001049524400001","View Full Record in Web of Science")</f>
        <v>View Full Record in Web of Science</v>
      </c>
    </row>
    <row r="491" spans="1:72" x14ac:dyDescent="0.15">
      <c r="A491" t="s">
        <v>72</v>
      </c>
      <c r="B491" t="s">
        <v>8986</v>
      </c>
      <c r="C491" t="s">
        <v>74</v>
      </c>
      <c r="D491" t="s">
        <v>74</v>
      </c>
      <c r="E491" t="s">
        <v>74</v>
      </c>
      <c r="F491" t="s">
        <v>8987</v>
      </c>
      <c r="G491" t="s">
        <v>74</v>
      </c>
      <c r="H491" t="s">
        <v>74</v>
      </c>
      <c r="I491" t="s">
        <v>8988</v>
      </c>
      <c r="J491" t="s">
        <v>7193</v>
      </c>
      <c r="K491" t="s">
        <v>74</v>
      </c>
      <c r="L491" t="s">
        <v>74</v>
      </c>
      <c r="M491" t="s">
        <v>78</v>
      </c>
      <c r="N491" t="s">
        <v>79</v>
      </c>
      <c r="O491" t="s">
        <v>74</v>
      </c>
      <c r="P491" t="s">
        <v>74</v>
      </c>
      <c r="Q491" t="s">
        <v>74</v>
      </c>
      <c r="R491" t="s">
        <v>74</v>
      </c>
      <c r="S491" t="s">
        <v>74</v>
      </c>
      <c r="T491" t="s">
        <v>8989</v>
      </c>
      <c r="U491" t="s">
        <v>8990</v>
      </c>
      <c r="V491" t="s">
        <v>8991</v>
      </c>
      <c r="W491" t="s">
        <v>8992</v>
      </c>
      <c r="X491" t="s">
        <v>8993</v>
      </c>
      <c r="Y491" t="s">
        <v>8994</v>
      </c>
      <c r="Z491" t="s">
        <v>8995</v>
      </c>
      <c r="AA491" t="s">
        <v>74</v>
      </c>
      <c r="AB491" t="s">
        <v>74</v>
      </c>
      <c r="AC491" t="s">
        <v>8996</v>
      </c>
      <c r="AD491" t="s">
        <v>8997</v>
      </c>
      <c r="AE491" t="s">
        <v>8998</v>
      </c>
      <c r="AF491" t="s">
        <v>74</v>
      </c>
      <c r="AG491">
        <v>87</v>
      </c>
      <c r="AH491">
        <v>0</v>
      </c>
      <c r="AI491">
        <v>0</v>
      </c>
      <c r="AJ491">
        <v>3</v>
      </c>
      <c r="AK491">
        <v>3</v>
      </c>
      <c r="AL491" t="s">
        <v>90</v>
      </c>
      <c r="AM491" t="s">
        <v>91</v>
      </c>
      <c r="AN491" t="s">
        <v>92</v>
      </c>
      <c r="AO491" t="s">
        <v>7205</v>
      </c>
      <c r="AP491" t="s">
        <v>74</v>
      </c>
      <c r="AQ491" t="s">
        <v>74</v>
      </c>
      <c r="AR491" t="s">
        <v>7206</v>
      </c>
      <c r="AS491" t="s">
        <v>7207</v>
      </c>
      <c r="AT491" t="s">
        <v>6618</v>
      </c>
      <c r="AU491">
        <v>2023</v>
      </c>
      <c r="AV491">
        <v>32</v>
      </c>
      <c r="AW491" t="s">
        <v>74</v>
      </c>
      <c r="AX491" t="s">
        <v>74</v>
      </c>
      <c r="AY491" t="s">
        <v>74</v>
      </c>
      <c r="AZ491" t="s">
        <v>74</v>
      </c>
      <c r="BA491" t="s">
        <v>74</v>
      </c>
      <c r="BB491" t="s">
        <v>74</v>
      </c>
      <c r="BC491" t="s">
        <v>74</v>
      </c>
      <c r="BD491">
        <v>103335</v>
      </c>
      <c r="BE491" t="s">
        <v>8999</v>
      </c>
      <c r="BF491" t="str">
        <f>HYPERLINK("http://dx.doi.org/10.1016/j.eti.2023.103335","http://dx.doi.org/10.1016/j.eti.2023.103335")</f>
        <v>http://dx.doi.org/10.1016/j.eti.2023.103335</v>
      </c>
      <c r="BG491" t="s">
        <v>74</v>
      </c>
      <c r="BH491" t="s">
        <v>74</v>
      </c>
      <c r="BI491">
        <v>14</v>
      </c>
      <c r="BJ491" t="s">
        <v>7209</v>
      </c>
      <c r="BK491" t="s">
        <v>100</v>
      </c>
      <c r="BL491" t="s">
        <v>7210</v>
      </c>
      <c r="BM491" t="s">
        <v>9000</v>
      </c>
      <c r="BN491" t="s">
        <v>74</v>
      </c>
      <c r="BO491" t="s">
        <v>3613</v>
      </c>
      <c r="BP491" t="s">
        <v>74</v>
      </c>
      <c r="BQ491" t="s">
        <v>74</v>
      </c>
      <c r="BR491" t="s">
        <v>104</v>
      </c>
      <c r="BS491" t="s">
        <v>9001</v>
      </c>
      <c r="BT491" t="str">
        <f>HYPERLINK("https%3A%2F%2Fwww.webofscience.com%2Fwos%2Fwoscc%2Ffull-record%2FWOS:001061356000001","View Full Record in Web of Science")</f>
        <v>View Full Record in Web of Science</v>
      </c>
    </row>
    <row r="492" spans="1:72" x14ac:dyDescent="0.15">
      <c r="A492" t="s">
        <v>72</v>
      </c>
      <c r="B492" t="s">
        <v>9002</v>
      </c>
      <c r="C492" t="s">
        <v>74</v>
      </c>
      <c r="D492" t="s">
        <v>74</v>
      </c>
      <c r="E492" t="s">
        <v>74</v>
      </c>
      <c r="F492" t="s">
        <v>9003</v>
      </c>
      <c r="G492" t="s">
        <v>74</v>
      </c>
      <c r="H492" t="s">
        <v>74</v>
      </c>
      <c r="I492" t="s">
        <v>9004</v>
      </c>
      <c r="J492" t="s">
        <v>7324</v>
      </c>
      <c r="K492" t="s">
        <v>74</v>
      </c>
      <c r="L492" t="s">
        <v>74</v>
      </c>
      <c r="M492" t="s">
        <v>78</v>
      </c>
      <c r="N492" t="s">
        <v>79</v>
      </c>
      <c r="O492" t="s">
        <v>74</v>
      </c>
      <c r="P492" t="s">
        <v>74</v>
      </c>
      <c r="Q492" t="s">
        <v>74</v>
      </c>
      <c r="R492" t="s">
        <v>74</v>
      </c>
      <c r="S492" t="s">
        <v>74</v>
      </c>
      <c r="T492" t="s">
        <v>9005</v>
      </c>
      <c r="U492" t="s">
        <v>9006</v>
      </c>
      <c r="V492" t="s">
        <v>9007</v>
      </c>
      <c r="W492" t="s">
        <v>9008</v>
      </c>
      <c r="X492" t="s">
        <v>9009</v>
      </c>
      <c r="Y492" t="s">
        <v>9010</v>
      </c>
      <c r="Z492" t="s">
        <v>9011</v>
      </c>
      <c r="AA492" t="s">
        <v>74</v>
      </c>
      <c r="AB492" t="s">
        <v>74</v>
      </c>
      <c r="AC492" t="s">
        <v>9012</v>
      </c>
      <c r="AD492" t="s">
        <v>9013</v>
      </c>
      <c r="AE492" t="s">
        <v>9014</v>
      </c>
      <c r="AF492" t="s">
        <v>74</v>
      </c>
      <c r="AG492">
        <v>37</v>
      </c>
      <c r="AH492">
        <v>0</v>
      </c>
      <c r="AI492">
        <v>0</v>
      </c>
      <c r="AJ492">
        <v>0</v>
      </c>
      <c r="AK492">
        <v>0</v>
      </c>
      <c r="AL492" t="s">
        <v>90</v>
      </c>
      <c r="AM492" t="s">
        <v>91</v>
      </c>
      <c r="AN492" t="s">
        <v>92</v>
      </c>
      <c r="AO492" t="s">
        <v>7335</v>
      </c>
      <c r="AP492" t="s">
        <v>7336</v>
      </c>
      <c r="AQ492" t="s">
        <v>74</v>
      </c>
      <c r="AR492" t="s">
        <v>7337</v>
      </c>
      <c r="AS492" t="s">
        <v>7338</v>
      </c>
      <c r="AT492" t="s">
        <v>6659</v>
      </c>
      <c r="AU492">
        <v>2023</v>
      </c>
      <c r="AV492">
        <v>546</v>
      </c>
      <c r="AW492" t="s">
        <v>74</v>
      </c>
      <c r="AX492" t="s">
        <v>74</v>
      </c>
      <c r="AY492" t="s">
        <v>74</v>
      </c>
      <c r="AZ492" t="s">
        <v>74</v>
      </c>
      <c r="BA492" t="s">
        <v>74</v>
      </c>
      <c r="BB492" t="s">
        <v>74</v>
      </c>
      <c r="BC492" t="s">
        <v>74</v>
      </c>
      <c r="BD492">
        <v>129793</v>
      </c>
      <c r="BE492" t="s">
        <v>9015</v>
      </c>
      <c r="BF492" t="str">
        <f>HYPERLINK("http://dx.doi.org/10.1016/j.optcom.2023.129793","http://dx.doi.org/10.1016/j.optcom.2023.129793")</f>
        <v>http://dx.doi.org/10.1016/j.optcom.2023.129793</v>
      </c>
      <c r="BG492" t="s">
        <v>74</v>
      </c>
      <c r="BH492" t="s">
        <v>74</v>
      </c>
      <c r="BI492">
        <v>6</v>
      </c>
      <c r="BJ492" t="s">
        <v>2920</v>
      </c>
      <c r="BK492" t="s">
        <v>100</v>
      </c>
      <c r="BL492" t="s">
        <v>2920</v>
      </c>
      <c r="BM492" t="s">
        <v>9016</v>
      </c>
      <c r="BN492" t="s">
        <v>74</v>
      </c>
      <c r="BO492" t="s">
        <v>74</v>
      </c>
      <c r="BP492" t="s">
        <v>74</v>
      </c>
      <c r="BQ492" t="s">
        <v>74</v>
      </c>
      <c r="BR492" t="s">
        <v>104</v>
      </c>
      <c r="BS492" t="s">
        <v>9017</v>
      </c>
      <c r="BT492" t="str">
        <f>HYPERLINK("https%3A%2F%2Fwww.webofscience.com%2Fwos%2Fwoscc%2Ffull-record%2FWOS:001065495700001","View Full Record in Web of Science")</f>
        <v>View Full Record in Web of Science</v>
      </c>
    </row>
    <row r="493" spans="1:72" x14ac:dyDescent="0.15">
      <c r="A493" t="s">
        <v>72</v>
      </c>
      <c r="B493" t="s">
        <v>9018</v>
      </c>
      <c r="C493" t="s">
        <v>74</v>
      </c>
      <c r="D493" t="s">
        <v>74</v>
      </c>
      <c r="E493" t="s">
        <v>74</v>
      </c>
      <c r="F493" t="s">
        <v>9019</v>
      </c>
      <c r="G493" t="s">
        <v>74</v>
      </c>
      <c r="H493" t="s">
        <v>74</v>
      </c>
      <c r="I493" t="s">
        <v>9020</v>
      </c>
      <c r="J493" t="s">
        <v>1587</v>
      </c>
      <c r="K493" t="s">
        <v>74</v>
      </c>
      <c r="L493" t="s">
        <v>74</v>
      </c>
      <c r="M493" t="s">
        <v>78</v>
      </c>
      <c r="N493" t="s">
        <v>79</v>
      </c>
      <c r="O493" t="s">
        <v>74</v>
      </c>
      <c r="P493" t="s">
        <v>74</v>
      </c>
      <c r="Q493" t="s">
        <v>74</v>
      </c>
      <c r="R493" t="s">
        <v>74</v>
      </c>
      <c r="S493" t="s">
        <v>74</v>
      </c>
      <c r="T493" t="s">
        <v>9021</v>
      </c>
      <c r="U493" t="s">
        <v>9022</v>
      </c>
      <c r="V493" t="s">
        <v>9023</v>
      </c>
      <c r="W493" t="s">
        <v>9024</v>
      </c>
      <c r="X493" t="s">
        <v>9025</v>
      </c>
      <c r="Y493" t="s">
        <v>9026</v>
      </c>
      <c r="Z493" t="s">
        <v>9027</v>
      </c>
      <c r="AA493" t="s">
        <v>74</v>
      </c>
      <c r="AB493" t="s">
        <v>74</v>
      </c>
      <c r="AC493" t="s">
        <v>74</v>
      </c>
      <c r="AD493" t="s">
        <v>74</v>
      </c>
      <c r="AE493" t="s">
        <v>74</v>
      </c>
      <c r="AF493" t="s">
        <v>74</v>
      </c>
      <c r="AG493">
        <v>82</v>
      </c>
      <c r="AH493">
        <v>0</v>
      </c>
      <c r="AI493">
        <v>0</v>
      </c>
      <c r="AJ493">
        <v>5</v>
      </c>
      <c r="AK493">
        <v>5</v>
      </c>
      <c r="AL493" t="s">
        <v>90</v>
      </c>
      <c r="AM493" t="s">
        <v>91</v>
      </c>
      <c r="AN493" t="s">
        <v>92</v>
      </c>
      <c r="AO493" t="s">
        <v>1598</v>
      </c>
      <c r="AP493" t="s">
        <v>1599</v>
      </c>
      <c r="AQ493" t="s">
        <v>74</v>
      </c>
      <c r="AR493" t="s">
        <v>1600</v>
      </c>
      <c r="AS493" t="s">
        <v>1601</v>
      </c>
      <c r="AT493" t="s">
        <v>6659</v>
      </c>
      <c r="AU493">
        <v>2023</v>
      </c>
      <c r="AV493">
        <v>324</v>
      </c>
      <c r="AW493" t="s">
        <v>74</v>
      </c>
      <c r="AX493" t="s">
        <v>74</v>
      </c>
      <c r="AY493" t="s">
        <v>74</v>
      </c>
      <c r="AZ493" t="s">
        <v>74</v>
      </c>
      <c r="BA493" t="s">
        <v>74</v>
      </c>
      <c r="BB493" t="s">
        <v>74</v>
      </c>
      <c r="BC493" t="s">
        <v>74</v>
      </c>
      <c r="BD493">
        <v>124641</v>
      </c>
      <c r="BE493" t="s">
        <v>9028</v>
      </c>
      <c r="BF493" t="str">
        <f>HYPERLINK("http://dx.doi.org/10.1016/j.seppur.2023.124641","http://dx.doi.org/10.1016/j.seppur.2023.124641")</f>
        <v>http://dx.doi.org/10.1016/j.seppur.2023.124641</v>
      </c>
      <c r="BG493" t="s">
        <v>74</v>
      </c>
      <c r="BH493" t="s">
        <v>74</v>
      </c>
      <c r="BI493">
        <v>13</v>
      </c>
      <c r="BJ493" t="s">
        <v>1603</v>
      </c>
      <c r="BK493" t="s">
        <v>100</v>
      </c>
      <c r="BL493" t="s">
        <v>873</v>
      </c>
      <c r="BM493" t="s">
        <v>9029</v>
      </c>
      <c r="BN493" t="s">
        <v>74</v>
      </c>
      <c r="BO493" t="s">
        <v>74</v>
      </c>
      <c r="BP493" t="s">
        <v>74</v>
      </c>
      <c r="BQ493" t="s">
        <v>74</v>
      </c>
      <c r="BR493" t="s">
        <v>104</v>
      </c>
      <c r="BS493" t="s">
        <v>9030</v>
      </c>
      <c r="BT493" t="str">
        <f>HYPERLINK("https%3A%2F%2Fwww.webofscience.com%2Fwos%2Fwoscc%2Ffull-record%2FWOS:001055858200001","View Full Record in Web of Science")</f>
        <v>View Full Record in Web of Science</v>
      </c>
    </row>
    <row r="494" spans="1:72" x14ac:dyDescent="0.15">
      <c r="A494" t="s">
        <v>72</v>
      </c>
      <c r="B494" t="s">
        <v>9031</v>
      </c>
      <c r="C494" t="s">
        <v>74</v>
      </c>
      <c r="D494" t="s">
        <v>74</v>
      </c>
      <c r="E494" t="s">
        <v>74</v>
      </c>
      <c r="F494" t="s">
        <v>9032</v>
      </c>
      <c r="G494" t="s">
        <v>74</v>
      </c>
      <c r="H494" t="s">
        <v>74</v>
      </c>
      <c r="I494" t="s">
        <v>9033</v>
      </c>
      <c r="J494" t="s">
        <v>7507</v>
      </c>
      <c r="K494" t="s">
        <v>74</v>
      </c>
      <c r="L494" t="s">
        <v>74</v>
      </c>
      <c r="M494" t="s">
        <v>78</v>
      </c>
      <c r="N494" t="s">
        <v>79</v>
      </c>
      <c r="O494" t="s">
        <v>74</v>
      </c>
      <c r="P494" t="s">
        <v>74</v>
      </c>
      <c r="Q494" t="s">
        <v>74</v>
      </c>
      <c r="R494" t="s">
        <v>74</v>
      </c>
      <c r="S494" t="s">
        <v>74</v>
      </c>
      <c r="T494" t="s">
        <v>9034</v>
      </c>
      <c r="U494" t="s">
        <v>9035</v>
      </c>
      <c r="V494" t="s">
        <v>9036</v>
      </c>
      <c r="W494" t="s">
        <v>9037</v>
      </c>
      <c r="X494" t="s">
        <v>9038</v>
      </c>
      <c r="Y494" t="s">
        <v>9039</v>
      </c>
      <c r="Z494" t="s">
        <v>9040</v>
      </c>
      <c r="AA494" t="s">
        <v>74</v>
      </c>
      <c r="AB494" t="s">
        <v>74</v>
      </c>
      <c r="AC494" t="s">
        <v>9041</v>
      </c>
      <c r="AD494" t="s">
        <v>9042</v>
      </c>
      <c r="AE494" t="s">
        <v>9043</v>
      </c>
      <c r="AF494" t="s">
        <v>74</v>
      </c>
      <c r="AG494">
        <v>40</v>
      </c>
      <c r="AH494">
        <v>0</v>
      </c>
      <c r="AI494">
        <v>0</v>
      </c>
      <c r="AJ494">
        <v>25</v>
      </c>
      <c r="AK494">
        <v>25</v>
      </c>
      <c r="AL494" t="s">
        <v>120</v>
      </c>
      <c r="AM494" t="s">
        <v>121</v>
      </c>
      <c r="AN494" t="s">
        <v>122</v>
      </c>
      <c r="AO494" t="s">
        <v>7518</v>
      </c>
      <c r="AP494" t="s">
        <v>7519</v>
      </c>
      <c r="AQ494" t="s">
        <v>74</v>
      </c>
      <c r="AR494" t="s">
        <v>7520</v>
      </c>
      <c r="AS494" t="s">
        <v>7521</v>
      </c>
      <c r="AT494" t="s">
        <v>6618</v>
      </c>
      <c r="AU494">
        <v>2023</v>
      </c>
      <c r="AV494">
        <v>387</v>
      </c>
      <c r="AW494" t="s">
        <v>74</v>
      </c>
      <c r="AX494" t="s">
        <v>74</v>
      </c>
      <c r="AY494" t="s">
        <v>74</v>
      </c>
      <c r="AZ494" t="s">
        <v>74</v>
      </c>
      <c r="BA494" t="s">
        <v>74</v>
      </c>
      <c r="BB494" t="s">
        <v>74</v>
      </c>
      <c r="BC494" t="s">
        <v>74</v>
      </c>
      <c r="BD494">
        <v>129628</v>
      </c>
      <c r="BE494" t="s">
        <v>9044</v>
      </c>
      <c r="BF494" t="str">
        <f>HYPERLINK("http://dx.doi.org/10.1016/j.biortech.2023.129628","http://dx.doi.org/10.1016/j.biortech.2023.129628")</f>
        <v>http://dx.doi.org/10.1016/j.biortech.2023.129628</v>
      </c>
      <c r="BG494" t="s">
        <v>74</v>
      </c>
      <c r="BH494" t="s">
        <v>74</v>
      </c>
      <c r="BI494">
        <v>9</v>
      </c>
      <c r="BJ494" t="s">
        <v>7523</v>
      </c>
      <c r="BK494" t="s">
        <v>100</v>
      </c>
      <c r="BL494" t="s">
        <v>7524</v>
      </c>
      <c r="BM494" t="s">
        <v>9045</v>
      </c>
      <c r="BN494">
        <v>37549716</v>
      </c>
      <c r="BO494" t="s">
        <v>74</v>
      </c>
      <c r="BP494" t="s">
        <v>74</v>
      </c>
      <c r="BQ494" t="s">
        <v>74</v>
      </c>
      <c r="BR494" t="s">
        <v>104</v>
      </c>
      <c r="BS494" t="s">
        <v>9046</v>
      </c>
      <c r="BT494" t="str">
        <f>HYPERLINK("https%3A%2F%2Fwww.webofscience.com%2Fwos%2Fwoscc%2Ffull-record%2FWOS:001061998500001","View Full Record in Web of Science")</f>
        <v>View Full Record in Web of Science</v>
      </c>
    </row>
    <row r="495" spans="1:72" x14ac:dyDescent="0.15">
      <c r="A495" t="s">
        <v>72</v>
      </c>
      <c r="B495" t="s">
        <v>9047</v>
      </c>
      <c r="C495" t="s">
        <v>74</v>
      </c>
      <c r="D495" t="s">
        <v>74</v>
      </c>
      <c r="E495" t="s">
        <v>74</v>
      </c>
      <c r="F495" t="s">
        <v>9048</v>
      </c>
      <c r="G495" t="s">
        <v>74</v>
      </c>
      <c r="H495" t="s">
        <v>74</v>
      </c>
      <c r="I495" t="s">
        <v>9049</v>
      </c>
      <c r="J495" t="s">
        <v>9050</v>
      </c>
      <c r="K495" t="s">
        <v>74</v>
      </c>
      <c r="L495" t="s">
        <v>74</v>
      </c>
      <c r="M495" t="s">
        <v>78</v>
      </c>
      <c r="N495" t="s">
        <v>79</v>
      </c>
      <c r="O495" t="s">
        <v>74</v>
      </c>
      <c r="P495" t="s">
        <v>74</v>
      </c>
      <c r="Q495" t="s">
        <v>74</v>
      </c>
      <c r="R495" t="s">
        <v>74</v>
      </c>
      <c r="S495" t="s">
        <v>74</v>
      </c>
      <c r="T495" t="s">
        <v>9051</v>
      </c>
      <c r="U495" t="s">
        <v>9052</v>
      </c>
      <c r="V495" t="s">
        <v>9053</v>
      </c>
      <c r="W495" t="s">
        <v>9054</v>
      </c>
      <c r="X495" t="s">
        <v>9055</v>
      </c>
      <c r="Y495" t="s">
        <v>9056</v>
      </c>
      <c r="Z495" t="s">
        <v>9057</v>
      </c>
      <c r="AA495" t="s">
        <v>74</v>
      </c>
      <c r="AB495" t="s">
        <v>74</v>
      </c>
      <c r="AC495" t="s">
        <v>9058</v>
      </c>
      <c r="AD495" t="s">
        <v>9059</v>
      </c>
      <c r="AE495" t="s">
        <v>9060</v>
      </c>
      <c r="AF495" t="s">
        <v>74</v>
      </c>
      <c r="AG495">
        <v>18</v>
      </c>
      <c r="AH495">
        <v>0</v>
      </c>
      <c r="AI495">
        <v>0</v>
      </c>
      <c r="AJ495">
        <v>0</v>
      </c>
      <c r="AK495">
        <v>0</v>
      </c>
      <c r="AL495" t="s">
        <v>90</v>
      </c>
      <c r="AM495" t="s">
        <v>91</v>
      </c>
      <c r="AN495" t="s">
        <v>92</v>
      </c>
      <c r="AO495" t="s">
        <v>9061</v>
      </c>
      <c r="AP495" t="s">
        <v>9062</v>
      </c>
      <c r="AQ495" t="s">
        <v>74</v>
      </c>
      <c r="AR495" t="s">
        <v>9063</v>
      </c>
      <c r="AS495" t="s">
        <v>9064</v>
      </c>
      <c r="AT495" t="s">
        <v>6618</v>
      </c>
      <c r="AU495">
        <v>2023</v>
      </c>
      <c r="AV495">
        <v>1056</v>
      </c>
      <c r="AW495" t="s">
        <v>74</v>
      </c>
      <c r="AX495" t="s">
        <v>74</v>
      </c>
      <c r="AY495" t="s">
        <v>74</v>
      </c>
      <c r="AZ495" t="s">
        <v>74</v>
      </c>
      <c r="BA495" t="s">
        <v>74</v>
      </c>
      <c r="BB495" t="s">
        <v>74</v>
      </c>
      <c r="BC495" t="s">
        <v>74</v>
      </c>
      <c r="BD495">
        <v>168585</v>
      </c>
      <c r="BE495" t="s">
        <v>9065</v>
      </c>
      <c r="BF495" t="str">
        <f>HYPERLINK("http://dx.doi.org/10.1016/j.nima.2023.168585","http://dx.doi.org/10.1016/j.nima.2023.168585")</f>
        <v>http://dx.doi.org/10.1016/j.nima.2023.168585</v>
      </c>
      <c r="BG495" t="s">
        <v>74</v>
      </c>
      <c r="BH495" t="s">
        <v>74</v>
      </c>
      <c r="BI495">
        <v>5</v>
      </c>
      <c r="BJ495" t="s">
        <v>9066</v>
      </c>
      <c r="BK495" t="s">
        <v>100</v>
      </c>
      <c r="BL495" t="s">
        <v>9067</v>
      </c>
      <c r="BM495" t="s">
        <v>9068</v>
      </c>
      <c r="BN495" t="s">
        <v>74</v>
      </c>
      <c r="BO495" t="s">
        <v>74</v>
      </c>
      <c r="BP495" t="s">
        <v>74</v>
      </c>
      <c r="BQ495" t="s">
        <v>74</v>
      </c>
      <c r="BR495" t="s">
        <v>104</v>
      </c>
      <c r="BS495" t="s">
        <v>9069</v>
      </c>
      <c r="BT495" t="str">
        <f>HYPERLINK("https%3A%2F%2Fwww.webofscience.com%2Fwos%2Fwoscc%2Ffull-record%2FWOS:001071682700001","View Full Record in Web of Science")</f>
        <v>View Full Record in Web of Science</v>
      </c>
    </row>
    <row r="496" spans="1:72" x14ac:dyDescent="0.15">
      <c r="A496" t="s">
        <v>72</v>
      </c>
      <c r="B496" t="s">
        <v>9070</v>
      </c>
      <c r="C496" t="s">
        <v>74</v>
      </c>
      <c r="D496" t="s">
        <v>74</v>
      </c>
      <c r="E496" t="s">
        <v>74</v>
      </c>
      <c r="F496" t="s">
        <v>9071</v>
      </c>
      <c r="G496" t="s">
        <v>74</v>
      </c>
      <c r="H496" t="s">
        <v>74</v>
      </c>
      <c r="I496" t="s">
        <v>9072</v>
      </c>
      <c r="J496" t="s">
        <v>9073</v>
      </c>
      <c r="K496" t="s">
        <v>74</v>
      </c>
      <c r="L496" t="s">
        <v>74</v>
      </c>
      <c r="M496" t="s">
        <v>78</v>
      </c>
      <c r="N496" t="s">
        <v>79</v>
      </c>
      <c r="O496" t="s">
        <v>74</v>
      </c>
      <c r="P496" t="s">
        <v>74</v>
      </c>
      <c r="Q496" t="s">
        <v>74</v>
      </c>
      <c r="R496" t="s">
        <v>74</v>
      </c>
      <c r="S496" t="s">
        <v>74</v>
      </c>
      <c r="T496" t="s">
        <v>9074</v>
      </c>
      <c r="U496" t="s">
        <v>9075</v>
      </c>
      <c r="V496" t="s">
        <v>9076</v>
      </c>
      <c r="W496" t="s">
        <v>9077</v>
      </c>
      <c r="X496" t="s">
        <v>9078</v>
      </c>
      <c r="Y496" t="s">
        <v>9079</v>
      </c>
      <c r="Z496" t="s">
        <v>9080</v>
      </c>
      <c r="AA496" t="s">
        <v>74</v>
      </c>
      <c r="AB496" t="s">
        <v>74</v>
      </c>
      <c r="AC496" t="s">
        <v>9081</v>
      </c>
      <c r="AD496" t="s">
        <v>9082</v>
      </c>
      <c r="AE496" t="s">
        <v>9083</v>
      </c>
      <c r="AF496" t="s">
        <v>74</v>
      </c>
      <c r="AG496">
        <v>42</v>
      </c>
      <c r="AH496">
        <v>0</v>
      </c>
      <c r="AI496">
        <v>0</v>
      </c>
      <c r="AJ496">
        <v>2</v>
      </c>
      <c r="AK496">
        <v>2</v>
      </c>
      <c r="AL496" t="s">
        <v>147</v>
      </c>
      <c r="AM496" t="s">
        <v>148</v>
      </c>
      <c r="AN496" t="s">
        <v>149</v>
      </c>
      <c r="AO496" t="s">
        <v>9084</v>
      </c>
      <c r="AP496" t="s">
        <v>9085</v>
      </c>
      <c r="AQ496" t="s">
        <v>74</v>
      </c>
      <c r="AR496" t="s">
        <v>9086</v>
      </c>
      <c r="AS496" t="s">
        <v>9087</v>
      </c>
      <c r="AT496" t="s">
        <v>6618</v>
      </c>
      <c r="AU496">
        <v>2023</v>
      </c>
      <c r="AV496">
        <v>123</v>
      </c>
      <c r="AW496" t="s">
        <v>74</v>
      </c>
      <c r="AX496" t="s">
        <v>74</v>
      </c>
      <c r="AY496" t="s">
        <v>74</v>
      </c>
      <c r="AZ496" t="s">
        <v>74</v>
      </c>
      <c r="BA496" t="s">
        <v>74</v>
      </c>
      <c r="BB496">
        <v>392</v>
      </c>
      <c r="BC496">
        <v>405</v>
      </c>
      <c r="BD496" t="s">
        <v>74</v>
      </c>
      <c r="BE496" t="s">
        <v>9088</v>
      </c>
      <c r="BF496" t="str">
        <f>HYPERLINK("http://dx.doi.org/10.1016/j.apm.2023.07.007","http://dx.doi.org/10.1016/j.apm.2023.07.007")</f>
        <v>http://dx.doi.org/10.1016/j.apm.2023.07.007</v>
      </c>
      <c r="BG496" t="s">
        <v>74</v>
      </c>
      <c r="BH496" t="s">
        <v>74</v>
      </c>
      <c r="BI496">
        <v>14</v>
      </c>
      <c r="BJ496" t="s">
        <v>9089</v>
      </c>
      <c r="BK496" t="s">
        <v>100</v>
      </c>
      <c r="BL496" t="s">
        <v>9090</v>
      </c>
      <c r="BM496" t="s">
        <v>9091</v>
      </c>
      <c r="BN496" t="s">
        <v>74</v>
      </c>
      <c r="BO496" t="s">
        <v>74</v>
      </c>
      <c r="BP496" t="s">
        <v>74</v>
      </c>
      <c r="BQ496" t="s">
        <v>74</v>
      </c>
      <c r="BR496" t="s">
        <v>104</v>
      </c>
      <c r="BS496" t="s">
        <v>9092</v>
      </c>
      <c r="BT496" t="str">
        <f>HYPERLINK("https%3A%2F%2Fwww.webofscience.com%2Fwos%2Fwoscc%2Ffull-record%2FWOS:001043780700001","View Full Record in Web of Science")</f>
        <v>View Full Record in Web of Science</v>
      </c>
    </row>
    <row r="497" spans="1:72" x14ac:dyDescent="0.15">
      <c r="A497" t="s">
        <v>72</v>
      </c>
      <c r="B497" t="s">
        <v>9093</v>
      </c>
      <c r="C497" t="s">
        <v>74</v>
      </c>
      <c r="D497" t="s">
        <v>74</v>
      </c>
      <c r="E497" t="s">
        <v>74</v>
      </c>
      <c r="F497" t="s">
        <v>9094</v>
      </c>
      <c r="G497" t="s">
        <v>74</v>
      </c>
      <c r="H497" t="s">
        <v>74</v>
      </c>
      <c r="I497" t="s">
        <v>9095</v>
      </c>
      <c r="J497" t="s">
        <v>613</v>
      </c>
      <c r="K497" t="s">
        <v>74</v>
      </c>
      <c r="L497" t="s">
        <v>74</v>
      </c>
      <c r="M497" t="s">
        <v>78</v>
      </c>
      <c r="N497" t="s">
        <v>79</v>
      </c>
      <c r="O497" t="s">
        <v>74</v>
      </c>
      <c r="P497" t="s">
        <v>74</v>
      </c>
      <c r="Q497" t="s">
        <v>74</v>
      </c>
      <c r="R497" t="s">
        <v>74</v>
      </c>
      <c r="S497" t="s">
        <v>74</v>
      </c>
      <c r="T497" t="s">
        <v>9096</v>
      </c>
      <c r="U497" t="s">
        <v>9097</v>
      </c>
      <c r="V497" t="s">
        <v>9098</v>
      </c>
      <c r="W497" t="s">
        <v>9099</v>
      </c>
      <c r="X497" t="s">
        <v>9100</v>
      </c>
      <c r="Y497" t="s">
        <v>9101</v>
      </c>
      <c r="Z497" t="s">
        <v>9102</v>
      </c>
      <c r="AA497" t="s">
        <v>74</v>
      </c>
      <c r="AB497" t="s">
        <v>74</v>
      </c>
      <c r="AC497" t="s">
        <v>9103</v>
      </c>
      <c r="AD497" t="s">
        <v>252</v>
      </c>
      <c r="AE497" t="s">
        <v>9104</v>
      </c>
      <c r="AF497" t="s">
        <v>74</v>
      </c>
      <c r="AG497">
        <v>48</v>
      </c>
      <c r="AH497">
        <v>0</v>
      </c>
      <c r="AI497">
        <v>0</v>
      </c>
      <c r="AJ497">
        <v>13</v>
      </c>
      <c r="AK497">
        <v>13</v>
      </c>
      <c r="AL497" t="s">
        <v>90</v>
      </c>
      <c r="AM497" t="s">
        <v>91</v>
      </c>
      <c r="AN497" t="s">
        <v>92</v>
      </c>
      <c r="AO497" t="s">
        <v>621</v>
      </c>
      <c r="AP497" t="s">
        <v>622</v>
      </c>
      <c r="AQ497" t="s">
        <v>74</v>
      </c>
      <c r="AR497" t="s">
        <v>623</v>
      </c>
      <c r="AS497" t="s">
        <v>624</v>
      </c>
      <c r="AT497" t="s">
        <v>6618</v>
      </c>
      <c r="AU497">
        <v>2023</v>
      </c>
      <c r="AV497">
        <v>88</v>
      </c>
      <c r="AW497" t="s">
        <v>74</v>
      </c>
      <c r="AX497" t="s">
        <v>74</v>
      </c>
      <c r="AY497" t="s">
        <v>74</v>
      </c>
      <c r="AZ497" t="s">
        <v>74</v>
      </c>
      <c r="BA497" t="s">
        <v>74</v>
      </c>
      <c r="BB497">
        <v>1272</v>
      </c>
      <c r="BC497">
        <v>1286</v>
      </c>
      <c r="BD497" t="s">
        <v>74</v>
      </c>
      <c r="BE497" t="s">
        <v>9105</v>
      </c>
      <c r="BF497" t="str">
        <f>HYPERLINK("http://dx.doi.org/10.1016/j.iref.2023.07.036","http://dx.doi.org/10.1016/j.iref.2023.07.036")</f>
        <v>http://dx.doi.org/10.1016/j.iref.2023.07.036</v>
      </c>
      <c r="BG497" t="s">
        <v>74</v>
      </c>
      <c r="BH497" t="s">
        <v>74</v>
      </c>
      <c r="BI497">
        <v>15</v>
      </c>
      <c r="BJ497" t="s">
        <v>626</v>
      </c>
      <c r="BK497" t="s">
        <v>627</v>
      </c>
      <c r="BL497" t="s">
        <v>628</v>
      </c>
      <c r="BM497" t="s">
        <v>9106</v>
      </c>
      <c r="BN497" t="s">
        <v>74</v>
      </c>
      <c r="BO497" t="s">
        <v>74</v>
      </c>
      <c r="BP497" t="s">
        <v>74</v>
      </c>
      <c r="BQ497" t="s">
        <v>74</v>
      </c>
      <c r="BR497" t="s">
        <v>104</v>
      </c>
      <c r="BS497" t="s">
        <v>9107</v>
      </c>
      <c r="BT497" t="str">
        <f>HYPERLINK("https%3A%2F%2Fwww.webofscience.com%2Fwos%2Fwoscc%2Ffull-record%2FWOS:001051199500001","View Full Record in Web of Science")</f>
        <v>View Full Record in Web of Science</v>
      </c>
    </row>
    <row r="498" spans="1:72" x14ac:dyDescent="0.15">
      <c r="A498" t="s">
        <v>72</v>
      </c>
      <c r="B498" t="s">
        <v>9108</v>
      </c>
      <c r="C498" t="s">
        <v>74</v>
      </c>
      <c r="D498" t="s">
        <v>74</v>
      </c>
      <c r="E498" t="s">
        <v>74</v>
      </c>
      <c r="F498" t="s">
        <v>9109</v>
      </c>
      <c r="G498" t="s">
        <v>74</v>
      </c>
      <c r="H498" t="s">
        <v>74</v>
      </c>
      <c r="I498" t="s">
        <v>9110</v>
      </c>
      <c r="J498" t="s">
        <v>1950</v>
      </c>
      <c r="K498" t="s">
        <v>74</v>
      </c>
      <c r="L498" t="s">
        <v>74</v>
      </c>
      <c r="M498" t="s">
        <v>78</v>
      </c>
      <c r="N498" t="s">
        <v>79</v>
      </c>
      <c r="O498" t="s">
        <v>74</v>
      </c>
      <c r="P498" t="s">
        <v>74</v>
      </c>
      <c r="Q498" t="s">
        <v>74</v>
      </c>
      <c r="R498" t="s">
        <v>74</v>
      </c>
      <c r="S498" t="s">
        <v>74</v>
      </c>
      <c r="T498" t="s">
        <v>9111</v>
      </c>
      <c r="U498" t="s">
        <v>9112</v>
      </c>
      <c r="V498" t="s">
        <v>9113</v>
      </c>
      <c r="W498" t="s">
        <v>9114</v>
      </c>
      <c r="X498" t="s">
        <v>9115</v>
      </c>
      <c r="Y498" t="s">
        <v>9116</v>
      </c>
      <c r="Z498" t="s">
        <v>9117</v>
      </c>
      <c r="AA498" t="s">
        <v>74</v>
      </c>
      <c r="AB498" t="s">
        <v>74</v>
      </c>
      <c r="AC498" t="s">
        <v>9118</v>
      </c>
      <c r="AD498" t="s">
        <v>9119</v>
      </c>
      <c r="AE498" t="s">
        <v>9120</v>
      </c>
      <c r="AF498" t="s">
        <v>74</v>
      </c>
      <c r="AG498">
        <v>44</v>
      </c>
      <c r="AH498">
        <v>0</v>
      </c>
      <c r="AI498">
        <v>0</v>
      </c>
      <c r="AJ498">
        <v>1</v>
      </c>
      <c r="AK498">
        <v>1</v>
      </c>
      <c r="AL498" t="s">
        <v>173</v>
      </c>
      <c r="AM498" t="s">
        <v>121</v>
      </c>
      <c r="AN498" t="s">
        <v>174</v>
      </c>
      <c r="AO498" t="s">
        <v>1963</v>
      </c>
      <c r="AP498" t="s">
        <v>1964</v>
      </c>
      <c r="AQ498" t="s">
        <v>74</v>
      </c>
      <c r="AR498" t="s">
        <v>1950</v>
      </c>
      <c r="AS498" t="s">
        <v>1965</v>
      </c>
      <c r="AT498" t="s">
        <v>6659</v>
      </c>
      <c r="AU498">
        <v>2023</v>
      </c>
      <c r="AV498">
        <v>282</v>
      </c>
      <c r="AW498" t="s">
        <v>74</v>
      </c>
      <c r="AX498" t="s">
        <v>74</v>
      </c>
      <c r="AY498" t="s">
        <v>74</v>
      </c>
      <c r="AZ498" t="s">
        <v>74</v>
      </c>
      <c r="BA498" t="s">
        <v>74</v>
      </c>
      <c r="BB498" t="s">
        <v>74</v>
      </c>
      <c r="BC498" t="s">
        <v>74</v>
      </c>
      <c r="BD498">
        <v>128915</v>
      </c>
      <c r="BE498" t="s">
        <v>9121</v>
      </c>
      <c r="BF498" t="str">
        <f>HYPERLINK("http://dx.doi.org/10.1016/j.energy.2023.128915","http://dx.doi.org/10.1016/j.energy.2023.128915")</f>
        <v>http://dx.doi.org/10.1016/j.energy.2023.128915</v>
      </c>
      <c r="BG498" t="s">
        <v>74</v>
      </c>
      <c r="BH498" t="s">
        <v>74</v>
      </c>
      <c r="BI498">
        <v>12</v>
      </c>
      <c r="BJ498" t="s">
        <v>1967</v>
      </c>
      <c r="BK498" t="s">
        <v>100</v>
      </c>
      <c r="BL498" t="s">
        <v>1967</v>
      </c>
      <c r="BM498" t="s">
        <v>9122</v>
      </c>
      <c r="BN498" t="s">
        <v>74</v>
      </c>
      <c r="BO498" t="s">
        <v>74</v>
      </c>
      <c r="BP498" t="s">
        <v>74</v>
      </c>
      <c r="BQ498" t="s">
        <v>74</v>
      </c>
      <c r="BR498" t="s">
        <v>104</v>
      </c>
      <c r="BS498" t="s">
        <v>9123</v>
      </c>
      <c r="BT498" t="str">
        <f>HYPERLINK("https%3A%2F%2Fwww.webofscience.com%2Fwos%2Fwoscc%2Ffull-record%2FWOS:001069842900001","View Full Record in Web of Science")</f>
        <v>View Full Record in Web of Science</v>
      </c>
    </row>
    <row r="499" spans="1:72" x14ac:dyDescent="0.15">
      <c r="A499" t="s">
        <v>72</v>
      </c>
      <c r="B499" t="s">
        <v>9124</v>
      </c>
      <c r="C499" t="s">
        <v>74</v>
      </c>
      <c r="D499" t="s">
        <v>74</v>
      </c>
      <c r="E499" t="s">
        <v>74</v>
      </c>
      <c r="F499" t="s">
        <v>9125</v>
      </c>
      <c r="G499" t="s">
        <v>74</v>
      </c>
      <c r="H499" t="s">
        <v>74</v>
      </c>
      <c r="I499" t="s">
        <v>9126</v>
      </c>
      <c r="J499" t="s">
        <v>9127</v>
      </c>
      <c r="K499" t="s">
        <v>74</v>
      </c>
      <c r="L499" t="s">
        <v>74</v>
      </c>
      <c r="M499" t="s">
        <v>78</v>
      </c>
      <c r="N499" t="s">
        <v>79</v>
      </c>
      <c r="O499" t="s">
        <v>74</v>
      </c>
      <c r="P499" t="s">
        <v>74</v>
      </c>
      <c r="Q499" t="s">
        <v>74</v>
      </c>
      <c r="R499" t="s">
        <v>74</v>
      </c>
      <c r="S499" t="s">
        <v>74</v>
      </c>
      <c r="T499" t="s">
        <v>74</v>
      </c>
      <c r="U499" t="s">
        <v>9128</v>
      </c>
      <c r="V499" t="s">
        <v>9129</v>
      </c>
      <c r="W499" t="s">
        <v>9130</v>
      </c>
      <c r="X499" t="s">
        <v>9131</v>
      </c>
      <c r="Y499" t="s">
        <v>9132</v>
      </c>
      <c r="Z499" t="s">
        <v>9133</v>
      </c>
      <c r="AA499" t="s">
        <v>74</v>
      </c>
      <c r="AB499" t="s">
        <v>9134</v>
      </c>
      <c r="AC499" t="s">
        <v>74</v>
      </c>
      <c r="AD499" t="s">
        <v>74</v>
      </c>
      <c r="AE499" t="s">
        <v>74</v>
      </c>
      <c r="AF499" t="s">
        <v>74</v>
      </c>
      <c r="AG499">
        <v>17</v>
      </c>
      <c r="AH499">
        <v>0</v>
      </c>
      <c r="AI499">
        <v>0</v>
      </c>
      <c r="AJ499">
        <v>0</v>
      </c>
      <c r="AK499">
        <v>0</v>
      </c>
      <c r="AL499" t="s">
        <v>9135</v>
      </c>
      <c r="AM499" t="s">
        <v>476</v>
      </c>
      <c r="AN499" t="s">
        <v>9136</v>
      </c>
      <c r="AO499" t="s">
        <v>74</v>
      </c>
      <c r="AP499" t="s">
        <v>9137</v>
      </c>
      <c r="AQ499" t="s">
        <v>74</v>
      </c>
      <c r="AR499" t="s">
        <v>9138</v>
      </c>
      <c r="AS499" t="s">
        <v>9139</v>
      </c>
      <c r="AT499" t="s">
        <v>9140</v>
      </c>
      <c r="AU499">
        <v>2023</v>
      </c>
      <c r="AV499">
        <v>8</v>
      </c>
      <c r="AW499">
        <v>6</v>
      </c>
      <c r="AX499" t="s">
        <v>74</v>
      </c>
      <c r="AY499" t="s">
        <v>74</v>
      </c>
      <c r="AZ499" t="s">
        <v>74</v>
      </c>
      <c r="BA499" t="s">
        <v>74</v>
      </c>
      <c r="BB499" t="s">
        <v>74</v>
      </c>
      <c r="BC499" t="s">
        <v>74</v>
      </c>
      <c r="BD499">
        <v>101289</v>
      </c>
      <c r="BE499" t="s">
        <v>9141</v>
      </c>
      <c r="BF499" t="str">
        <f>HYPERLINK("http://dx.doi.org/10.1016/j.adro.2023.101289","http://dx.doi.org/10.1016/j.adro.2023.101289")</f>
        <v>http://dx.doi.org/10.1016/j.adro.2023.101289</v>
      </c>
      <c r="BG499" t="s">
        <v>74</v>
      </c>
      <c r="BH499" t="s">
        <v>74</v>
      </c>
      <c r="BI499">
        <v>5</v>
      </c>
      <c r="BJ499" t="s">
        <v>9142</v>
      </c>
      <c r="BK499" t="s">
        <v>1850</v>
      </c>
      <c r="BL499" t="s">
        <v>9142</v>
      </c>
      <c r="BM499" t="s">
        <v>9143</v>
      </c>
      <c r="BN499">
        <v>37457824</v>
      </c>
      <c r="BO499" t="s">
        <v>2583</v>
      </c>
      <c r="BP499" t="s">
        <v>74</v>
      </c>
      <c r="BQ499" t="s">
        <v>74</v>
      </c>
      <c r="BR499" t="s">
        <v>104</v>
      </c>
      <c r="BS499" t="s">
        <v>9144</v>
      </c>
      <c r="BT499" t="str">
        <f>HYPERLINK("https%3A%2F%2Fwww.webofscience.com%2Fwos%2Fwoscc%2Ffull-record%2FWOS:001054866100001","View Full Record in Web of Science")</f>
        <v>View Full Record in Web of Science</v>
      </c>
    </row>
    <row r="500" spans="1:72" x14ac:dyDescent="0.15">
      <c r="A500" t="s">
        <v>72</v>
      </c>
      <c r="B500" t="s">
        <v>9145</v>
      </c>
      <c r="C500" t="s">
        <v>74</v>
      </c>
      <c r="D500" t="s">
        <v>74</v>
      </c>
      <c r="E500" t="s">
        <v>74</v>
      </c>
      <c r="F500" t="s">
        <v>9146</v>
      </c>
      <c r="G500" t="s">
        <v>74</v>
      </c>
      <c r="H500" t="s">
        <v>74</v>
      </c>
      <c r="I500" t="s">
        <v>9147</v>
      </c>
      <c r="J500" t="s">
        <v>7772</v>
      </c>
      <c r="K500" t="s">
        <v>74</v>
      </c>
      <c r="L500" t="s">
        <v>74</v>
      </c>
      <c r="M500" t="s">
        <v>78</v>
      </c>
      <c r="N500" t="s">
        <v>79</v>
      </c>
      <c r="O500" t="s">
        <v>74</v>
      </c>
      <c r="P500" t="s">
        <v>74</v>
      </c>
      <c r="Q500" t="s">
        <v>74</v>
      </c>
      <c r="R500" t="s">
        <v>74</v>
      </c>
      <c r="S500" t="s">
        <v>74</v>
      </c>
      <c r="T500" t="s">
        <v>9148</v>
      </c>
      <c r="U500" t="s">
        <v>9149</v>
      </c>
      <c r="V500" t="s">
        <v>9150</v>
      </c>
      <c r="W500" t="s">
        <v>9151</v>
      </c>
      <c r="X500" t="s">
        <v>9152</v>
      </c>
      <c r="Y500" t="s">
        <v>9153</v>
      </c>
      <c r="Z500" t="s">
        <v>9154</v>
      </c>
      <c r="AA500" t="s">
        <v>9155</v>
      </c>
      <c r="AB500" t="s">
        <v>74</v>
      </c>
      <c r="AC500" t="s">
        <v>9156</v>
      </c>
      <c r="AD500" t="s">
        <v>9157</v>
      </c>
      <c r="AE500" t="s">
        <v>9158</v>
      </c>
      <c r="AF500" t="s">
        <v>74</v>
      </c>
      <c r="AG500">
        <v>49</v>
      </c>
      <c r="AH500">
        <v>0</v>
      </c>
      <c r="AI500">
        <v>0</v>
      </c>
      <c r="AJ500">
        <v>2</v>
      </c>
      <c r="AK500">
        <v>2</v>
      </c>
      <c r="AL500" t="s">
        <v>173</v>
      </c>
      <c r="AM500" t="s">
        <v>121</v>
      </c>
      <c r="AN500" t="s">
        <v>174</v>
      </c>
      <c r="AO500" t="s">
        <v>7784</v>
      </c>
      <c r="AP500" t="s">
        <v>7785</v>
      </c>
      <c r="AQ500" t="s">
        <v>74</v>
      </c>
      <c r="AR500" t="s">
        <v>7786</v>
      </c>
      <c r="AS500" t="s">
        <v>7787</v>
      </c>
      <c r="AT500" t="s">
        <v>6618</v>
      </c>
      <c r="AU500">
        <v>2023</v>
      </c>
      <c r="AV500">
        <v>173</v>
      </c>
      <c r="AW500" t="s">
        <v>74</v>
      </c>
      <c r="AX500" t="s">
        <v>74</v>
      </c>
      <c r="AY500" t="s">
        <v>74</v>
      </c>
      <c r="AZ500" t="s">
        <v>74</v>
      </c>
      <c r="BA500" t="s">
        <v>74</v>
      </c>
      <c r="BB500" t="s">
        <v>74</v>
      </c>
      <c r="BC500" t="s">
        <v>74</v>
      </c>
      <c r="BD500">
        <v>107293</v>
      </c>
      <c r="BE500" t="s">
        <v>9159</v>
      </c>
      <c r="BF500" t="str">
        <f>HYPERLINK("http://dx.doi.org/10.1016/j.cemconres.2023.107293","http://dx.doi.org/10.1016/j.cemconres.2023.107293")</f>
        <v>http://dx.doi.org/10.1016/j.cemconres.2023.107293</v>
      </c>
      <c r="BG500" t="s">
        <v>74</v>
      </c>
      <c r="BH500" t="s">
        <v>74</v>
      </c>
      <c r="BI500">
        <v>14</v>
      </c>
      <c r="BJ500" t="s">
        <v>7789</v>
      </c>
      <c r="BK500" t="s">
        <v>100</v>
      </c>
      <c r="BL500" t="s">
        <v>7790</v>
      </c>
      <c r="BM500" t="s">
        <v>9160</v>
      </c>
      <c r="BN500" t="s">
        <v>74</v>
      </c>
      <c r="BO500" t="s">
        <v>74</v>
      </c>
      <c r="BP500" t="s">
        <v>74</v>
      </c>
      <c r="BQ500" t="s">
        <v>74</v>
      </c>
      <c r="BR500" t="s">
        <v>104</v>
      </c>
      <c r="BS500" t="s">
        <v>9161</v>
      </c>
      <c r="BT500" t="str">
        <f>HYPERLINK("https%3A%2F%2Fwww.webofscience.com%2Fwos%2Fwoscc%2Ffull-record%2FWOS:001051533600001","View Full Record in Web of Science")</f>
        <v>View Full Record in Web of Science</v>
      </c>
    </row>
    <row r="501" spans="1:72" x14ac:dyDescent="0.15">
      <c r="A501" t="s">
        <v>72</v>
      </c>
      <c r="B501" t="s">
        <v>9162</v>
      </c>
      <c r="C501" t="s">
        <v>74</v>
      </c>
      <c r="D501" t="s">
        <v>74</v>
      </c>
      <c r="E501" t="s">
        <v>74</v>
      </c>
      <c r="F501" t="s">
        <v>9163</v>
      </c>
      <c r="G501" t="s">
        <v>74</v>
      </c>
      <c r="H501" t="s">
        <v>74</v>
      </c>
      <c r="I501" t="s">
        <v>9164</v>
      </c>
      <c r="J501" t="s">
        <v>3740</v>
      </c>
      <c r="K501" t="s">
        <v>74</v>
      </c>
      <c r="L501" t="s">
        <v>74</v>
      </c>
      <c r="M501" t="s">
        <v>78</v>
      </c>
      <c r="N501" t="s">
        <v>79</v>
      </c>
      <c r="O501" t="s">
        <v>74</v>
      </c>
      <c r="P501" t="s">
        <v>74</v>
      </c>
      <c r="Q501" t="s">
        <v>74</v>
      </c>
      <c r="R501" t="s">
        <v>74</v>
      </c>
      <c r="S501" t="s">
        <v>74</v>
      </c>
      <c r="T501" t="s">
        <v>9165</v>
      </c>
      <c r="U501" t="s">
        <v>9166</v>
      </c>
      <c r="V501" t="s">
        <v>9167</v>
      </c>
      <c r="W501" t="s">
        <v>9168</v>
      </c>
      <c r="X501" t="s">
        <v>9169</v>
      </c>
      <c r="Y501" t="s">
        <v>9170</v>
      </c>
      <c r="Z501" t="s">
        <v>9171</v>
      </c>
      <c r="AA501" t="s">
        <v>74</v>
      </c>
      <c r="AB501" t="s">
        <v>74</v>
      </c>
      <c r="AC501" t="s">
        <v>9172</v>
      </c>
      <c r="AD501" t="s">
        <v>9173</v>
      </c>
      <c r="AE501" t="s">
        <v>9174</v>
      </c>
      <c r="AF501" t="s">
        <v>74</v>
      </c>
      <c r="AG501">
        <v>38</v>
      </c>
      <c r="AH501">
        <v>0</v>
      </c>
      <c r="AI501">
        <v>0</v>
      </c>
      <c r="AJ501">
        <v>2</v>
      </c>
      <c r="AK501">
        <v>2</v>
      </c>
      <c r="AL501" t="s">
        <v>90</v>
      </c>
      <c r="AM501" t="s">
        <v>91</v>
      </c>
      <c r="AN501" t="s">
        <v>92</v>
      </c>
      <c r="AO501" t="s">
        <v>3751</v>
      </c>
      <c r="AP501" t="s">
        <v>3752</v>
      </c>
      <c r="AQ501" t="s">
        <v>74</v>
      </c>
      <c r="AR501" t="s">
        <v>3753</v>
      </c>
      <c r="AS501" t="s">
        <v>3754</v>
      </c>
      <c r="AT501" t="s">
        <v>6659</v>
      </c>
      <c r="AU501">
        <v>2023</v>
      </c>
      <c r="AV501">
        <v>251</v>
      </c>
      <c r="AW501" t="s">
        <v>74</v>
      </c>
      <c r="AX501" t="s">
        <v>74</v>
      </c>
      <c r="AY501" t="s">
        <v>74</v>
      </c>
      <c r="AZ501" t="s">
        <v>74</v>
      </c>
      <c r="BA501" t="s">
        <v>74</v>
      </c>
      <c r="BB501" t="s">
        <v>74</v>
      </c>
      <c r="BC501" t="s">
        <v>74</v>
      </c>
      <c r="BD501">
        <v>126304</v>
      </c>
      <c r="BE501" t="s">
        <v>9175</v>
      </c>
      <c r="BF501" t="str">
        <f>HYPERLINK("http://dx.doi.org/10.1016/j.ijbiomac.2023.126304","http://dx.doi.org/10.1016/j.ijbiomac.2023.126304")</f>
        <v>http://dx.doi.org/10.1016/j.ijbiomac.2023.126304</v>
      </c>
      <c r="BG501" t="s">
        <v>74</v>
      </c>
      <c r="BH501" t="s">
        <v>74</v>
      </c>
      <c r="BI501">
        <v>9</v>
      </c>
      <c r="BJ501" t="s">
        <v>3756</v>
      </c>
      <c r="BK501" t="s">
        <v>100</v>
      </c>
      <c r="BL501" t="s">
        <v>3757</v>
      </c>
      <c r="BM501" t="s">
        <v>9176</v>
      </c>
      <c r="BN501">
        <v>37573923</v>
      </c>
      <c r="BO501" t="s">
        <v>74</v>
      </c>
      <c r="BP501" t="s">
        <v>74</v>
      </c>
      <c r="BQ501" t="s">
        <v>74</v>
      </c>
      <c r="BR501" t="s">
        <v>104</v>
      </c>
      <c r="BS501" t="s">
        <v>9177</v>
      </c>
      <c r="BT501" t="str">
        <f>HYPERLINK("https%3A%2F%2Fwww.webofscience.com%2Fwos%2Fwoscc%2Ffull-record%2FWOS:001059585300001","View Full Record in Web of Science")</f>
        <v>View Full Record in Web of Science</v>
      </c>
    </row>
    <row r="502" spans="1:72" x14ac:dyDescent="0.15">
      <c r="A502" t="s">
        <v>72</v>
      </c>
      <c r="B502" t="s">
        <v>9178</v>
      </c>
      <c r="C502" t="s">
        <v>74</v>
      </c>
      <c r="D502" t="s">
        <v>74</v>
      </c>
      <c r="E502" t="s">
        <v>74</v>
      </c>
      <c r="F502" t="s">
        <v>9179</v>
      </c>
      <c r="G502" t="s">
        <v>74</v>
      </c>
      <c r="H502" t="s">
        <v>74</v>
      </c>
      <c r="I502" t="s">
        <v>9180</v>
      </c>
      <c r="J502" t="s">
        <v>7324</v>
      </c>
      <c r="K502" t="s">
        <v>74</v>
      </c>
      <c r="L502" t="s">
        <v>74</v>
      </c>
      <c r="M502" t="s">
        <v>78</v>
      </c>
      <c r="N502" t="s">
        <v>79</v>
      </c>
      <c r="O502" t="s">
        <v>74</v>
      </c>
      <c r="P502" t="s">
        <v>74</v>
      </c>
      <c r="Q502" t="s">
        <v>74</v>
      </c>
      <c r="R502" t="s">
        <v>74</v>
      </c>
      <c r="S502" t="s">
        <v>74</v>
      </c>
      <c r="T502" t="s">
        <v>9181</v>
      </c>
      <c r="U502" t="s">
        <v>74</v>
      </c>
      <c r="V502" t="s">
        <v>9182</v>
      </c>
      <c r="W502" t="s">
        <v>9183</v>
      </c>
      <c r="X502" t="s">
        <v>9184</v>
      </c>
      <c r="Y502" t="s">
        <v>9185</v>
      </c>
      <c r="Z502" t="s">
        <v>9186</v>
      </c>
      <c r="AA502" t="s">
        <v>74</v>
      </c>
      <c r="AB502" t="s">
        <v>74</v>
      </c>
      <c r="AC502" t="s">
        <v>74</v>
      </c>
      <c r="AD502" t="s">
        <v>74</v>
      </c>
      <c r="AE502" t="s">
        <v>74</v>
      </c>
      <c r="AF502" t="s">
        <v>74</v>
      </c>
      <c r="AG502">
        <v>19</v>
      </c>
      <c r="AH502">
        <v>0</v>
      </c>
      <c r="AI502">
        <v>0</v>
      </c>
      <c r="AJ502">
        <v>0</v>
      </c>
      <c r="AK502">
        <v>0</v>
      </c>
      <c r="AL502" t="s">
        <v>90</v>
      </c>
      <c r="AM502" t="s">
        <v>91</v>
      </c>
      <c r="AN502" t="s">
        <v>92</v>
      </c>
      <c r="AO502" t="s">
        <v>7335</v>
      </c>
      <c r="AP502" t="s">
        <v>7336</v>
      </c>
      <c r="AQ502" t="s">
        <v>74</v>
      </c>
      <c r="AR502" t="s">
        <v>7337</v>
      </c>
      <c r="AS502" t="s">
        <v>7338</v>
      </c>
      <c r="AT502" t="s">
        <v>6659</v>
      </c>
      <c r="AU502">
        <v>2023</v>
      </c>
      <c r="AV502">
        <v>546</v>
      </c>
      <c r="AW502" t="s">
        <v>74</v>
      </c>
      <c r="AX502" t="s">
        <v>74</v>
      </c>
      <c r="AY502" t="s">
        <v>74</v>
      </c>
      <c r="AZ502" t="s">
        <v>74</v>
      </c>
      <c r="BA502" t="s">
        <v>74</v>
      </c>
      <c r="BB502" t="s">
        <v>74</v>
      </c>
      <c r="BC502" t="s">
        <v>74</v>
      </c>
      <c r="BD502">
        <v>129815</v>
      </c>
      <c r="BE502" t="s">
        <v>9187</v>
      </c>
      <c r="BF502" t="str">
        <f>HYPERLINK("http://dx.doi.org/10.1016/j.optcom.2023.129815","http://dx.doi.org/10.1016/j.optcom.2023.129815")</f>
        <v>http://dx.doi.org/10.1016/j.optcom.2023.129815</v>
      </c>
      <c r="BG502" t="s">
        <v>74</v>
      </c>
      <c r="BH502" t="s">
        <v>74</v>
      </c>
      <c r="BI502">
        <v>7</v>
      </c>
      <c r="BJ502" t="s">
        <v>2920</v>
      </c>
      <c r="BK502" t="s">
        <v>100</v>
      </c>
      <c r="BL502" t="s">
        <v>2920</v>
      </c>
      <c r="BM502" t="s">
        <v>9188</v>
      </c>
      <c r="BN502" t="s">
        <v>74</v>
      </c>
      <c r="BO502" t="s">
        <v>74</v>
      </c>
      <c r="BP502" t="s">
        <v>74</v>
      </c>
      <c r="BQ502" t="s">
        <v>74</v>
      </c>
      <c r="BR502" t="s">
        <v>104</v>
      </c>
      <c r="BS502" t="s">
        <v>9189</v>
      </c>
      <c r="BT502" t="str">
        <f>HYPERLINK("https%3A%2F%2Fwww.webofscience.com%2Fwos%2Fwoscc%2Ffull-record%2FWOS:001065076100001","View Full Record in Web of Science")</f>
        <v>View Full Record in Web of Science</v>
      </c>
    </row>
    <row r="503" spans="1:72" x14ac:dyDescent="0.15">
      <c r="A503" t="s">
        <v>72</v>
      </c>
      <c r="B503" t="s">
        <v>9190</v>
      </c>
      <c r="C503" t="s">
        <v>74</v>
      </c>
      <c r="D503" t="s">
        <v>74</v>
      </c>
      <c r="E503" t="s">
        <v>74</v>
      </c>
      <c r="F503" t="s">
        <v>9191</v>
      </c>
      <c r="G503" t="s">
        <v>74</v>
      </c>
      <c r="H503" t="s">
        <v>74</v>
      </c>
      <c r="I503" t="s">
        <v>9192</v>
      </c>
      <c r="J503" t="s">
        <v>7689</v>
      </c>
      <c r="K503" t="s">
        <v>74</v>
      </c>
      <c r="L503" t="s">
        <v>74</v>
      </c>
      <c r="M503" t="s">
        <v>78</v>
      </c>
      <c r="N503" t="s">
        <v>79</v>
      </c>
      <c r="O503" t="s">
        <v>74</v>
      </c>
      <c r="P503" t="s">
        <v>74</v>
      </c>
      <c r="Q503" t="s">
        <v>74</v>
      </c>
      <c r="R503" t="s">
        <v>74</v>
      </c>
      <c r="S503" t="s">
        <v>74</v>
      </c>
      <c r="T503" t="s">
        <v>9193</v>
      </c>
      <c r="U503" t="s">
        <v>9194</v>
      </c>
      <c r="V503" t="s">
        <v>9195</v>
      </c>
      <c r="W503" t="s">
        <v>9196</v>
      </c>
      <c r="X503" t="s">
        <v>9197</v>
      </c>
      <c r="Y503" t="s">
        <v>9198</v>
      </c>
      <c r="Z503" t="s">
        <v>9199</v>
      </c>
      <c r="AA503" t="s">
        <v>74</v>
      </c>
      <c r="AB503" t="s">
        <v>9200</v>
      </c>
      <c r="AC503" t="s">
        <v>9201</v>
      </c>
      <c r="AD503" t="s">
        <v>252</v>
      </c>
      <c r="AE503" t="s">
        <v>9202</v>
      </c>
      <c r="AF503" t="s">
        <v>74</v>
      </c>
      <c r="AG503">
        <v>55</v>
      </c>
      <c r="AH503">
        <v>0</v>
      </c>
      <c r="AI503">
        <v>0</v>
      </c>
      <c r="AJ503">
        <v>4</v>
      </c>
      <c r="AK503">
        <v>4</v>
      </c>
      <c r="AL503" t="s">
        <v>554</v>
      </c>
      <c r="AM503" t="s">
        <v>555</v>
      </c>
      <c r="AN503" t="s">
        <v>556</v>
      </c>
      <c r="AO503" t="s">
        <v>7697</v>
      </c>
      <c r="AP503" t="s">
        <v>7698</v>
      </c>
      <c r="AQ503" t="s">
        <v>74</v>
      </c>
      <c r="AR503" t="s">
        <v>7699</v>
      </c>
      <c r="AS503" t="s">
        <v>7700</v>
      </c>
      <c r="AT503" t="s">
        <v>6659</v>
      </c>
      <c r="AU503">
        <v>2023</v>
      </c>
      <c r="AV503">
        <v>345</v>
      </c>
      <c r="AW503" t="s">
        <v>74</v>
      </c>
      <c r="AX503" t="s">
        <v>74</v>
      </c>
      <c r="AY503" t="s">
        <v>74</v>
      </c>
      <c r="AZ503" t="s">
        <v>74</v>
      </c>
      <c r="BA503" t="s">
        <v>74</v>
      </c>
      <c r="BB503" t="s">
        <v>74</v>
      </c>
      <c r="BC503" t="s">
        <v>74</v>
      </c>
      <c r="BD503">
        <v>118843</v>
      </c>
      <c r="BE503" t="s">
        <v>9203</v>
      </c>
      <c r="BF503" t="str">
        <f>HYPERLINK("http://dx.doi.org/10.1016/j.jenvman.2023.118843","http://dx.doi.org/10.1016/j.jenvman.2023.118843")</f>
        <v>http://dx.doi.org/10.1016/j.jenvman.2023.118843</v>
      </c>
      <c r="BG503" t="s">
        <v>74</v>
      </c>
      <c r="BH503" t="s">
        <v>74</v>
      </c>
      <c r="BI503">
        <v>13</v>
      </c>
      <c r="BJ503" t="s">
        <v>1539</v>
      </c>
      <c r="BK503" t="s">
        <v>100</v>
      </c>
      <c r="BL503" t="s">
        <v>1540</v>
      </c>
      <c r="BM503" t="s">
        <v>9204</v>
      </c>
      <c r="BN503">
        <v>37598491</v>
      </c>
      <c r="BO503" t="s">
        <v>74</v>
      </c>
      <c r="BP503" t="s">
        <v>74</v>
      </c>
      <c r="BQ503" t="s">
        <v>74</v>
      </c>
      <c r="BR503" t="s">
        <v>104</v>
      </c>
      <c r="BS503" t="s">
        <v>9205</v>
      </c>
      <c r="BT503" t="str">
        <f>HYPERLINK("https%3A%2F%2Fwww.webofscience.com%2Fwos%2Fwoscc%2Ffull-record%2FWOS:001062557100001","View Full Record in Web of Science")</f>
        <v>View Full Record in Web of Science</v>
      </c>
    </row>
    <row r="504" spans="1:72" x14ac:dyDescent="0.15">
      <c r="A504" t="s">
        <v>72</v>
      </c>
      <c r="B504" t="s">
        <v>9206</v>
      </c>
      <c r="C504" t="s">
        <v>74</v>
      </c>
      <c r="D504" t="s">
        <v>74</v>
      </c>
      <c r="E504" t="s">
        <v>74</v>
      </c>
      <c r="F504" t="s">
        <v>9207</v>
      </c>
      <c r="G504" t="s">
        <v>74</v>
      </c>
      <c r="H504" t="s">
        <v>74</v>
      </c>
      <c r="I504" t="s">
        <v>9208</v>
      </c>
      <c r="J504" t="s">
        <v>9209</v>
      </c>
      <c r="K504" t="s">
        <v>74</v>
      </c>
      <c r="L504" t="s">
        <v>74</v>
      </c>
      <c r="M504" t="s">
        <v>78</v>
      </c>
      <c r="N504" t="s">
        <v>79</v>
      </c>
      <c r="O504" t="s">
        <v>74</v>
      </c>
      <c r="P504" t="s">
        <v>74</v>
      </c>
      <c r="Q504" t="s">
        <v>74</v>
      </c>
      <c r="R504" t="s">
        <v>74</v>
      </c>
      <c r="S504" t="s">
        <v>74</v>
      </c>
      <c r="T504" t="s">
        <v>9210</v>
      </c>
      <c r="U504" t="s">
        <v>9211</v>
      </c>
      <c r="V504" t="s">
        <v>9212</v>
      </c>
      <c r="W504" t="s">
        <v>9213</v>
      </c>
      <c r="X504" t="s">
        <v>9214</v>
      </c>
      <c r="Y504" t="s">
        <v>9215</v>
      </c>
      <c r="Z504" t="s">
        <v>9216</v>
      </c>
      <c r="AA504" t="s">
        <v>9217</v>
      </c>
      <c r="AB504" t="s">
        <v>9218</v>
      </c>
      <c r="AC504" t="s">
        <v>9219</v>
      </c>
      <c r="AD504" t="s">
        <v>9219</v>
      </c>
      <c r="AE504" t="s">
        <v>9220</v>
      </c>
      <c r="AF504" t="s">
        <v>74</v>
      </c>
      <c r="AG504">
        <v>105</v>
      </c>
      <c r="AH504">
        <v>0</v>
      </c>
      <c r="AI504">
        <v>0</v>
      </c>
      <c r="AJ504">
        <v>0</v>
      </c>
      <c r="AK504">
        <v>0</v>
      </c>
      <c r="AL504" t="s">
        <v>173</v>
      </c>
      <c r="AM504" t="s">
        <v>121</v>
      </c>
      <c r="AN504" t="s">
        <v>174</v>
      </c>
      <c r="AO504" t="s">
        <v>9221</v>
      </c>
      <c r="AP504" t="s">
        <v>9222</v>
      </c>
      <c r="AQ504" t="s">
        <v>74</v>
      </c>
      <c r="AR504" t="s">
        <v>9209</v>
      </c>
      <c r="AS504" t="s">
        <v>9223</v>
      </c>
      <c r="AT504" t="s">
        <v>6618</v>
      </c>
      <c r="AU504">
        <v>2023</v>
      </c>
      <c r="AV504">
        <v>114</v>
      </c>
      <c r="AW504" t="s">
        <v>74</v>
      </c>
      <c r="AX504" t="s">
        <v>74</v>
      </c>
      <c r="AY504" t="s">
        <v>74</v>
      </c>
      <c r="AZ504" t="s">
        <v>74</v>
      </c>
      <c r="BA504" t="s">
        <v>74</v>
      </c>
      <c r="BB504" t="s">
        <v>74</v>
      </c>
      <c r="BC504" t="s">
        <v>74</v>
      </c>
      <c r="BD504">
        <v>102799</v>
      </c>
      <c r="BE504" t="s">
        <v>9224</v>
      </c>
      <c r="BF504" t="str">
        <f>HYPERLINK("http://dx.doi.org/10.1016/j.geothermics.2023.102799","http://dx.doi.org/10.1016/j.geothermics.2023.102799")</f>
        <v>http://dx.doi.org/10.1016/j.geothermics.2023.102799</v>
      </c>
      <c r="BG504" t="s">
        <v>74</v>
      </c>
      <c r="BH504" t="s">
        <v>74</v>
      </c>
      <c r="BI504">
        <v>17</v>
      </c>
      <c r="BJ504" t="s">
        <v>9225</v>
      </c>
      <c r="BK504" t="s">
        <v>100</v>
      </c>
      <c r="BL504" t="s">
        <v>9226</v>
      </c>
      <c r="BM504" t="s">
        <v>9227</v>
      </c>
      <c r="BN504" t="s">
        <v>74</v>
      </c>
      <c r="BO504" t="s">
        <v>74</v>
      </c>
      <c r="BP504" t="s">
        <v>74</v>
      </c>
      <c r="BQ504" t="s">
        <v>74</v>
      </c>
      <c r="BR504" t="s">
        <v>104</v>
      </c>
      <c r="BS504" t="s">
        <v>9228</v>
      </c>
      <c r="BT504" t="str">
        <f>HYPERLINK("https%3A%2F%2Fwww.webofscience.com%2Fwos%2Fwoscc%2Ffull-record%2FWOS:001061682300001","View Full Record in Web of Science")</f>
        <v>View Full Record in Web of Science</v>
      </c>
    </row>
    <row r="505" spans="1:72" x14ac:dyDescent="0.15">
      <c r="A505" t="s">
        <v>72</v>
      </c>
      <c r="B505" t="s">
        <v>9229</v>
      </c>
      <c r="C505" t="s">
        <v>74</v>
      </c>
      <c r="D505" t="s">
        <v>74</v>
      </c>
      <c r="E505" t="s">
        <v>74</v>
      </c>
      <c r="F505" t="s">
        <v>9230</v>
      </c>
      <c r="G505" t="s">
        <v>74</v>
      </c>
      <c r="H505" t="s">
        <v>74</v>
      </c>
      <c r="I505" t="s">
        <v>9231</v>
      </c>
      <c r="J505" t="s">
        <v>9232</v>
      </c>
      <c r="K505" t="s">
        <v>74</v>
      </c>
      <c r="L505" t="s">
        <v>74</v>
      </c>
      <c r="M505" t="s">
        <v>78</v>
      </c>
      <c r="N505" t="s">
        <v>79</v>
      </c>
      <c r="O505" t="s">
        <v>74</v>
      </c>
      <c r="P505" t="s">
        <v>74</v>
      </c>
      <c r="Q505" t="s">
        <v>74</v>
      </c>
      <c r="R505" t="s">
        <v>74</v>
      </c>
      <c r="S505" t="s">
        <v>74</v>
      </c>
      <c r="T505" t="s">
        <v>9233</v>
      </c>
      <c r="U505" t="s">
        <v>9234</v>
      </c>
      <c r="V505" t="s">
        <v>9235</v>
      </c>
      <c r="W505" t="s">
        <v>9236</v>
      </c>
      <c r="X505" t="s">
        <v>74</v>
      </c>
      <c r="Y505" t="s">
        <v>9237</v>
      </c>
      <c r="Z505" t="s">
        <v>9238</v>
      </c>
      <c r="AA505" t="s">
        <v>74</v>
      </c>
      <c r="AB505" t="s">
        <v>74</v>
      </c>
      <c r="AC505" t="s">
        <v>74</v>
      </c>
      <c r="AD505" t="s">
        <v>74</v>
      </c>
      <c r="AE505" t="s">
        <v>74</v>
      </c>
      <c r="AF505" t="s">
        <v>74</v>
      </c>
      <c r="AG505">
        <v>36</v>
      </c>
      <c r="AH505">
        <v>0</v>
      </c>
      <c r="AI505">
        <v>0</v>
      </c>
      <c r="AJ505">
        <v>2</v>
      </c>
      <c r="AK505">
        <v>2</v>
      </c>
      <c r="AL505" t="s">
        <v>173</v>
      </c>
      <c r="AM505" t="s">
        <v>121</v>
      </c>
      <c r="AN505" t="s">
        <v>174</v>
      </c>
      <c r="AO505" t="s">
        <v>9239</v>
      </c>
      <c r="AP505" t="s">
        <v>9240</v>
      </c>
      <c r="AQ505" t="s">
        <v>74</v>
      </c>
      <c r="AR505" t="s">
        <v>9241</v>
      </c>
      <c r="AS505" t="s">
        <v>9242</v>
      </c>
      <c r="AT505" t="s">
        <v>6618</v>
      </c>
      <c r="AU505">
        <v>2023</v>
      </c>
      <c r="AV505">
        <v>214</v>
      </c>
      <c r="AW505" t="s">
        <v>74</v>
      </c>
      <c r="AX505" t="s">
        <v>74</v>
      </c>
      <c r="AY505" t="s">
        <v>74</v>
      </c>
      <c r="AZ505" t="s">
        <v>74</v>
      </c>
      <c r="BA505" t="s">
        <v>74</v>
      </c>
      <c r="BB505" t="s">
        <v>74</v>
      </c>
      <c r="BC505" t="s">
        <v>74</v>
      </c>
      <c r="BD505">
        <v>112327</v>
      </c>
      <c r="BE505" t="s">
        <v>9243</v>
      </c>
      <c r="BF505" t="str">
        <f>HYPERLINK("http://dx.doi.org/10.1016/j.paid.2023.112327","http://dx.doi.org/10.1016/j.paid.2023.112327")</f>
        <v>http://dx.doi.org/10.1016/j.paid.2023.112327</v>
      </c>
      <c r="BG505" t="s">
        <v>74</v>
      </c>
      <c r="BH505" t="s">
        <v>74</v>
      </c>
      <c r="BI505">
        <v>6</v>
      </c>
      <c r="BJ505" t="s">
        <v>9244</v>
      </c>
      <c r="BK505" t="s">
        <v>627</v>
      </c>
      <c r="BL505" t="s">
        <v>795</v>
      </c>
      <c r="BM505" t="s">
        <v>9245</v>
      </c>
      <c r="BN505" t="s">
        <v>74</v>
      </c>
      <c r="BO505" t="s">
        <v>74</v>
      </c>
      <c r="BP505" t="s">
        <v>74</v>
      </c>
      <c r="BQ505" t="s">
        <v>74</v>
      </c>
      <c r="BR505" t="s">
        <v>104</v>
      </c>
      <c r="BS505" t="s">
        <v>9246</v>
      </c>
      <c r="BT505" t="str">
        <f>HYPERLINK("https%3A%2F%2Fwww.webofscience.com%2Fwos%2Fwoscc%2Ffull-record%2FWOS:001047899400001","View Full Record in Web of Science")</f>
        <v>View Full Record in Web of Science</v>
      </c>
    </row>
    <row r="506" spans="1:72" x14ac:dyDescent="0.15">
      <c r="A506" t="s">
        <v>72</v>
      </c>
      <c r="B506" t="s">
        <v>9247</v>
      </c>
      <c r="C506" t="s">
        <v>74</v>
      </c>
      <c r="D506" t="s">
        <v>74</v>
      </c>
      <c r="E506" t="s">
        <v>74</v>
      </c>
      <c r="F506" t="s">
        <v>9248</v>
      </c>
      <c r="G506" t="s">
        <v>74</v>
      </c>
      <c r="H506" t="s">
        <v>74</v>
      </c>
      <c r="I506" t="s">
        <v>9249</v>
      </c>
      <c r="J506" t="s">
        <v>9250</v>
      </c>
      <c r="K506" t="s">
        <v>74</v>
      </c>
      <c r="L506" t="s">
        <v>74</v>
      </c>
      <c r="M506" t="s">
        <v>78</v>
      </c>
      <c r="N506" t="s">
        <v>79</v>
      </c>
      <c r="O506" t="s">
        <v>74</v>
      </c>
      <c r="P506" t="s">
        <v>74</v>
      </c>
      <c r="Q506" t="s">
        <v>74</v>
      </c>
      <c r="R506" t="s">
        <v>74</v>
      </c>
      <c r="S506" t="s">
        <v>74</v>
      </c>
      <c r="T506" t="s">
        <v>9251</v>
      </c>
      <c r="U506" t="s">
        <v>9252</v>
      </c>
      <c r="V506" t="s">
        <v>9253</v>
      </c>
      <c r="W506" t="s">
        <v>9254</v>
      </c>
      <c r="X506" t="s">
        <v>9255</v>
      </c>
      <c r="Y506" t="s">
        <v>9256</v>
      </c>
      <c r="Z506" t="s">
        <v>9257</v>
      </c>
      <c r="AA506" t="s">
        <v>74</v>
      </c>
      <c r="AB506" t="s">
        <v>74</v>
      </c>
      <c r="AC506" t="s">
        <v>9258</v>
      </c>
      <c r="AD506" t="s">
        <v>9259</v>
      </c>
      <c r="AE506" t="s">
        <v>9260</v>
      </c>
      <c r="AF506" t="s">
        <v>74</v>
      </c>
      <c r="AG506">
        <v>65</v>
      </c>
      <c r="AH506">
        <v>0</v>
      </c>
      <c r="AI506">
        <v>0</v>
      </c>
      <c r="AJ506">
        <v>0</v>
      </c>
      <c r="AK506">
        <v>0</v>
      </c>
      <c r="AL506" t="s">
        <v>147</v>
      </c>
      <c r="AM506" t="s">
        <v>148</v>
      </c>
      <c r="AN506" t="s">
        <v>149</v>
      </c>
      <c r="AO506" t="s">
        <v>9261</v>
      </c>
      <c r="AP506" t="s">
        <v>9262</v>
      </c>
      <c r="AQ506" t="s">
        <v>74</v>
      </c>
      <c r="AR506" t="s">
        <v>9263</v>
      </c>
      <c r="AS506" t="s">
        <v>9264</v>
      </c>
      <c r="AT506" t="s">
        <v>6618</v>
      </c>
      <c r="AU506">
        <v>2023</v>
      </c>
      <c r="AV506">
        <v>273</v>
      </c>
      <c r="AW506" t="s">
        <v>74</v>
      </c>
      <c r="AX506" t="s">
        <v>74</v>
      </c>
      <c r="AY506" t="s">
        <v>74</v>
      </c>
      <c r="AZ506" t="s">
        <v>74</v>
      </c>
      <c r="BA506" t="s">
        <v>74</v>
      </c>
      <c r="BB506" t="s">
        <v>74</v>
      </c>
      <c r="BC506" t="s">
        <v>74</v>
      </c>
      <c r="BD506">
        <v>109721</v>
      </c>
      <c r="BE506" t="s">
        <v>9265</v>
      </c>
      <c r="BF506" t="str">
        <f>HYPERLINK("http://dx.doi.org/10.1016/j.cbpc.2023.109721","http://dx.doi.org/10.1016/j.cbpc.2023.109721")</f>
        <v>http://dx.doi.org/10.1016/j.cbpc.2023.109721</v>
      </c>
      <c r="BG506" t="s">
        <v>74</v>
      </c>
      <c r="BH506" t="s">
        <v>74</v>
      </c>
      <c r="BI506">
        <v>9</v>
      </c>
      <c r="BJ506" t="s">
        <v>9266</v>
      </c>
      <c r="BK506" t="s">
        <v>100</v>
      </c>
      <c r="BL506" t="s">
        <v>9266</v>
      </c>
      <c r="BM506" t="s">
        <v>9267</v>
      </c>
      <c r="BN506">
        <v>37597714</v>
      </c>
      <c r="BO506" t="s">
        <v>74</v>
      </c>
      <c r="BP506" t="s">
        <v>74</v>
      </c>
      <c r="BQ506" t="s">
        <v>74</v>
      </c>
      <c r="BR506" t="s">
        <v>104</v>
      </c>
      <c r="BS506" t="s">
        <v>9268</v>
      </c>
      <c r="BT506" t="str">
        <f>HYPERLINK("https%3A%2F%2Fwww.webofscience.com%2Fwos%2Fwoscc%2Ffull-record%2FWOS:001066719600001","View Full Record in Web of Science")</f>
        <v>View Full Record in Web of Science</v>
      </c>
    </row>
    <row r="507" spans="1:72" x14ac:dyDescent="0.15">
      <c r="A507" t="s">
        <v>72</v>
      </c>
      <c r="B507" t="s">
        <v>9269</v>
      </c>
      <c r="C507" t="s">
        <v>74</v>
      </c>
      <c r="D507" t="s">
        <v>74</v>
      </c>
      <c r="E507" t="s">
        <v>74</v>
      </c>
      <c r="F507" t="s">
        <v>9270</v>
      </c>
      <c r="G507" t="s">
        <v>74</v>
      </c>
      <c r="H507" t="s">
        <v>74</v>
      </c>
      <c r="I507" t="s">
        <v>9271</v>
      </c>
      <c r="J507" t="s">
        <v>9272</v>
      </c>
      <c r="K507" t="s">
        <v>74</v>
      </c>
      <c r="L507" t="s">
        <v>74</v>
      </c>
      <c r="M507" t="s">
        <v>78</v>
      </c>
      <c r="N507" t="s">
        <v>79</v>
      </c>
      <c r="O507" t="s">
        <v>74</v>
      </c>
      <c r="P507" t="s">
        <v>74</v>
      </c>
      <c r="Q507" t="s">
        <v>74</v>
      </c>
      <c r="R507" t="s">
        <v>74</v>
      </c>
      <c r="S507" t="s">
        <v>74</v>
      </c>
      <c r="T507" t="s">
        <v>9273</v>
      </c>
      <c r="U507" t="s">
        <v>9274</v>
      </c>
      <c r="V507" t="s">
        <v>9275</v>
      </c>
      <c r="W507" t="s">
        <v>9276</v>
      </c>
      <c r="X507" t="s">
        <v>9277</v>
      </c>
      <c r="Y507" t="s">
        <v>9278</v>
      </c>
      <c r="Z507" t="s">
        <v>9279</v>
      </c>
      <c r="AA507" t="s">
        <v>74</v>
      </c>
      <c r="AB507" t="s">
        <v>74</v>
      </c>
      <c r="AC507" t="s">
        <v>9280</v>
      </c>
      <c r="AD507" t="s">
        <v>9280</v>
      </c>
      <c r="AE507" t="s">
        <v>9281</v>
      </c>
      <c r="AF507" t="s">
        <v>74</v>
      </c>
      <c r="AG507">
        <v>100</v>
      </c>
      <c r="AH507">
        <v>0</v>
      </c>
      <c r="AI507">
        <v>0</v>
      </c>
      <c r="AJ507">
        <v>0</v>
      </c>
      <c r="AK507">
        <v>0</v>
      </c>
      <c r="AL507" t="s">
        <v>173</v>
      </c>
      <c r="AM507" t="s">
        <v>121</v>
      </c>
      <c r="AN507" t="s">
        <v>174</v>
      </c>
      <c r="AO507" t="s">
        <v>9282</v>
      </c>
      <c r="AP507" t="s">
        <v>9283</v>
      </c>
      <c r="AQ507" t="s">
        <v>74</v>
      </c>
      <c r="AR507" t="s">
        <v>9272</v>
      </c>
      <c r="AS507" t="s">
        <v>9284</v>
      </c>
      <c r="AT507" t="s">
        <v>6659</v>
      </c>
      <c r="AU507">
        <v>2023</v>
      </c>
      <c r="AV507">
        <v>244</v>
      </c>
      <c r="AW507" t="s">
        <v>74</v>
      </c>
      <c r="AX507" t="s">
        <v>74</v>
      </c>
      <c r="AY507" t="s">
        <v>74</v>
      </c>
      <c r="AZ507" t="s">
        <v>74</v>
      </c>
      <c r="BA507" t="s">
        <v>74</v>
      </c>
      <c r="BB507" t="s">
        <v>74</v>
      </c>
      <c r="BC507" t="s">
        <v>74</v>
      </c>
      <c r="BD507">
        <v>116586</v>
      </c>
      <c r="BE507" t="s">
        <v>9285</v>
      </c>
      <c r="BF507" t="str">
        <f>HYPERLINK("http://dx.doi.org/10.1016/j.poly.2023.116586","http://dx.doi.org/10.1016/j.poly.2023.116586")</f>
        <v>http://dx.doi.org/10.1016/j.poly.2023.116586</v>
      </c>
      <c r="BG507" t="s">
        <v>74</v>
      </c>
      <c r="BH507" t="s">
        <v>74</v>
      </c>
      <c r="BI507">
        <v>11</v>
      </c>
      <c r="BJ507" t="s">
        <v>9286</v>
      </c>
      <c r="BK507" t="s">
        <v>100</v>
      </c>
      <c r="BL507" t="s">
        <v>9287</v>
      </c>
      <c r="BM507" t="s">
        <v>9288</v>
      </c>
      <c r="BN507" t="s">
        <v>74</v>
      </c>
      <c r="BO507" t="s">
        <v>74</v>
      </c>
      <c r="BP507" t="s">
        <v>74</v>
      </c>
      <c r="BQ507" t="s">
        <v>74</v>
      </c>
      <c r="BR507" t="s">
        <v>104</v>
      </c>
      <c r="BS507" t="s">
        <v>9289</v>
      </c>
      <c r="BT507" t="str">
        <f>HYPERLINK("https%3A%2F%2Fwww.webofscience.com%2Fwos%2Fwoscc%2Ffull-record%2FWOS:001069588800001","View Full Record in Web of Science")</f>
        <v>View Full Record in Web of Science</v>
      </c>
    </row>
    <row r="508" spans="1:72" x14ac:dyDescent="0.15">
      <c r="A508" t="s">
        <v>72</v>
      </c>
      <c r="B508" t="s">
        <v>9290</v>
      </c>
      <c r="C508" t="s">
        <v>74</v>
      </c>
      <c r="D508" t="s">
        <v>74</v>
      </c>
      <c r="E508" t="s">
        <v>74</v>
      </c>
      <c r="F508" t="s">
        <v>9291</v>
      </c>
      <c r="G508" t="s">
        <v>74</v>
      </c>
      <c r="H508" t="s">
        <v>74</v>
      </c>
      <c r="I508" t="s">
        <v>9292</v>
      </c>
      <c r="J508" t="s">
        <v>6666</v>
      </c>
      <c r="K508" t="s">
        <v>74</v>
      </c>
      <c r="L508" t="s">
        <v>74</v>
      </c>
      <c r="M508" t="s">
        <v>78</v>
      </c>
      <c r="N508" t="s">
        <v>79</v>
      </c>
      <c r="O508" t="s">
        <v>74</v>
      </c>
      <c r="P508" t="s">
        <v>74</v>
      </c>
      <c r="Q508" t="s">
        <v>74</v>
      </c>
      <c r="R508" t="s">
        <v>74</v>
      </c>
      <c r="S508" t="s">
        <v>74</v>
      </c>
      <c r="T508" t="s">
        <v>9293</v>
      </c>
      <c r="U508" t="s">
        <v>9294</v>
      </c>
      <c r="V508" t="s">
        <v>9295</v>
      </c>
      <c r="W508" t="s">
        <v>9296</v>
      </c>
      <c r="X508" t="s">
        <v>9297</v>
      </c>
      <c r="Y508" t="s">
        <v>9298</v>
      </c>
      <c r="Z508" t="s">
        <v>9299</v>
      </c>
      <c r="AA508" t="s">
        <v>74</v>
      </c>
      <c r="AB508" t="s">
        <v>74</v>
      </c>
      <c r="AC508" t="s">
        <v>74</v>
      </c>
      <c r="AD508" t="s">
        <v>74</v>
      </c>
      <c r="AE508" t="s">
        <v>74</v>
      </c>
      <c r="AF508" t="s">
        <v>74</v>
      </c>
      <c r="AG508">
        <v>98</v>
      </c>
      <c r="AH508">
        <v>0</v>
      </c>
      <c r="AI508">
        <v>0</v>
      </c>
      <c r="AJ508">
        <v>5</v>
      </c>
      <c r="AK508">
        <v>5</v>
      </c>
      <c r="AL508" t="s">
        <v>173</v>
      </c>
      <c r="AM508" t="s">
        <v>121</v>
      </c>
      <c r="AN508" t="s">
        <v>174</v>
      </c>
      <c r="AO508" t="s">
        <v>6674</v>
      </c>
      <c r="AP508" t="s">
        <v>6675</v>
      </c>
      <c r="AQ508" t="s">
        <v>74</v>
      </c>
      <c r="AR508" t="s">
        <v>6676</v>
      </c>
      <c r="AS508" t="s">
        <v>6677</v>
      </c>
      <c r="AT508" t="s">
        <v>6618</v>
      </c>
      <c r="AU508">
        <v>2023</v>
      </c>
      <c r="AV508">
        <v>126</v>
      </c>
      <c r="AW508" t="s">
        <v>74</v>
      </c>
      <c r="AX508" t="s">
        <v>337</v>
      </c>
      <c r="AY508" t="s">
        <v>74</v>
      </c>
      <c r="AZ508" t="s">
        <v>74</v>
      </c>
      <c r="BA508" t="s">
        <v>74</v>
      </c>
      <c r="BB508" t="s">
        <v>74</v>
      </c>
      <c r="BC508" t="s">
        <v>74</v>
      </c>
      <c r="BD508">
        <v>106754</v>
      </c>
      <c r="BE508" t="s">
        <v>9300</v>
      </c>
      <c r="BF508" t="str">
        <f>HYPERLINK("http://dx.doi.org/10.1016/j.engappai.2023.106754","http://dx.doi.org/10.1016/j.engappai.2023.106754")</f>
        <v>http://dx.doi.org/10.1016/j.engappai.2023.106754</v>
      </c>
      <c r="BG508" t="s">
        <v>74</v>
      </c>
      <c r="BH508" t="s">
        <v>74</v>
      </c>
      <c r="BI508">
        <v>19</v>
      </c>
      <c r="BJ508" t="s">
        <v>6679</v>
      </c>
      <c r="BK508" t="s">
        <v>100</v>
      </c>
      <c r="BL508" t="s">
        <v>6680</v>
      </c>
      <c r="BM508" t="s">
        <v>9301</v>
      </c>
      <c r="BN508" t="s">
        <v>74</v>
      </c>
      <c r="BO508" t="s">
        <v>74</v>
      </c>
      <c r="BP508" t="s">
        <v>74</v>
      </c>
      <c r="BQ508" t="s">
        <v>74</v>
      </c>
      <c r="BR508" t="s">
        <v>104</v>
      </c>
      <c r="BS508" t="s">
        <v>9302</v>
      </c>
      <c r="BT508" t="str">
        <f>HYPERLINK("https%3A%2F%2Fwww.webofscience.com%2Fwos%2Fwoscc%2Ffull-record%2FWOS:001048886200001","View Full Record in Web of Science")</f>
        <v>View Full Record in Web of Science</v>
      </c>
    </row>
    <row r="509" spans="1:72" x14ac:dyDescent="0.15">
      <c r="A509" t="s">
        <v>72</v>
      </c>
      <c r="B509" t="s">
        <v>9303</v>
      </c>
      <c r="C509" t="s">
        <v>74</v>
      </c>
      <c r="D509" t="s">
        <v>74</v>
      </c>
      <c r="E509" t="s">
        <v>74</v>
      </c>
      <c r="F509" t="s">
        <v>9304</v>
      </c>
      <c r="G509" t="s">
        <v>74</v>
      </c>
      <c r="H509" t="s">
        <v>74</v>
      </c>
      <c r="I509" t="s">
        <v>9305</v>
      </c>
      <c r="J509" t="s">
        <v>9306</v>
      </c>
      <c r="K509" t="s">
        <v>74</v>
      </c>
      <c r="L509" t="s">
        <v>74</v>
      </c>
      <c r="M509" t="s">
        <v>78</v>
      </c>
      <c r="N509" t="s">
        <v>79</v>
      </c>
      <c r="O509" t="s">
        <v>74</v>
      </c>
      <c r="P509" t="s">
        <v>74</v>
      </c>
      <c r="Q509" t="s">
        <v>74</v>
      </c>
      <c r="R509" t="s">
        <v>74</v>
      </c>
      <c r="S509" t="s">
        <v>74</v>
      </c>
      <c r="T509" t="s">
        <v>9307</v>
      </c>
      <c r="U509" t="s">
        <v>9308</v>
      </c>
      <c r="V509" t="s">
        <v>9309</v>
      </c>
      <c r="W509" t="s">
        <v>9310</v>
      </c>
      <c r="X509" t="s">
        <v>6115</v>
      </c>
      <c r="Y509" t="s">
        <v>9311</v>
      </c>
      <c r="Z509" t="s">
        <v>9312</v>
      </c>
      <c r="AA509" t="s">
        <v>74</v>
      </c>
      <c r="AB509" t="s">
        <v>74</v>
      </c>
      <c r="AC509" t="s">
        <v>74</v>
      </c>
      <c r="AD509" t="s">
        <v>74</v>
      </c>
      <c r="AE509" t="s">
        <v>74</v>
      </c>
      <c r="AF509" t="s">
        <v>74</v>
      </c>
      <c r="AG509">
        <v>80</v>
      </c>
      <c r="AH509">
        <v>0</v>
      </c>
      <c r="AI509">
        <v>0</v>
      </c>
      <c r="AJ509">
        <v>0</v>
      </c>
      <c r="AK509">
        <v>0</v>
      </c>
      <c r="AL509" t="s">
        <v>90</v>
      </c>
      <c r="AM509" t="s">
        <v>91</v>
      </c>
      <c r="AN509" t="s">
        <v>92</v>
      </c>
      <c r="AO509" t="s">
        <v>9313</v>
      </c>
      <c r="AP509" t="s">
        <v>9314</v>
      </c>
      <c r="AQ509" t="s">
        <v>74</v>
      </c>
      <c r="AR509" t="s">
        <v>9315</v>
      </c>
      <c r="AS509" t="s">
        <v>9316</v>
      </c>
      <c r="AT509" t="s">
        <v>6618</v>
      </c>
      <c r="AU509">
        <v>2023</v>
      </c>
      <c r="AV509">
        <v>213</v>
      </c>
      <c r="AW509" t="s">
        <v>74</v>
      </c>
      <c r="AX509" t="s">
        <v>74</v>
      </c>
      <c r="AY509" t="s">
        <v>74</v>
      </c>
      <c r="AZ509" t="s">
        <v>74</v>
      </c>
      <c r="BA509" t="s">
        <v>74</v>
      </c>
      <c r="BB509" t="s">
        <v>74</v>
      </c>
      <c r="BC509" t="s">
        <v>74</v>
      </c>
      <c r="BD509">
        <v>107947</v>
      </c>
      <c r="BE509" t="s">
        <v>9317</v>
      </c>
      <c r="BF509" t="str">
        <f>HYPERLINK("http://dx.doi.org/10.1016/j.ecolecon.2023.107947","http://dx.doi.org/10.1016/j.ecolecon.2023.107947")</f>
        <v>http://dx.doi.org/10.1016/j.ecolecon.2023.107947</v>
      </c>
      <c r="BG509" t="s">
        <v>74</v>
      </c>
      <c r="BH509" t="s">
        <v>74</v>
      </c>
      <c r="BI509">
        <v>18</v>
      </c>
      <c r="BJ509" t="s">
        <v>9318</v>
      </c>
      <c r="BK509" t="s">
        <v>666</v>
      </c>
      <c r="BL509" t="s">
        <v>9319</v>
      </c>
      <c r="BM509" t="s">
        <v>9320</v>
      </c>
      <c r="BN509" t="s">
        <v>74</v>
      </c>
      <c r="BO509" t="s">
        <v>74</v>
      </c>
      <c r="BP509" t="s">
        <v>74</v>
      </c>
      <c r="BQ509" t="s">
        <v>74</v>
      </c>
      <c r="BR509" t="s">
        <v>104</v>
      </c>
      <c r="BS509" t="s">
        <v>9321</v>
      </c>
      <c r="BT509" t="str">
        <f>HYPERLINK("https%3A%2F%2Fwww.webofscience.com%2Fwos%2Fwoscc%2Ffull-record%2FWOS:001060446600001","View Full Record in Web of Science")</f>
        <v>View Full Record in Web of Science</v>
      </c>
    </row>
    <row r="510" spans="1:72" x14ac:dyDescent="0.15">
      <c r="A510" t="s">
        <v>72</v>
      </c>
      <c r="B510" t="s">
        <v>9322</v>
      </c>
      <c r="C510" t="s">
        <v>74</v>
      </c>
      <c r="D510" t="s">
        <v>74</v>
      </c>
      <c r="E510" t="s">
        <v>74</v>
      </c>
      <c r="F510" t="s">
        <v>9323</v>
      </c>
      <c r="G510" t="s">
        <v>74</v>
      </c>
      <c r="H510" t="s">
        <v>74</v>
      </c>
      <c r="I510" t="s">
        <v>9324</v>
      </c>
      <c r="J510" t="s">
        <v>9325</v>
      </c>
      <c r="K510" t="s">
        <v>74</v>
      </c>
      <c r="L510" t="s">
        <v>74</v>
      </c>
      <c r="M510" t="s">
        <v>78</v>
      </c>
      <c r="N510" t="s">
        <v>79</v>
      </c>
      <c r="O510" t="s">
        <v>74</v>
      </c>
      <c r="P510" t="s">
        <v>74</v>
      </c>
      <c r="Q510" t="s">
        <v>74</v>
      </c>
      <c r="R510" t="s">
        <v>74</v>
      </c>
      <c r="S510" t="s">
        <v>74</v>
      </c>
      <c r="T510" t="s">
        <v>9326</v>
      </c>
      <c r="U510" t="s">
        <v>9327</v>
      </c>
      <c r="V510" t="s">
        <v>9328</v>
      </c>
      <c r="W510" t="s">
        <v>9329</v>
      </c>
      <c r="X510" t="s">
        <v>9330</v>
      </c>
      <c r="Y510" t="s">
        <v>9331</v>
      </c>
      <c r="Z510" t="s">
        <v>9332</v>
      </c>
      <c r="AA510" t="s">
        <v>9333</v>
      </c>
      <c r="AB510" t="s">
        <v>9334</v>
      </c>
      <c r="AC510" t="s">
        <v>9335</v>
      </c>
      <c r="AD510" t="s">
        <v>9336</v>
      </c>
      <c r="AE510" t="s">
        <v>9337</v>
      </c>
      <c r="AF510" t="s">
        <v>74</v>
      </c>
      <c r="AG510">
        <v>125</v>
      </c>
      <c r="AH510">
        <v>0</v>
      </c>
      <c r="AI510">
        <v>0</v>
      </c>
      <c r="AJ510">
        <v>2</v>
      </c>
      <c r="AK510">
        <v>2</v>
      </c>
      <c r="AL510" t="s">
        <v>90</v>
      </c>
      <c r="AM510" t="s">
        <v>91</v>
      </c>
      <c r="AN510" t="s">
        <v>92</v>
      </c>
      <c r="AO510" t="s">
        <v>9338</v>
      </c>
      <c r="AP510" t="s">
        <v>9339</v>
      </c>
      <c r="AQ510" t="s">
        <v>74</v>
      </c>
      <c r="AR510" t="s">
        <v>9340</v>
      </c>
      <c r="AS510" t="s">
        <v>9341</v>
      </c>
      <c r="AT510" t="s">
        <v>6618</v>
      </c>
      <c r="AU510">
        <v>2023</v>
      </c>
      <c r="AV510">
        <v>105</v>
      </c>
      <c r="AW510" t="s">
        <v>74</v>
      </c>
      <c r="AX510" t="s">
        <v>74</v>
      </c>
      <c r="AY510" t="s">
        <v>74</v>
      </c>
      <c r="AZ510" t="s">
        <v>74</v>
      </c>
      <c r="BA510" t="s">
        <v>74</v>
      </c>
      <c r="BB510" t="s">
        <v>74</v>
      </c>
      <c r="BC510" t="s">
        <v>74</v>
      </c>
      <c r="BD510">
        <v>102376</v>
      </c>
      <c r="BE510" t="s">
        <v>9342</v>
      </c>
      <c r="BF510" t="str">
        <f>HYPERLINK("http://dx.doi.org/10.1016/j.strusafe.2023.102376","http://dx.doi.org/10.1016/j.strusafe.2023.102376")</f>
        <v>http://dx.doi.org/10.1016/j.strusafe.2023.102376</v>
      </c>
      <c r="BG510" t="s">
        <v>74</v>
      </c>
      <c r="BH510" t="s">
        <v>74</v>
      </c>
      <c r="BI510">
        <v>13</v>
      </c>
      <c r="BJ510" t="s">
        <v>5547</v>
      </c>
      <c r="BK510" t="s">
        <v>100</v>
      </c>
      <c r="BL510" t="s">
        <v>873</v>
      </c>
      <c r="BM510" t="s">
        <v>9343</v>
      </c>
      <c r="BN510" t="s">
        <v>74</v>
      </c>
      <c r="BO510" t="s">
        <v>74</v>
      </c>
      <c r="BP510" t="s">
        <v>74</v>
      </c>
      <c r="BQ510" t="s">
        <v>74</v>
      </c>
      <c r="BR510" t="s">
        <v>104</v>
      </c>
      <c r="BS510" t="s">
        <v>9344</v>
      </c>
      <c r="BT510" t="str">
        <f>HYPERLINK("https%3A%2F%2Fwww.webofscience.com%2Fwos%2Fwoscc%2Ffull-record%2FWOS:001052101200001","View Full Record in Web of Science")</f>
        <v>View Full Record in Web of Science</v>
      </c>
    </row>
    <row r="511" spans="1:72" x14ac:dyDescent="0.15">
      <c r="A511" t="s">
        <v>72</v>
      </c>
      <c r="B511" t="s">
        <v>9345</v>
      </c>
      <c r="C511" t="s">
        <v>74</v>
      </c>
      <c r="D511" t="s">
        <v>74</v>
      </c>
      <c r="E511" t="s">
        <v>74</v>
      </c>
      <c r="F511" t="s">
        <v>9346</v>
      </c>
      <c r="G511" t="s">
        <v>74</v>
      </c>
      <c r="H511" t="s">
        <v>74</v>
      </c>
      <c r="I511" t="s">
        <v>9347</v>
      </c>
      <c r="J511" t="s">
        <v>8692</v>
      </c>
      <c r="K511" t="s">
        <v>74</v>
      </c>
      <c r="L511" t="s">
        <v>74</v>
      </c>
      <c r="M511" t="s">
        <v>78</v>
      </c>
      <c r="N511" t="s">
        <v>79</v>
      </c>
      <c r="O511" t="s">
        <v>74</v>
      </c>
      <c r="P511" t="s">
        <v>74</v>
      </c>
      <c r="Q511" t="s">
        <v>74</v>
      </c>
      <c r="R511" t="s">
        <v>74</v>
      </c>
      <c r="S511" t="s">
        <v>74</v>
      </c>
      <c r="T511" t="s">
        <v>9348</v>
      </c>
      <c r="U511" t="s">
        <v>9349</v>
      </c>
      <c r="V511" t="s">
        <v>9350</v>
      </c>
      <c r="W511" t="s">
        <v>9351</v>
      </c>
      <c r="X511" t="s">
        <v>9352</v>
      </c>
      <c r="Y511" t="s">
        <v>9353</v>
      </c>
      <c r="Z511" t="s">
        <v>9354</v>
      </c>
      <c r="AA511" t="s">
        <v>74</v>
      </c>
      <c r="AB511" t="s">
        <v>74</v>
      </c>
      <c r="AC511" t="s">
        <v>9355</v>
      </c>
      <c r="AD511" t="s">
        <v>9356</v>
      </c>
      <c r="AE511" t="s">
        <v>9357</v>
      </c>
      <c r="AF511" t="s">
        <v>74</v>
      </c>
      <c r="AG511">
        <v>41</v>
      </c>
      <c r="AH511">
        <v>0</v>
      </c>
      <c r="AI511">
        <v>0</v>
      </c>
      <c r="AJ511">
        <v>0</v>
      </c>
      <c r="AK511">
        <v>0</v>
      </c>
      <c r="AL511" t="s">
        <v>90</v>
      </c>
      <c r="AM511" t="s">
        <v>91</v>
      </c>
      <c r="AN511" t="s">
        <v>92</v>
      </c>
      <c r="AO511" t="s">
        <v>8703</v>
      </c>
      <c r="AP511" t="s">
        <v>8704</v>
      </c>
      <c r="AQ511" t="s">
        <v>74</v>
      </c>
      <c r="AR511" t="s">
        <v>8705</v>
      </c>
      <c r="AS511" t="s">
        <v>8706</v>
      </c>
      <c r="AT511" t="s">
        <v>6618</v>
      </c>
      <c r="AU511">
        <v>2023</v>
      </c>
      <c r="AV511">
        <v>126</v>
      </c>
      <c r="AW511" t="s">
        <v>74</v>
      </c>
      <c r="AX511" t="s">
        <v>74</v>
      </c>
      <c r="AY511" t="s">
        <v>74</v>
      </c>
      <c r="AZ511" t="s">
        <v>74</v>
      </c>
      <c r="BA511" t="s">
        <v>74</v>
      </c>
      <c r="BB511" t="s">
        <v>74</v>
      </c>
      <c r="BC511" t="s">
        <v>74</v>
      </c>
      <c r="BD511">
        <v>107463</v>
      </c>
      <c r="BE511" t="s">
        <v>9358</v>
      </c>
      <c r="BF511" t="str">
        <f>HYPERLINK("http://dx.doi.org/10.1016/j.cnsns.2023.107463","http://dx.doi.org/10.1016/j.cnsns.2023.107463")</f>
        <v>http://dx.doi.org/10.1016/j.cnsns.2023.107463</v>
      </c>
      <c r="BG511" t="s">
        <v>74</v>
      </c>
      <c r="BH511" t="s">
        <v>74</v>
      </c>
      <c r="BI511">
        <v>19</v>
      </c>
      <c r="BJ511" t="s">
        <v>8708</v>
      </c>
      <c r="BK511" t="s">
        <v>100</v>
      </c>
      <c r="BL511" t="s">
        <v>8709</v>
      </c>
      <c r="BM511" t="s">
        <v>9359</v>
      </c>
      <c r="BN511" t="s">
        <v>74</v>
      </c>
      <c r="BO511" t="s">
        <v>103</v>
      </c>
      <c r="BP511" t="s">
        <v>74</v>
      </c>
      <c r="BQ511" t="s">
        <v>74</v>
      </c>
      <c r="BR511" t="s">
        <v>104</v>
      </c>
      <c r="BS511" t="s">
        <v>9360</v>
      </c>
      <c r="BT511" t="str">
        <f>HYPERLINK("https%3A%2F%2Fwww.webofscience.com%2Fwos%2Fwoscc%2Ffull-record%2FWOS:001058354800001","View Full Record in Web of Science")</f>
        <v>View Full Record in Web of Science</v>
      </c>
    </row>
    <row r="512" spans="1:72" x14ac:dyDescent="0.15">
      <c r="A512" t="s">
        <v>72</v>
      </c>
      <c r="B512" t="s">
        <v>9361</v>
      </c>
      <c r="C512" t="s">
        <v>74</v>
      </c>
      <c r="D512" t="s">
        <v>74</v>
      </c>
      <c r="E512" t="s">
        <v>74</v>
      </c>
      <c r="F512" t="s">
        <v>9362</v>
      </c>
      <c r="G512" t="s">
        <v>74</v>
      </c>
      <c r="H512" t="s">
        <v>74</v>
      </c>
      <c r="I512" t="s">
        <v>9363</v>
      </c>
      <c r="J512" t="s">
        <v>9364</v>
      </c>
      <c r="K512" t="s">
        <v>74</v>
      </c>
      <c r="L512" t="s">
        <v>74</v>
      </c>
      <c r="M512" t="s">
        <v>78</v>
      </c>
      <c r="N512" t="s">
        <v>241</v>
      </c>
      <c r="O512" t="s">
        <v>74</v>
      </c>
      <c r="P512" t="s">
        <v>74</v>
      </c>
      <c r="Q512" t="s">
        <v>74</v>
      </c>
      <c r="R512" t="s">
        <v>74</v>
      </c>
      <c r="S512" t="s">
        <v>74</v>
      </c>
      <c r="T512" t="s">
        <v>9365</v>
      </c>
      <c r="U512" t="s">
        <v>9366</v>
      </c>
      <c r="V512" t="s">
        <v>9367</v>
      </c>
      <c r="W512" t="s">
        <v>9368</v>
      </c>
      <c r="X512" t="s">
        <v>9369</v>
      </c>
      <c r="Y512" t="s">
        <v>9370</v>
      </c>
      <c r="Z512" t="s">
        <v>9371</v>
      </c>
      <c r="AA512" t="s">
        <v>9372</v>
      </c>
      <c r="AB512" t="s">
        <v>9373</v>
      </c>
      <c r="AC512" t="s">
        <v>9374</v>
      </c>
      <c r="AD512" t="s">
        <v>9375</v>
      </c>
      <c r="AE512" t="s">
        <v>9376</v>
      </c>
      <c r="AF512" t="s">
        <v>74</v>
      </c>
      <c r="AG512">
        <v>311</v>
      </c>
      <c r="AH512">
        <v>0</v>
      </c>
      <c r="AI512">
        <v>0</v>
      </c>
      <c r="AJ512">
        <v>14</v>
      </c>
      <c r="AK512">
        <v>14</v>
      </c>
      <c r="AL512" t="s">
        <v>173</v>
      </c>
      <c r="AM512" t="s">
        <v>121</v>
      </c>
      <c r="AN512" t="s">
        <v>174</v>
      </c>
      <c r="AO512" t="s">
        <v>9377</v>
      </c>
      <c r="AP512" t="s">
        <v>9378</v>
      </c>
      <c r="AQ512" t="s">
        <v>74</v>
      </c>
      <c r="AR512" t="s">
        <v>9379</v>
      </c>
      <c r="AS512" t="s">
        <v>9380</v>
      </c>
      <c r="AT512" t="s">
        <v>6618</v>
      </c>
      <c r="AU512">
        <v>2023</v>
      </c>
      <c r="AV512">
        <v>68</v>
      </c>
      <c r="AW512" t="s">
        <v>74</v>
      </c>
      <c r="AX512" t="s">
        <v>74</v>
      </c>
      <c r="AY512" t="s">
        <v>74</v>
      </c>
      <c r="AZ512" t="s">
        <v>74</v>
      </c>
      <c r="BA512" t="s">
        <v>74</v>
      </c>
      <c r="BB512" t="s">
        <v>74</v>
      </c>
      <c r="BC512" t="s">
        <v>74</v>
      </c>
      <c r="BD512">
        <v>108215</v>
      </c>
      <c r="BE512" t="s">
        <v>9381</v>
      </c>
      <c r="BF512" t="str">
        <f>HYPERLINK("http://dx.doi.org/10.1016/j.biotechadv.2023.108215","http://dx.doi.org/10.1016/j.biotechadv.2023.108215")</f>
        <v>http://dx.doi.org/10.1016/j.biotechadv.2023.108215</v>
      </c>
      <c r="BG512" t="s">
        <v>74</v>
      </c>
      <c r="BH512" t="s">
        <v>74</v>
      </c>
      <c r="BI512">
        <v>24</v>
      </c>
      <c r="BJ512" t="s">
        <v>9382</v>
      </c>
      <c r="BK512" t="s">
        <v>100</v>
      </c>
      <c r="BL512" t="s">
        <v>9382</v>
      </c>
      <c r="BM512" t="s">
        <v>9383</v>
      </c>
      <c r="BN512">
        <v>37473819</v>
      </c>
      <c r="BO512" t="s">
        <v>295</v>
      </c>
      <c r="BP512" t="s">
        <v>74</v>
      </c>
      <c r="BQ512" t="s">
        <v>74</v>
      </c>
      <c r="BR512" t="s">
        <v>104</v>
      </c>
      <c r="BS512" t="s">
        <v>9384</v>
      </c>
      <c r="BT512" t="str">
        <f>HYPERLINK("https%3A%2F%2Fwww.webofscience.com%2Fwos%2Fwoscc%2Ffull-record%2FWOS:001047388600001","View Full Record in Web of Science")</f>
        <v>View Full Record in Web of Science</v>
      </c>
    </row>
    <row r="513" spans="1:72" x14ac:dyDescent="0.15">
      <c r="A513" t="s">
        <v>72</v>
      </c>
      <c r="B513" t="s">
        <v>9385</v>
      </c>
      <c r="C513" t="s">
        <v>74</v>
      </c>
      <c r="D513" t="s">
        <v>74</v>
      </c>
      <c r="E513" t="s">
        <v>74</v>
      </c>
      <c r="F513" t="s">
        <v>9386</v>
      </c>
      <c r="G513" t="s">
        <v>74</v>
      </c>
      <c r="H513" t="s">
        <v>74</v>
      </c>
      <c r="I513" t="s">
        <v>9387</v>
      </c>
      <c r="J513" t="s">
        <v>2987</v>
      </c>
      <c r="K513" t="s">
        <v>74</v>
      </c>
      <c r="L513" t="s">
        <v>74</v>
      </c>
      <c r="M513" t="s">
        <v>78</v>
      </c>
      <c r="N513" t="s">
        <v>79</v>
      </c>
      <c r="O513" t="s">
        <v>74</v>
      </c>
      <c r="P513" t="s">
        <v>74</v>
      </c>
      <c r="Q513" t="s">
        <v>74</v>
      </c>
      <c r="R513" t="s">
        <v>74</v>
      </c>
      <c r="S513" t="s">
        <v>74</v>
      </c>
      <c r="T513" t="s">
        <v>9388</v>
      </c>
      <c r="U513" t="s">
        <v>9389</v>
      </c>
      <c r="V513" t="s">
        <v>9390</v>
      </c>
      <c r="W513" t="s">
        <v>9391</v>
      </c>
      <c r="X513" t="s">
        <v>9392</v>
      </c>
      <c r="Y513" t="s">
        <v>9393</v>
      </c>
      <c r="Z513" t="s">
        <v>9394</v>
      </c>
      <c r="AA513" t="s">
        <v>74</v>
      </c>
      <c r="AB513" t="s">
        <v>74</v>
      </c>
      <c r="AC513" t="s">
        <v>74</v>
      </c>
      <c r="AD513" t="s">
        <v>74</v>
      </c>
      <c r="AE513" t="s">
        <v>74</v>
      </c>
      <c r="AF513" t="s">
        <v>74</v>
      </c>
      <c r="AG513">
        <v>109</v>
      </c>
      <c r="AH513">
        <v>0</v>
      </c>
      <c r="AI513">
        <v>0</v>
      </c>
      <c r="AJ513">
        <v>3</v>
      </c>
      <c r="AK513">
        <v>3</v>
      </c>
      <c r="AL513" t="s">
        <v>90</v>
      </c>
      <c r="AM513" t="s">
        <v>91</v>
      </c>
      <c r="AN513" t="s">
        <v>92</v>
      </c>
      <c r="AO513" t="s">
        <v>2995</v>
      </c>
      <c r="AP513" t="s">
        <v>74</v>
      </c>
      <c r="AQ513" t="s">
        <v>74</v>
      </c>
      <c r="AR513" t="s">
        <v>2996</v>
      </c>
      <c r="AS513" t="s">
        <v>2997</v>
      </c>
      <c r="AT513" t="s">
        <v>6618</v>
      </c>
      <c r="AU513">
        <v>2023</v>
      </c>
      <c r="AV513">
        <v>10</v>
      </c>
      <c r="AW513" t="s">
        <v>74</v>
      </c>
      <c r="AX513" t="s">
        <v>74</v>
      </c>
      <c r="AY513" t="s">
        <v>74</v>
      </c>
      <c r="AZ513" t="s">
        <v>74</v>
      </c>
      <c r="BA513" t="s">
        <v>74</v>
      </c>
      <c r="BB513">
        <v>941</v>
      </c>
      <c r="BC513">
        <v>957</v>
      </c>
      <c r="BD513" t="s">
        <v>74</v>
      </c>
      <c r="BE513" t="s">
        <v>9395</v>
      </c>
      <c r="BF513" t="str">
        <f>HYPERLINK("http://dx.doi.org/10.1016/j.egyr.2023.07.039","http://dx.doi.org/10.1016/j.egyr.2023.07.039")</f>
        <v>http://dx.doi.org/10.1016/j.egyr.2023.07.039</v>
      </c>
      <c r="BG513" t="s">
        <v>74</v>
      </c>
      <c r="BH513" t="s">
        <v>74</v>
      </c>
      <c r="BI513">
        <v>17</v>
      </c>
      <c r="BJ513" t="s">
        <v>2999</v>
      </c>
      <c r="BK513" t="s">
        <v>100</v>
      </c>
      <c r="BL513" t="s">
        <v>2999</v>
      </c>
      <c r="BM513" t="s">
        <v>9396</v>
      </c>
      <c r="BN513" t="s">
        <v>74</v>
      </c>
      <c r="BO513" t="s">
        <v>295</v>
      </c>
      <c r="BP513" t="s">
        <v>74</v>
      </c>
      <c r="BQ513" t="s">
        <v>74</v>
      </c>
      <c r="BR513" t="s">
        <v>104</v>
      </c>
      <c r="BS513" t="s">
        <v>9397</v>
      </c>
      <c r="BT513" t="str">
        <f>HYPERLINK("https%3A%2F%2Fwww.webofscience.com%2Fwos%2Fwoscc%2Ffull-record%2FWOS:001052349900001","View Full Record in Web of Science")</f>
        <v>View Full Record in Web of Science</v>
      </c>
    </row>
    <row r="514" spans="1:72" x14ac:dyDescent="0.15">
      <c r="A514" t="s">
        <v>72</v>
      </c>
      <c r="B514" t="s">
        <v>9398</v>
      </c>
      <c r="C514" t="s">
        <v>74</v>
      </c>
      <c r="D514" t="s">
        <v>74</v>
      </c>
      <c r="E514" t="s">
        <v>74</v>
      </c>
      <c r="F514" t="s">
        <v>9399</v>
      </c>
      <c r="G514" t="s">
        <v>74</v>
      </c>
      <c r="H514" t="s">
        <v>74</v>
      </c>
      <c r="I514" t="s">
        <v>9400</v>
      </c>
      <c r="J514" t="s">
        <v>8946</v>
      </c>
      <c r="K514" t="s">
        <v>74</v>
      </c>
      <c r="L514" t="s">
        <v>74</v>
      </c>
      <c r="M514" t="s">
        <v>78</v>
      </c>
      <c r="N514" t="s">
        <v>79</v>
      </c>
      <c r="O514" t="s">
        <v>74</v>
      </c>
      <c r="P514" t="s">
        <v>74</v>
      </c>
      <c r="Q514" t="s">
        <v>74</v>
      </c>
      <c r="R514" t="s">
        <v>74</v>
      </c>
      <c r="S514" t="s">
        <v>74</v>
      </c>
      <c r="T514" t="s">
        <v>9401</v>
      </c>
      <c r="U514" t="s">
        <v>9402</v>
      </c>
      <c r="V514" t="s">
        <v>9403</v>
      </c>
      <c r="W514" t="s">
        <v>9404</v>
      </c>
      <c r="X514" t="s">
        <v>9405</v>
      </c>
      <c r="Y514" t="s">
        <v>9406</v>
      </c>
      <c r="Z514" t="s">
        <v>9407</v>
      </c>
      <c r="AA514" t="s">
        <v>74</v>
      </c>
      <c r="AB514" t="s">
        <v>74</v>
      </c>
      <c r="AC514" t="s">
        <v>9408</v>
      </c>
      <c r="AD514" t="s">
        <v>9409</v>
      </c>
      <c r="AE514" t="s">
        <v>9410</v>
      </c>
      <c r="AF514" t="s">
        <v>74</v>
      </c>
      <c r="AG514">
        <v>49</v>
      </c>
      <c r="AH514">
        <v>0</v>
      </c>
      <c r="AI514">
        <v>0</v>
      </c>
      <c r="AJ514">
        <v>1</v>
      </c>
      <c r="AK514">
        <v>1</v>
      </c>
      <c r="AL514" t="s">
        <v>120</v>
      </c>
      <c r="AM514" t="s">
        <v>121</v>
      </c>
      <c r="AN514" t="s">
        <v>122</v>
      </c>
      <c r="AO514" t="s">
        <v>8954</v>
      </c>
      <c r="AP514" t="s">
        <v>8955</v>
      </c>
      <c r="AQ514" t="s">
        <v>74</v>
      </c>
      <c r="AR514" t="s">
        <v>8956</v>
      </c>
      <c r="AS514" t="s">
        <v>8957</v>
      </c>
      <c r="AT514" t="s">
        <v>6618</v>
      </c>
      <c r="AU514">
        <v>2023</v>
      </c>
      <c r="AV514">
        <v>219</v>
      </c>
      <c r="AW514" t="s">
        <v>74</v>
      </c>
      <c r="AX514" t="s">
        <v>74</v>
      </c>
      <c r="AY514" t="s">
        <v>74</v>
      </c>
      <c r="AZ514" t="s">
        <v>74</v>
      </c>
      <c r="BA514" t="s">
        <v>74</v>
      </c>
      <c r="BB514" t="s">
        <v>74</v>
      </c>
      <c r="BC514" t="s">
        <v>74</v>
      </c>
      <c r="BD514">
        <v>111613</v>
      </c>
      <c r="BE514" t="s">
        <v>9411</v>
      </c>
      <c r="BF514" t="str">
        <f>HYPERLINK("http://dx.doi.org/10.1016/j.dyepig.2023.111613","http://dx.doi.org/10.1016/j.dyepig.2023.111613")</f>
        <v>http://dx.doi.org/10.1016/j.dyepig.2023.111613</v>
      </c>
      <c r="BG514" t="s">
        <v>74</v>
      </c>
      <c r="BH514" t="s">
        <v>74</v>
      </c>
      <c r="BI514">
        <v>14</v>
      </c>
      <c r="BJ514" t="s">
        <v>8959</v>
      </c>
      <c r="BK514" t="s">
        <v>100</v>
      </c>
      <c r="BL514" t="s">
        <v>8960</v>
      </c>
      <c r="BM514" t="s">
        <v>9412</v>
      </c>
      <c r="BN514" t="s">
        <v>74</v>
      </c>
      <c r="BO514" t="s">
        <v>74</v>
      </c>
      <c r="BP514" t="s">
        <v>74</v>
      </c>
      <c r="BQ514" t="s">
        <v>74</v>
      </c>
      <c r="BR514" t="s">
        <v>104</v>
      </c>
      <c r="BS514" t="s">
        <v>9413</v>
      </c>
      <c r="BT514" t="str">
        <f>HYPERLINK("https%3A%2F%2Fwww.webofscience.com%2Fwos%2Fwoscc%2Ffull-record%2FWOS:001054851400001","View Full Record in Web of Science")</f>
        <v>View Full Record in Web of Science</v>
      </c>
    </row>
    <row r="515" spans="1:72" x14ac:dyDescent="0.15">
      <c r="A515" t="s">
        <v>72</v>
      </c>
      <c r="B515" t="s">
        <v>9414</v>
      </c>
      <c r="C515" t="s">
        <v>74</v>
      </c>
      <c r="D515" t="s">
        <v>74</v>
      </c>
      <c r="E515" t="s">
        <v>74</v>
      </c>
      <c r="F515" t="s">
        <v>9415</v>
      </c>
      <c r="G515" t="s">
        <v>74</v>
      </c>
      <c r="H515" t="s">
        <v>74</v>
      </c>
      <c r="I515" t="s">
        <v>9416</v>
      </c>
      <c r="J515" t="s">
        <v>9417</v>
      </c>
      <c r="K515" t="s">
        <v>74</v>
      </c>
      <c r="L515" t="s">
        <v>74</v>
      </c>
      <c r="M515" t="s">
        <v>78</v>
      </c>
      <c r="N515" t="s">
        <v>79</v>
      </c>
      <c r="O515" t="s">
        <v>74</v>
      </c>
      <c r="P515" t="s">
        <v>74</v>
      </c>
      <c r="Q515" t="s">
        <v>74</v>
      </c>
      <c r="R515" t="s">
        <v>74</v>
      </c>
      <c r="S515" t="s">
        <v>74</v>
      </c>
      <c r="T515" t="s">
        <v>9418</v>
      </c>
      <c r="U515" t="s">
        <v>9419</v>
      </c>
      <c r="V515" t="s">
        <v>9420</v>
      </c>
      <c r="W515" t="s">
        <v>9421</v>
      </c>
      <c r="X515" t="s">
        <v>9422</v>
      </c>
      <c r="Y515" t="s">
        <v>9423</v>
      </c>
      <c r="Z515" t="s">
        <v>9424</v>
      </c>
      <c r="AA515" t="s">
        <v>74</v>
      </c>
      <c r="AB515" t="s">
        <v>74</v>
      </c>
      <c r="AC515" t="s">
        <v>9425</v>
      </c>
      <c r="AD515" t="s">
        <v>9426</v>
      </c>
      <c r="AE515" t="s">
        <v>9427</v>
      </c>
      <c r="AF515" t="s">
        <v>74</v>
      </c>
      <c r="AG515">
        <v>33</v>
      </c>
      <c r="AH515">
        <v>0</v>
      </c>
      <c r="AI515">
        <v>0</v>
      </c>
      <c r="AJ515">
        <v>0</v>
      </c>
      <c r="AK515">
        <v>0</v>
      </c>
      <c r="AL515" t="s">
        <v>475</v>
      </c>
      <c r="AM515" t="s">
        <v>476</v>
      </c>
      <c r="AN515" t="s">
        <v>477</v>
      </c>
      <c r="AO515" t="s">
        <v>9428</v>
      </c>
      <c r="AP515" t="s">
        <v>9429</v>
      </c>
      <c r="AQ515" t="s">
        <v>74</v>
      </c>
      <c r="AR515" t="s">
        <v>9430</v>
      </c>
      <c r="AS515" t="s">
        <v>9431</v>
      </c>
      <c r="AT515" t="s">
        <v>6618</v>
      </c>
      <c r="AU515">
        <v>2023</v>
      </c>
      <c r="AV515">
        <v>109</v>
      </c>
      <c r="AW515" t="s">
        <v>74</v>
      </c>
      <c r="AX515" t="s">
        <v>74</v>
      </c>
      <c r="AY515" t="s">
        <v>74</v>
      </c>
      <c r="AZ515" t="s">
        <v>74</v>
      </c>
      <c r="BA515" t="s">
        <v>74</v>
      </c>
      <c r="BB515" t="s">
        <v>74</v>
      </c>
      <c r="BC515" t="s">
        <v>74</v>
      </c>
      <c r="BD515">
        <v>104516</v>
      </c>
      <c r="BE515" t="s">
        <v>9432</v>
      </c>
      <c r="BF515" t="str">
        <f>HYPERLINK("http://dx.doi.org/10.1016/j.jesp.2023.104516","http://dx.doi.org/10.1016/j.jesp.2023.104516")</f>
        <v>http://dx.doi.org/10.1016/j.jesp.2023.104516</v>
      </c>
      <c r="BG515" t="s">
        <v>74</v>
      </c>
      <c r="BH515" t="s">
        <v>74</v>
      </c>
      <c r="BI515">
        <v>16</v>
      </c>
      <c r="BJ515" t="s">
        <v>9244</v>
      </c>
      <c r="BK515" t="s">
        <v>627</v>
      </c>
      <c r="BL515" t="s">
        <v>795</v>
      </c>
      <c r="BM515" t="s">
        <v>9433</v>
      </c>
      <c r="BN515" t="s">
        <v>74</v>
      </c>
      <c r="BO515" t="s">
        <v>504</v>
      </c>
      <c r="BP515" t="s">
        <v>74</v>
      </c>
      <c r="BQ515" t="s">
        <v>74</v>
      </c>
      <c r="BR515" t="s">
        <v>104</v>
      </c>
      <c r="BS515" t="s">
        <v>9434</v>
      </c>
      <c r="BT515" t="str">
        <f>HYPERLINK("https%3A%2F%2Fwww.webofscience.com%2Fwos%2Fwoscc%2Ffull-record%2FWOS:001056563200001","View Full Record in Web of Science")</f>
        <v>View Full Record in Web of Science</v>
      </c>
    </row>
    <row r="516" spans="1:72" x14ac:dyDescent="0.15">
      <c r="A516" t="s">
        <v>72</v>
      </c>
      <c r="B516" t="s">
        <v>9435</v>
      </c>
      <c r="C516" t="s">
        <v>74</v>
      </c>
      <c r="D516" t="s">
        <v>74</v>
      </c>
      <c r="E516" t="s">
        <v>74</v>
      </c>
      <c r="F516" t="s">
        <v>9436</v>
      </c>
      <c r="G516" t="s">
        <v>74</v>
      </c>
      <c r="H516" t="s">
        <v>74</v>
      </c>
      <c r="I516" t="s">
        <v>9437</v>
      </c>
      <c r="J516" t="s">
        <v>6666</v>
      </c>
      <c r="K516" t="s">
        <v>74</v>
      </c>
      <c r="L516" t="s">
        <v>74</v>
      </c>
      <c r="M516" t="s">
        <v>78</v>
      </c>
      <c r="N516" t="s">
        <v>79</v>
      </c>
      <c r="O516" t="s">
        <v>74</v>
      </c>
      <c r="P516" t="s">
        <v>74</v>
      </c>
      <c r="Q516" t="s">
        <v>74</v>
      </c>
      <c r="R516" t="s">
        <v>74</v>
      </c>
      <c r="S516" t="s">
        <v>74</v>
      </c>
      <c r="T516" t="s">
        <v>9438</v>
      </c>
      <c r="U516" t="s">
        <v>9439</v>
      </c>
      <c r="V516" t="s">
        <v>9440</v>
      </c>
      <c r="W516" t="s">
        <v>9441</v>
      </c>
      <c r="X516" t="s">
        <v>9442</v>
      </c>
      <c r="Y516" t="s">
        <v>9443</v>
      </c>
      <c r="Z516" t="s">
        <v>9444</v>
      </c>
      <c r="AA516" t="s">
        <v>9445</v>
      </c>
      <c r="AB516" t="s">
        <v>9446</v>
      </c>
      <c r="AC516" t="s">
        <v>9447</v>
      </c>
      <c r="AD516" t="s">
        <v>9448</v>
      </c>
      <c r="AE516" t="s">
        <v>9449</v>
      </c>
      <c r="AF516" t="s">
        <v>74</v>
      </c>
      <c r="AG516">
        <v>112</v>
      </c>
      <c r="AH516">
        <v>0</v>
      </c>
      <c r="AI516">
        <v>0</v>
      </c>
      <c r="AJ516">
        <v>5</v>
      </c>
      <c r="AK516">
        <v>5</v>
      </c>
      <c r="AL516" t="s">
        <v>173</v>
      </c>
      <c r="AM516" t="s">
        <v>121</v>
      </c>
      <c r="AN516" t="s">
        <v>174</v>
      </c>
      <c r="AO516" t="s">
        <v>6674</v>
      </c>
      <c r="AP516" t="s">
        <v>6675</v>
      </c>
      <c r="AQ516" t="s">
        <v>74</v>
      </c>
      <c r="AR516" t="s">
        <v>6676</v>
      </c>
      <c r="AS516" t="s">
        <v>6677</v>
      </c>
      <c r="AT516" t="s">
        <v>6618</v>
      </c>
      <c r="AU516">
        <v>2023</v>
      </c>
      <c r="AV516">
        <v>126</v>
      </c>
      <c r="AW516" t="s">
        <v>74</v>
      </c>
      <c r="AX516" t="s">
        <v>337</v>
      </c>
      <c r="AY516" t="s">
        <v>74</v>
      </c>
      <c r="AZ516" t="s">
        <v>74</v>
      </c>
      <c r="BA516" t="s">
        <v>74</v>
      </c>
      <c r="BB516" t="s">
        <v>74</v>
      </c>
      <c r="BC516" t="s">
        <v>74</v>
      </c>
      <c r="BD516">
        <v>106848</v>
      </c>
      <c r="BE516" t="s">
        <v>9450</v>
      </c>
      <c r="BF516" t="str">
        <f>HYPERLINK("http://dx.doi.org/10.1016/j.engappai.2023.106848","http://dx.doi.org/10.1016/j.engappai.2023.106848")</f>
        <v>http://dx.doi.org/10.1016/j.engappai.2023.106848</v>
      </c>
      <c r="BG516" t="s">
        <v>74</v>
      </c>
      <c r="BH516" t="s">
        <v>74</v>
      </c>
      <c r="BI516">
        <v>11</v>
      </c>
      <c r="BJ516" t="s">
        <v>6679</v>
      </c>
      <c r="BK516" t="s">
        <v>100</v>
      </c>
      <c r="BL516" t="s">
        <v>6680</v>
      </c>
      <c r="BM516" t="s">
        <v>9451</v>
      </c>
      <c r="BN516" t="s">
        <v>74</v>
      </c>
      <c r="BO516" t="s">
        <v>74</v>
      </c>
      <c r="BP516" t="s">
        <v>74</v>
      </c>
      <c r="BQ516" t="s">
        <v>74</v>
      </c>
      <c r="BR516" t="s">
        <v>104</v>
      </c>
      <c r="BS516" t="s">
        <v>9452</v>
      </c>
      <c r="BT516" t="str">
        <f>HYPERLINK("https%3A%2F%2Fwww.webofscience.com%2Fwos%2Fwoscc%2Ffull-record%2FWOS:001052822100001","View Full Record in Web of Science")</f>
        <v>View Full Record in Web of Science</v>
      </c>
    </row>
    <row r="517" spans="1:72" x14ac:dyDescent="0.15">
      <c r="A517" t="s">
        <v>72</v>
      </c>
      <c r="B517" t="s">
        <v>9453</v>
      </c>
      <c r="C517" t="s">
        <v>74</v>
      </c>
      <c r="D517" t="s">
        <v>74</v>
      </c>
      <c r="E517" t="s">
        <v>74</v>
      </c>
      <c r="F517" t="s">
        <v>9454</v>
      </c>
      <c r="G517" t="s">
        <v>74</v>
      </c>
      <c r="H517" t="s">
        <v>74</v>
      </c>
      <c r="I517" t="s">
        <v>9455</v>
      </c>
      <c r="J517" t="s">
        <v>9456</v>
      </c>
      <c r="K517" t="s">
        <v>74</v>
      </c>
      <c r="L517" t="s">
        <v>74</v>
      </c>
      <c r="M517" t="s">
        <v>78</v>
      </c>
      <c r="N517" t="s">
        <v>79</v>
      </c>
      <c r="O517" t="s">
        <v>74</v>
      </c>
      <c r="P517" t="s">
        <v>74</v>
      </c>
      <c r="Q517" t="s">
        <v>74</v>
      </c>
      <c r="R517" t="s">
        <v>74</v>
      </c>
      <c r="S517" t="s">
        <v>74</v>
      </c>
      <c r="T517" t="s">
        <v>9457</v>
      </c>
      <c r="U517" t="s">
        <v>74</v>
      </c>
      <c r="V517" t="s">
        <v>9458</v>
      </c>
      <c r="W517" t="s">
        <v>9459</v>
      </c>
      <c r="X517" t="s">
        <v>9460</v>
      </c>
      <c r="Y517" t="s">
        <v>9461</v>
      </c>
      <c r="Z517" t="s">
        <v>9462</v>
      </c>
      <c r="AA517" t="s">
        <v>9463</v>
      </c>
      <c r="AB517" t="s">
        <v>9464</v>
      </c>
      <c r="AC517" t="s">
        <v>9465</v>
      </c>
      <c r="AD517" t="s">
        <v>9465</v>
      </c>
      <c r="AE517" t="s">
        <v>9466</v>
      </c>
      <c r="AF517" t="s">
        <v>74</v>
      </c>
      <c r="AG517">
        <v>19</v>
      </c>
      <c r="AH517">
        <v>0</v>
      </c>
      <c r="AI517">
        <v>0</v>
      </c>
      <c r="AJ517">
        <v>2</v>
      </c>
      <c r="AK517">
        <v>2</v>
      </c>
      <c r="AL517" t="s">
        <v>173</v>
      </c>
      <c r="AM517" t="s">
        <v>121</v>
      </c>
      <c r="AN517" t="s">
        <v>174</v>
      </c>
      <c r="AO517" t="s">
        <v>9467</v>
      </c>
      <c r="AP517" t="s">
        <v>9468</v>
      </c>
      <c r="AQ517" t="s">
        <v>74</v>
      </c>
      <c r="AR517" t="s">
        <v>9469</v>
      </c>
      <c r="AS517" t="s">
        <v>9470</v>
      </c>
      <c r="AT517" t="s">
        <v>6618</v>
      </c>
      <c r="AU517">
        <v>2023</v>
      </c>
      <c r="AV517">
        <v>192</v>
      </c>
      <c r="AW517" t="s">
        <v>74</v>
      </c>
      <c r="AX517" t="s">
        <v>74</v>
      </c>
      <c r="AY517" t="s">
        <v>74</v>
      </c>
      <c r="AZ517" t="s">
        <v>74</v>
      </c>
      <c r="BA517" t="s">
        <v>74</v>
      </c>
      <c r="BB517" t="s">
        <v>74</v>
      </c>
      <c r="BC517" t="s">
        <v>74</v>
      </c>
      <c r="BD517">
        <v>107236</v>
      </c>
      <c r="BE517" t="s">
        <v>9471</v>
      </c>
      <c r="BF517" t="str">
        <f>HYPERLINK("http://dx.doi.org/10.1016/j.aap.2023.107236","http://dx.doi.org/10.1016/j.aap.2023.107236")</f>
        <v>http://dx.doi.org/10.1016/j.aap.2023.107236</v>
      </c>
      <c r="BG517" t="s">
        <v>74</v>
      </c>
      <c r="BH517" t="s">
        <v>74</v>
      </c>
      <c r="BI517">
        <v>9</v>
      </c>
      <c r="BJ517" t="s">
        <v>9472</v>
      </c>
      <c r="BK517" t="s">
        <v>627</v>
      </c>
      <c r="BL517" t="s">
        <v>9473</v>
      </c>
      <c r="BM517" t="s">
        <v>9474</v>
      </c>
      <c r="BN517">
        <v>37531855</v>
      </c>
      <c r="BO517" t="s">
        <v>74</v>
      </c>
      <c r="BP517" t="s">
        <v>74</v>
      </c>
      <c r="BQ517" t="s">
        <v>74</v>
      </c>
      <c r="BR517" t="s">
        <v>104</v>
      </c>
      <c r="BS517" t="s">
        <v>9475</v>
      </c>
      <c r="BT517" t="str">
        <f>HYPERLINK("https%3A%2F%2Fwww.webofscience.com%2Fwos%2Fwoscc%2Ffull-record%2FWOS:001052281600001","View Full Record in Web of Science")</f>
        <v>View Full Record in Web of Science</v>
      </c>
    </row>
    <row r="518" spans="1:72" x14ac:dyDescent="0.15">
      <c r="A518" t="s">
        <v>72</v>
      </c>
      <c r="B518" t="s">
        <v>9476</v>
      </c>
      <c r="C518" t="s">
        <v>74</v>
      </c>
      <c r="D518" t="s">
        <v>74</v>
      </c>
      <c r="E518" t="s">
        <v>74</v>
      </c>
      <c r="F518" t="s">
        <v>9477</v>
      </c>
      <c r="G518" t="s">
        <v>74</v>
      </c>
      <c r="H518" t="s">
        <v>74</v>
      </c>
      <c r="I518" t="s">
        <v>9478</v>
      </c>
      <c r="J518" t="s">
        <v>8042</v>
      </c>
      <c r="K518" t="s">
        <v>74</v>
      </c>
      <c r="L518" t="s">
        <v>74</v>
      </c>
      <c r="M518" t="s">
        <v>78</v>
      </c>
      <c r="N518" t="s">
        <v>79</v>
      </c>
      <c r="O518" t="s">
        <v>74</v>
      </c>
      <c r="P518" t="s">
        <v>74</v>
      </c>
      <c r="Q518" t="s">
        <v>74</v>
      </c>
      <c r="R518" t="s">
        <v>74</v>
      </c>
      <c r="S518" t="s">
        <v>74</v>
      </c>
      <c r="T518" t="s">
        <v>9479</v>
      </c>
      <c r="U518" t="s">
        <v>9480</v>
      </c>
      <c r="V518" t="s">
        <v>9481</v>
      </c>
      <c r="W518" t="s">
        <v>9482</v>
      </c>
      <c r="X518" t="s">
        <v>9483</v>
      </c>
      <c r="Y518" t="s">
        <v>9484</v>
      </c>
      <c r="Z518" t="s">
        <v>9485</v>
      </c>
      <c r="AA518" t="s">
        <v>74</v>
      </c>
      <c r="AB518" t="s">
        <v>74</v>
      </c>
      <c r="AC518" t="s">
        <v>9486</v>
      </c>
      <c r="AD518" t="s">
        <v>9487</v>
      </c>
      <c r="AE518" t="s">
        <v>9488</v>
      </c>
      <c r="AF518" t="s">
        <v>74</v>
      </c>
      <c r="AG518">
        <v>49</v>
      </c>
      <c r="AH518">
        <v>0</v>
      </c>
      <c r="AI518">
        <v>0</v>
      </c>
      <c r="AJ518">
        <v>1</v>
      </c>
      <c r="AK518">
        <v>1</v>
      </c>
      <c r="AL518" t="s">
        <v>90</v>
      </c>
      <c r="AM518" t="s">
        <v>91</v>
      </c>
      <c r="AN518" t="s">
        <v>92</v>
      </c>
      <c r="AO518" t="s">
        <v>8054</v>
      </c>
      <c r="AP518" t="s">
        <v>8055</v>
      </c>
      <c r="AQ518" t="s">
        <v>74</v>
      </c>
      <c r="AR518" t="s">
        <v>8056</v>
      </c>
      <c r="AS518" t="s">
        <v>8057</v>
      </c>
      <c r="AT518" t="s">
        <v>6659</v>
      </c>
      <c r="AU518">
        <v>2023</v>
      </c>
      <c r="AV518">
        <v>340</v>
      </c>
      <c r="AW518" t="s">
        <v>74</v>
      </c>
      <c r="AX518" t="s">
        <v>74</v>
      </c>
      <c r="AY518" t="s">
        <v>74</v>
      </c>
      <c r="AZ518" t="s">
        <v>74</v>
      </c>
      <c r="BA518" t="s">
        <v>74</v>
      </c>
      <c r="BB518">
        <v>197</v>
      </c>
      <c r="BC518">
        <v>203</v>
      </c>
      <c r="BD518" t="s">
        <v>74</v>
      </c>
      <c r="BE518" t="s">
        <v>9489</v>
      </c>
      <c r="BF518" t="str">
        <f>HYPERLINK("http://dx.doi.org/10.1016/j.jad.2023.08.019","http://dx.doi.org/10.1016/j.jad.2023.08.019")</f>
        <v>http://dx.doi.org/10.1016/j.jad.2023.08.019</v>
      </c>
      <c r="BG518" t="s">
        <v>74</v>
      </c>
      <c r="BH518" t="s">
        <v>74</v>
      </c>
      <c r="BI518">
        <v>7</v>
      </c>
      <c r="BJ518" t="s">
        <v>8059</v>
      </c>
      <c r="BK518" t="s">
        <v>666</v>
      </c>
      <c r="BL518" t="s">
        <v>8060</v>
      </c>
      <c r="BM518" t="s">
        <v>9490</v>
      </c>
      <c r="BN518">
        <v>37557993</v>
      </c>
      <c r="BO518" t="s">
        <v>74</v>
      </c>
      <c r="BP518" t="s">
        <v>74</v>
      </c>
      <c r="BQ518" t="s">
        <v>74</v>
      </c>
      <c r="BR518" t="s">
        <v>104</v>
      </c>
      <c r="BS518" t="s">
        <v>9491</v>
      </c>
      <c r="BT518" t="str">
        <f>HYPERLINK("https%3A%2F%2Fwww.webofscience.com%2Fwos%2Fwoscc%2Ffull-record%2FWOS:001062630100001","View Full Record in Web of Science")</f>
        <v>View Full Record in Web of Science</v>
      </c>
    </row>
    <row r="519" spans="1:72" x14ac:dyDescent="0.15">
      <c r="A519" t="s">
        <v>72</v>
      </c>
      <c r="B519" t="s">
        <v>9492</v>
      </c>
      <c r="C519" t="s">
        <v>74</v>
      </c>
      <c r="D519" t="s">
        <v>74</v>
      </c>
      <c r="E519" t="s">
        <v>74</v>
      </c>
      <c r="F519" t="s">
        <v>9493</v>
      </c>
      <c r="G519" t="s">
        <v>74</v>
      </c>
      <c r="H519" t="s">
        <v>74</v>
      </c>
      <c r="I519" t="s">
        <v>9494</v>
      </c>
      <c r="J519" t="s">
        <v>9495</v>
      </c>
      <c r="K519" t="s">
        <v>74</v>
      </c>
      <c r="L519" t="s">
        <v>74</v>
      </c>
      <c r="M519" t="s">
        <v>78</v>
      </c>
      <c r="N519" t="s">
        <v>79</v>
      </c>
      <c r="O519" t="s">
        <v>74</v>
      </c>
      <c r="P519" t="s">
        <v>74</v>
      </c>
      <c r="Q519" t="s">
        <v>74</v>
      </c>
      <c r="R519" t="s">
        <v>74</v>
      </c>
      <c r="S519" t="s">
        <v>74</v>
      </c>
      <c r="T519" t="s">
        <v>9496</v>
      </c>
      <c r="U519" t="s">
        <v>9497</v>
      </c>
      <c r="V519" t="s">
        <v>9498</v>
      </c>
      <c r="W519" t="s">
        <v>9499</v>
      </c>
      <c r="X519" t="s">
        <v>9500</v>
      </c>
      <c r="Y519" t="s">
        <v>9501</v>
      </c>
      <c r="Z519" t="s">
        <v>9502</v>
      </c>
      <c r="AA519" t="s">
        <v>74</v>
      </c>
      <c r="AB519" t="s">
        <v>9503</v>
      </c>
      <c r="AC519" t="s">
        <v>74</v>
      </c>
      <c r="AD519" t="s">
        <v>74</v>
      </c>
      <c r="AE519" t="s">
        <v>74</v>
      </c>
      <c r="AF519" t="s">
        <v>74</v>
      </c>
      <c r="AG519">
        <v>62</v>
      </c>
      <c r="AH519">
        <v>0</v>
      </c>
      <c r="AI519">
        <v>0</v>
      </c>
      <c r="AJ519">
        <v>2</v>
      </c>
      <c r="AK519">
        <v>2</v>
      </c>
      <c r="AL519" t="s">
        <v>120</v>
      </c>
      <c r="AM519" t="s">
        <v>121</v>
      </c>
      <c r="AN519" t="s">
        <v>122</v>
      </c>
      <c r="AO519" t="s">
        <v>9504</v>
      </c>
      <c r="AP519" t="s">
        <v>9505</v>
      </c>
      <c r="AQ519" t="s">
        <v>74</v>
      </c>
      <c r="AR519" t="s">
        <v>9506</v>
      </c>
      <c r="AS519" t="s">
        <v>9507</v>
      </c>
      <c r="AT519" t="s">
        <v>6618</v>
      </c>
      <c r="AU519">
        <v>2023</v>
      </c>
      <c r="AV519">
        <v>21</v>
      </c>
      <c r="AW519">
        <v>3</v>
      </c>
      <c r="AX519" t="s">
        <v>74</v>
      </c>
      <c r="AY519" t="s">
        <v>74</v>
      </c>
      <c r="AZ519" t="s">
        <v>74</v>
      </c>
      <c r="BA519" t="s">
        <v>74</v>
      </c>
      <c r="BB519" t="s">
        <v>74</v>
      </c>
      <c r="BC519" t="s">
        <v>74</v>
      </c>
      <c r="BD519">
        <v>100861</v>
      </c>
      <c r="BE519" t="s">
        <v>9508</v>
      </c>
      <c r="BF519" t="str">
        <f>HYPERLINK("http://dx.doi.org/10.1016/j.ijme.2023.100861","http://dx.doi.org/10.1016/j.ijme.2023.100861")</f>
        <v>http://dx.doi.org/10.1016/j.ijme.2023.100861</v>
      </c>
      <c r="BG519" t="s">
        <v>74</v>
      </c>
      <c r="BH519" t="s">
        <v>74</v>
      </c>
      <c r="BI519">
        <v>13</v>
      </c>
      <c r="BJ519" t="s">
        <v>9509</v>
      </c>
      <c r="BK519" t="s">
        <v>627</v>
      </c>
      <c r="BL519" t="s">
        <v>9510</v>
      </c>
      <c r="BM519" t="s">
        <v>9511</v>
      </c>
      <c r="BN519" t="s">
        <v>74</v>
      </c>
      <c r="BO519" t="s">
        <v>74</v>
      </c>
      <c r="BP519" t="s">
        <v>74</v>
      </c>
      <c r="BQ519" t="s">
        <v>74</v>
      </c>
      <c r="BR519" t="s">
        <v>104</v>
      </c>
      <c r="BS519" t="s">
        <v>9512</v>
      </c>
      <c r="BT519" t="str">
        <f>HYPERLINK("https%3A%2F%2Fwww.webofscience.com%2Fwos%2Fwoscc%2Ffull-record%2FWOS:001052663100001","View Full Record in Web of Science")</f>
        <v>View Full Record in Web of Science</v>
      </c>
    </row>
    <row r="520" spans="1:72" x14ac:dyDescent="0.15">
      <c r="A520" t="s">
        <v>72</v>
      </c>
      <c r="B520" t="s">
        <v>9513</v>
      </c>
      <c r="C520" t="s">
        <v>74</v>
      </c>
      <c r="D520" t="s">
        <v>74</v>
      </c>
      <c r="E520" t="s">
        <v>74</v>
      </c>
      <c r="F520" t="s">
        <v>9514</v>
      </c>
      <c r="G520" t="s">
        <v>74</v>
      </c>
      <c r="H520" t="s">
        <v>74</v>
      </c>
      <c r="I520" t="s">
        <v>9515</v>
      </c>
      <c r="J520" t="s">
        <v>9516</v>
      </c>
      <c r="K520" t="s">
        <v>74</v>
      </c>
      <c r="L520" t="s">
        <v>74</v>
      </c>
      <c r="M520" t="s">
        <v>78</v>
      </c>
      <c r="N520" t="s">
        <v>79</v>
      </c>
      <c r="O520" t="s">
        <v>74</v>
      </c>
      <c r="P520" t="s">
        <v>74</v>
      </c>
      <c r="Q520" t="s">
        <v>74</v>
      </c>
      <c r="R520" t="s">
        <v>74</v>
      </c>
      <c r="S520" t="s">
        <v>74</v>
      </c>
      <c r="T520" t="s">
        <v>74</v>
      </c>
      <c r="U520" t="s">
        <v>9517</v>
      </c>
      <c r="V520" t="s">
        <v>9518</v>
      </c>
      <c r="W520" t="s">
        <v>9519</v>
      </c>
      <c r="X520" t="s">
        <v>9520</v>
      </c>
      <c r="Y520" t="s">
        <v>9521</v>
      </c>
      <c r="Z520" t="s">
        <v>9522</v>
      </c>
      <c r="AA520" t="s">
        <v>74</v>
      </c>
      <c r="AB520" t="s">
        <v>74</v>
      </c>
      <c r="AC520" t="s">
        <v>9523</v>
      </c>
      <c r="AD520" t="s">
        <v>9524</v>
      </c>
      <c r="AE520" t="s">
        <v>9525</v>
      </c>
      <c r="AF520" t="s">
        <v>74</v>
      </c>
      <c r="AG520">
        <v>26</v>
      </c>
      <c r="AH520">
        <v>0</v>
      </c>
      <c r="AI520">
        <v>0</v>
      </c>
      <c r="AJ520">
        <v>0</v>
      </c>
      <c r="AK520">
        <v>0</v>
      </c>
      <c r="AL520" t="s">
        <v>120</v>
      </c>
      <c r="AM520" t="s">
        <v>121</v>
      </c>
      <c r="AN520" t="s">
        <v>122</v>
      </c>
      <c r="AO520" t="s">
        <v>9526</v>
      </c>
      <c r="AP520" t="s">
        <v>9527</v>
      </c>
      <c r="AQ520" t="s">
        <v>74</v>
      </c>
      <c r="AR520" t="s">
        <v>9528</v>
      </c>
      <c r="AS520" t="s">
        <v>9529</v>
      </c>
      <c r="AT520" t="s">
        <v>6618</v>
      </c>
      <c r="AU520">
        <v>2023</v>
      </c>
      <c r="AV520">
        <v>146</v>
      </c>
      <c r="AW520" t="s">
        <v>74</v>
      </c>
      <c r="AX520" t="s">
        <v>74</v>
      </c>
      <c r="AY520" t="s">
        <v>74</v>
      </c>
      <c r="AZ520" t="s">
        <v>74</v>
      </c>
      <c r="BA520" t="s">
        <v>74</v>
      </c>
      <c r="BB520" t="s">
        <v>74</v>
      </c>
      <c r="BC520" t="s">
        <v>74</v>
      </c>
      <c r="BD520">
        <v>105745</v>
      </c>
      <c r="BE520" t="s">
        <v>9530</v>
      </c>
      <c r="BF520" t="str">
        <f>HYPERLINK("http://dx.doi.org/10.1016/j.idairyj.2023.105745","http://dx.doi.org/10.1016/j.idairyj.2023.105745")</f>
        <v>http://dx.doi.org/10.1016/j.idairyj.2023.105745</v>
      </c>
      <c r="BG520" t="s">
        <v>74</v>
      </c>
      <c r="BH520" t="s">
        <v>74</v>
      </c>
      <c r="BI520">
        <v>9</v>
      </c>
      <c r="BJ520" t="s">
        <v>1033</v>
      </c>
      <c r="BK520" t="s">
        <v>100</v>
      </c>
      <c r="BL520" t="s">
        <v>1033</v>
      </c>
      <c r="BM520" t="s">
        <v>9531</v>
      </c>
      <c r="BN520" t="s">
        <v>74</v>
      </c>
      <c r="BO520" t="s">
        <v>74</v>
      </c>
      <c r="BP520" t="s">
        <v>74</v>
      </c>
      <c r="BQ520" t="s">
        <v>74</v>
      </c>
      <c r="BR520" t="s">
        <v>104</v>
      </c>
      <c r="BS520" t="s">
        <v>9532</v>
      </c>
      <c r="BT520" t="str">
        <f>HYPERLINK("https%3A%2F%2Fwww.webofscience.com%2Fwos%2Fwoscc%2Ffull-record%2FWOS:001048445400001","View Full Record in Web of Science")</f>
        <v>View Full Record in Web of Science</v>
      </c>
    </row>
    <row r="521" spans="1:72" x14ac:dyDescent="0.15">
      <c r="A521" t="s">
        <v>72</v>
      </c>
      <c r="B521" t="s">
        <v>9533</v>
      </c>
      <c r="C521" t="s">
        <v>74</v>
      </c>
      <c r="D521" t="s">
        <v>74</v>
      </c>
      <c r="E521" t="s">
        <v>74</v>
      </c>
      <c r="F521" t="s">
        <v>9534</v>
      </c>
      <c r="G521" t="s">
        <v>74</v>
      </c>
      <c r="H521" t="s">
        <v>74</v>
      </c>
      <c r="I521" t="s">
        <v>9535</v>
      </c>
      <c r="J521" t="s">
        <v>1587</v>
      </c>
      <c r="K521" t="s">
        <v>74</v>
      </c>
      <c r="L521" t="s">
        <v>74</v>
      </c>
      <c r="M521" t="s">
        <v>78</v>
      </c>
      <c r="N521" t="s">
        <v>79</v>
      </c>
      <c r="O521" t="s">
        <v>74</v>
      </c>
      <c r="P521" t="s">
        <v>74</v>
      </c>
      <c r="Q521" t="s">
        <v>74</v>
      </c>
      <c r="R521" t="s">
        <v>74</v>
      </c>
      <c r="S521" t="s">
        <v>74</v>
      </c>
      <c r="T521" t="s">
        <v>9536</v>
      </c>
      <c r="U521" t="s">
        <v>9537</v>
      </c>
      <c r="V521" t="s">
        <v>9538</v>
      </c>
      <c r="W521" t="s">
        <v>9539</v>
      </c>
      <c r="X521" t="s">
        <v>9540</v>
      </c>
      <c r="Y521" t="s">
        <v>9541</v>
      </c>
      <c r="Z521" t="s">
        <v>9542</v>
      </c>
      <c r="AA521" t="s">
        <v>74</v>
      </c>
      <c r="AB521" t="s">
        <v>74</v>
      </c>
      <c r="AC521" t="s">
        <v>74</v>
      </c>
      <c r="AD521" t="s">
        <v>74</v>
      </c>
      <c r="AE521" t="s">
        <v>74</v>
      </c>
      <c r="AF521" t="s">
        <v>74</v>
      </c>
      <c r="AG521">
        <v>62</v>
      </c>
      <c r="AH521">
        <v>0</v>
      </c>
      <c r="AI521">
        <v>0</v>
      </c>
      <c r="AJ521">
        <v>2</v>
      </c>
      <c r="AK521">
        <v>2</v>
      </c>
      <c r="AL521" t="s">
        <v>90</v>
      </c>
      <c r="AM521" t="s">
        <v>91</v>
      </c>
      <c r="AN521" t="s">
        <v>92</v>
      </c>
      <c r="AO521" t="s">
        <v>1598</v>
      </c>
      <c r="AP521" t="s">
        <v>1599</v>
      </c>
      <c r="AQ521" t="s">
        <v>74</v>
      </c>
      <c r="AR521" t="s">
        <v>1600</v>
      </c>
      <c r="AS521" t="s">
        <v>1601</v>
      </c>
      <c r="AT521" t="s">
        <v>6659</v>
      </c>
      <c r="AU521">
        <v>2023</v>
      </c>
      <c r="AV521">
        <v>324</v>
      </c>
      <c r="AW521" t="s">
        <v>74</v>
      </c>
      <c r="AX521" t="s">
        <v>74</v>
      </c>
      <c r="AY521" t="s">
        <v>74</v>
      </c>
      <c r="AZ521" t="s">
        <v>74</v>
      </c>
      <c r="BA521" t="s">
        <v>74</v>
      </c>
      <c r="BB521" t="s">
        <v>74</v>
      </c>
      <c r="BC521" t="s">
        <v>74</v>
      </c>
      <c r="BD521">
        <v>124522</v>
      </c>
      <c r="BE521" t="s">
        <v>9543</v>
      </c>
      <c r="BF521" t="str">
        <f>HYPERLINK("http://dx.doi.org/10.1016/j.seppur.2023.124522","http://dx.doi.org/10.1016/j.seppur.2023.124522")</f>
        <v>http://dx.doi.org/10.1016/j.seppur.2023.124522</v>
      </c>
      <c r="BG521" t="s">
        <v>74</v>
      </c>
      <c r="BH521" t="s">
        <v>74</v>
      </c>
      <c r="BI521">
        <v>24</v>
      </c>
      <c r="BJ521" t="s">
        <v>1603</v>
      </c>
      <c r="BK521" t="s">
        <v>100</v>
      </c>
      <c r="BL521" t="s">
        <v>873</v>
      </c>
      <c r="BM521" t="s">
        <v>9544</v>
      </c>
      <c r="BN521" t="s">
        <v>74</v>
      </c>
      <c r="BO521" t="s">
        <v>74</v>
      </c>
      <c r="BP521" t="s">
        <v>74</v>
      </c>
      <c r="BQ521" t="s">
        <v>74</v>
      </c>
      <c r="BR521" t="s">
        <v>104</v>
      </c>
      <c r="BS521" t="s">
        <v>9545</v>
      </c>
      <c r="BT521" t="str">
        <f>HYPERLINK("https%3A%2F%2Fwww.webofscience.com%2Fwos%2Fwoscc%2Ffull-record%2FWOS:001048319700001","View Full Record in Web of Science")</f>
        <v>View Full Record in Web of Science</v>
      </c>
    </row>
    <row r="522" spans="1:72" x14ac:dyDescent="0.15">
      <c r="A522" t="s">
        <v>72</v>
      </c>
      <c r="B522" t="s">
        <v>9546</v>
      </c>
      <c r="C522" t="s">
        <v>74</v>
      </c>
      <c r="D522" t="s">
        <v>74</v>
      </c>
      <c r="E522" t="s">
        <v>74</v>
      </c>
      <c r="F522" t="s">
        <v>9547</v>
      </c>
      <c r="G522" t="s">
        <v>74</v>
      </c>
      <c r="H522" t="s">
        <v>74</v>
      </c>
      <c r="I522" t="s">
        <v>9548</v>
      </c>
      <c r="J522" t="s">
        <v>6666</v>
      </c>
      <c r="K522" t="s">
        <v>74</v>
      </c>
      <c r="L522" t="s">
        <v>74</v>
      </c>
      <c r="M522" t="s">
        <v>78</v>
      </c>
      <c r="N522" t="s">
        <v>79</v>
      </c>
      <c r="O522" t="s">
        <v>74</v>
      </c>
      <c r="P522" t="s">
        <v>74</v>
      </c>
      <c r="Q522" t="s">
        <v>74</v>
      </c>
      <c r="R522" t="s">
        <v>74</v>
      </c>
      <c r="S522" t="s">
        <v>74</v>
      </c>
      <c r="T522" t="s">
        <v>9549</v>
      </c>
      <c r="U522" t="s">
        <v>74</v>
      </c>
      <c r="V522" t="s">
        <v>9550</v>
      </c>
      <c r="W522" t="s">
        <v>9551</v>
      </c>
      <c r="X522" t="s">
        <v>9552</v>
      </c>
      <c r="Y522" t="s">
        <v>9553</v>
      </c>
      <c r="Z522" t="s">
        <v>9554</v>
      </c>
      <c r="AA522" t="s">
        <v>74</v>
      </c>
      <c r="AB522" t="s">
        <v>74</v>
      </c>
      <c r="AC522" t="s">
        <v>9555</v>
      </c>
      <c r="AD522" t="s">
        <v>9556</v>
      </c>
      <c r="AE522" t="s">
        <v>9557</v>
      </c>
      <c r="AF522" t="s">
        <v>74</v>
      </c>
      <c r="AG522">
        <v>53</v>
      </c>
      <c r="AH522">
        <v>4</v>
      </c>
      <c r="AI522">
        <v>4</v>
      </c>
      <c r="AJ522">
        <v>7</v>
      </c>
      <c r="AK522">
        <v>7</v>
      </c>
      <c r="AL522" t="s">
        <v>173</v>
      </c>
      <c r="AM522" t="s">
        <v>121</v>
      </c>
      <c r="AN522" t="s">
        <v>174</v>
      </c>
      <c r="AO522" t="s">
        <v>6674</v>
      </c>
      <c r="AP522" t="s">
        <v>6675</v>
      </c>
      <c r="AQ522" t="s">
        <v>74</v>
      </c>
      <c r="AR522" t="s">
        <v>6676</v>
      </c>
      <c r="AS522" t="s">
        <v>6677</v>
      </c>
      <c r="AT522" t="s">
        <v>6618</v>
      </c>
      <c r="AU522">
        <v>2023</v>
      </c>
      <c r="AV522">
        <v>126</v>
      </c>
      <c r="AW522" t="s">
        <v>74</v>
      </c>
      <c r="AX522" t="s">
        <v>373</v>
      </c>
      <c r="AY522" t="s">
        <v>74</v>
      </c>
      <c r="AZ522" t="s">
        <v>74</v>
      </c>
      <c r="BA522" t="s">
        <v>74</v>
      </c>
      <c r="BB522" t="s">
        <v>74</v>
      </c>
      <c r="BC522" t="s">
        <v>74</v>
      </c>
      <c r="BD522">
        <v>106885</v>
      </c>
      <c r="BE522" t="s">
        <v>9558</v>
      </c>
      <c r="BF522" t="str">
        <f>HYPERLINK("http://dx.doi.org/10.1016/j.engappai.2023.106885","http://dx.doi.org/10.1016/j.engappai.2023.106885")</f>
        <v>http://dx.doi.org/10.1016/j.engappai.2023.106885</v>
      </c>
      <c r="BG522" t="s">
        <v>74</v>
      </c>
      <c r="BH522" t="s">
        <v>74</v>
      </c>
      <c r="BI522">
        <v>10</v>
      </c>
      <c r="BJ522" t="s">
        <v>6679</v>
      </c>
      <c r="BK522" t="s">
        <v>100</v>
      </c>
      <c r="BL522" t="s">
        <v>6680</v>
      </c>
      <c r="BM522" t="s">
        <v>9559</v>
      </c>
      <c r="BN522" t="s">
        <v>74</v>
      </c>
      <c r="BO522" t="s">
        <v>74</v>
      </c>
      <c r="BP522" t="s">
        <v>74</v>
      </c>
      <c r="BQ522" t="s">
        <v>74</v>
      </c>
      <c r="BR522" t="s">
        <v>104</v>
      </c>
      <c r="BS522" t="s">
        <v>9560</v>
      </c>
      <c r="BT522" t="str">
        <f>HYPERLINK("https%3A%2F%2Fwww.webofscience.com%2Fwos%2Fwoscc%2Ffull-record%2FWOS:001054736700001","View Full Record in Web of Science")</f>
        <v>View Full Record in Web of Science</v>
      </c>
    </row>
    <row r="523" spans="1:72" x14ac:dyDescent="0.15">
      <c r="A523" t="s">
        <v>72</v>
      </c>
      <c r="B523" t="s">
        <v>9561</v>
      </c>
      <c r="C523" t="s">
        <v>74</v>
      </c>
      <c r="D523" t="s">
        <v>74</v>
      </c>
      <c r="E523" t="s">
        <v>74</v>
      </c>
      <c r="F523" t="s">
        <v>9562</v>
      </c>
      <c r="G523" t="s">
        <v>74</v>
      </c>
      <c r="H523" t="s">
        <v>74</v>
      </c>
      <c r="I523" t="s">
        <v>9563</v>
      </c>
      <c r="J523" t="s">
        <v>7051</v>
      </c>
      <c r="K523" t="s">
        <v>74</v>
      </c>
      <c r="L523" t="s">
        <v>74</v>
      </c>
      <c r="M523" t="s">
        <v>78</v>
      </c>
      <c r="N523" t="s">
        <v>79</v>
      </c>
      <c r="O523" t="s">
        <v>74</v>
      </c>
      <c r="P523" t="s">
        <v>74</v>
      </c>
      <c r="Q523" t="s">
        <v>74</v>
      </c>
      <c r="R523" t="s">
        <v>74</v>
      </c>
      <c r="S523" t="s">
        <v>74</v>
      </c>
      <c r="T523" t="s">
        <v>9564</v>
      </c>
      <c r="U523" t="s">
        <v>9565</v>
      </c>
      <c r="V523" t="s">
        <v>9566</v>
      </c>
      <c r="W523" t="s">
        <v>9567</v>
      </c>
      <c r="X523" t="s">
        <v>9568</v>
      </c>
      <c r="Y523" t="s">
        <v>9569</v>
      </c>
      <c r="Z523" t="s">
        <v>9570</v>
      </c>
      <c r="AA523" t="s">
        <v>9571</v>
      </c>
      <c r="AB523" t="s">
        <v>9572</v>
      </c>
      <c r="AC523" t="s">
        <v>9573</v>
      </c>
      <c r="AD523" t="s">
        <v>9574</v>
      </c>
      <c r="AE523" t="s">
        <v>9575</v>
      </c>
      <c r="AF523" t="s">
        <v>74</v>
      </c>
      <c r="AG523">
        <v>50</v>
      </c>
      <c r="AH523">
        <v>0</v>
      </c>
      <c r="AI523">
        <v>0</v>
      </c>
      <c r="AJ523">
        <v>1</v>
      </c>
      <c r="AK523">
        <v>1</v>
      </c>
      <c r="AL523" t="s">
        <v>90</v>
      </c>
      <c r="AM523" t="s">
        <v>91</v>
      </c>
      <c r="AN523" t="s">
        <v>92</v>
      </c>
      <c r="AO523" t="s">
        <v>7062</v>
      </c>
      <c r="AP523" t="s">
        <v>7063</v>
      </c>
      <c r="AQ523" t="s">
        <v>74</v>
      </c>
      <c r="AR523" t="s">
        <v>7064</v>
      </c>
      <c r="AS523" t="s">
        <v>7065</v>
      </c>
      <c r="AT523" t="s">
        <v>6618</v>
      </c>
      <c r="AU523">
        <v>2023</v>
      </c>
      <c r="AV523">
        <v>230</v>
      </c>
      <c r="AW523" t="s">
        <v>74</v>
      </c>
      <c r="AX523" t="s">
        <v>74</v>
      </c>
      <c r="AY523" t="s">
        <v>74</v>
      </c>
      <c r="AZ523" t="s">
        <v>74</v>
      </c>
      <c r="BA523" t="s">
        <v>74</v>
      </c>
      <c r="BB523" t="s">
        <v>74</v>
      </c>
      <c r="BC523" t="s">
        <v>74</v>
      </c>
      <c r="BD523">
        <v>212244</v>
      </c>
      <c r="BE523" t="s">
        <v>9576</v>
      </c>
      <c r="BF523" t="str">
        <f>HYPERLINK("http://dx.doi.org/10.1016/j.geoen.2023.212244","http://dx.doi.org/10.1016/j.geoen.2023.212244")</f>
        <v>http://dx.doi.org/10.1016/j.geoen.2023.212244</v>
      </c>
      <c r="BG523" t="s">
        <v>74</v>
      </c>
      <c r="BH523" t="s">
        <v>74</v>
      </c>
      <c r="BI523">
        <v>18</v>
      </c>
      <c r="BJ523" t="s">
        <v>7067</v>
      </c>
      <c r="BK523" t="s">
        <v>100</v>
      </c>
      <c r="BL523" t="s">
        <v>277</v>
      </c>
      <c r="BM523" t="s">
        <v>9577</v>
      </c>
      <c r="BN523" t="s">
        <v>74</v>
      </c>
      <c r="BO523" t="s">
        <v>74</v>
      </c>
      <c r="BP523" t="s">
        <v>74</v>
      </c>
      <c r="BQ523" t="s">
        <v>74</v>
      </c>
      <c r="BR523" t="s">
        <v>104</v>
      </c>
      <c r="BS523" t="s">
        <v>9578</v>
      </c>
      <c r="BT523" t="str">
        <f>HYPERLINK("https%3A%2F%2Fwww.webofscience.com%2Fwos%2Fwoscc%2Ffull-record%2FWOS:001054841700001","View Full Record in Web of Science")</f>
        <v>View Full Record in Web of Science</v>
      </c>
    </row>
    <row r="524" spans="1:72" x14ac:dyDescent="0.15">
      <c r="A524" t="s">
        <v>72</v>
      </c>
      <c r="B524" t="s">
        <v>9579</v>
      </c>
      <c r="C524" t="s">
        <v>74</v>
      </c>
      <c r="D524" t="s">
        <v>74</v>
      </c>
      <c r="E524" t="s">
        <v>74</v>
      </c>
      <c r="F524" t="s">
        <v>9580</v>
      </c>
      <c r="G524" t="s">
        <v>74</v>
      </c>
      <c r="H524" t="s">
        <v>74</v>
      </c>
      <c r="I524" t="s">
        <v>9581</v>
      </c>
      <c r="J524" t="s">
        <v>2812</v>
      </c>
      <c r="K524" t="s">
        <v>74</v>
      </c>
      <c r="L524" t="s">
        <v>74</v>
      </c>
      <c r="M524" t="s">
        <v>78</v>
      </c>
      <c r="N524" t="s">
        <v>79</v>
      </c>
      <c r="O524" t="s">
        <v>74</v>
      </c>
      <c r="P524" t="s">
        <v>74</v>
      </c>
      <c r="Q524" t="s">
        <v>74</v>
      </c>
      <c r="R524" t="s">
        <v>74</v>
      </c>
      <c r="S524" t="s">
        <v>74</v>
      </c>
      <c r="T524" t="s">
        <v>9582</v>
      </c>
      <c r="U524" t="s">
        <v>9583</v>
      </c>
      <c r="V524" t="s">
        <v>9584</v>
      </c>
      <c r="W524" t="s">
        <v>9585</v>
      </c>
      <c r="X524" t="s">
        <v>9586</v>
      </c>
      <c r="Y524" t="s">
        <v>9587</v>
      </c>
      <c r="Z524" t="s">
        <v>9588</v>
      </c>
      <c r="AA524" t="s">
        <v>74</v>
      </c>
      <c r="AB524" t="s">
        <v>9589</v>
      </c>
      <c r="AC524" t="s">
        <v>74</v>
      </c>
      <c r="AD524" t="s">
        <v>74</v>
      </c>
      <c r="AE524" t="s">
        <v>74</v>
      </c>
      <c r="AF524" t="s">
        <v>74</v>
      </c>
      <c r="AG524">
        <v>63</v>
      </c>
      <c r="AH524">
        <v>0</v>
      </c>
      <c r="AI524">
        <v>0</v>
      </c>
      <c r="AJ524">
        <v>1</v>
      </c>
      <c r="AK524">
        <v>1</v>
      </c>
      <c r="AL524" t="s">
        <v>475</v>
      </c>
      <c r="AM524" t="s">
        <v>476</v>
      </c>
      <c r="AN524" t="s">
        <v>477</v>
      </c>
      <c r="AO524" t="s">
        <v>2819</v>
      </c>
      <c r="AP524" t="s">
        <v>2820</v>
      </c>
      <c r="AQ524" t="s">
        <v>74</v>
      </c>
      <c r="AR524" t="s">
        <v>2821</v>
      </c>
      <c r="AS524" t="s">
        <v>2822</v>
      </c>
      <c r="AT524" t="s">
        <v>6618</v>
      </c>
      <c r="AU524">
        <v>2023</v>
      </c>
      <c r="AV524">
        <v>57</v>
      </c>
      <c r="AW524" t="s">
        <v>74</v>
      </c>
      <c r="AX524" t="s">
        <v>74</v>
      </c>
      <c r="AY524" t="s">
        <v>74</v>
      </c>
      <c r="AZ524" t="s">
        <v>74</v>
      </c>
      <c r="BA524" t="s">
        <v>74</v>
      </c>
      <c r="BB524" t="s">
        <v>74</v>
      </c>
      <c r="BC524" t="s">
        <v>74</v>
      </c>
      <c r="BD524">
        <v>104277</v>
      </c>
      <c r="BE524" t="s">
        <v>9590</v>
      </c>
      <c r="BF524" t="str">
        <f>HYPERLINK("http://dx.doi.org/10.1016/j.frl.2023.104277","http://dx.doi.org/10.1016/j.frl.2023.104277")</f>
        <v>http://dx.doi.org/10.1016/j.frl.2023.104277</v>
      </c>
      <c r="BG524" t="s">
        <v>74</v>
      </c>
      <c r="BH524" t="s">
        <v>74</v>
      </c>
      <c r="BI524">
        <v>11</v>
      </c>
      <c r="BJ524" t="s">
        <v>2824</v>
      </c>
      <c r="BK524" t="s">
        <v>627</v>
      </c>
      <c r="BL524" t="s">
        <v>628</v>
      </c>
      <c r="BM524" t="s">
        <v>9591</v>
      </c>
      <c r="BN524" t="s">
        <v>74</v>
      </c>
      <c r="BO524" t="s">
        <v>74</v>
      </c>
      <c r="BP524" t="s">
        <v>74</v>
      </c>
      <c r="BQ524" t="s">
        <v>74</v>
      </c>
      <c r="BR524" t="s">
        <v>104</v>
      </c>
      <c r="BS524" t="s">
        <v>9592</v>
      </c>
      <c r="BT524" t="str">
        <f>HYPERLINK("https%3A%2F%2Fwww.webofscience.com%2Fwos%2Fwoscc%2Ffull-record%2FWOS:001052658200001","View Full Record in Web of Science")</f>
        <v>View Full Record in Web of Science</v>
      </c>
    </row>
    <row r="525" spans="1:72" x14ac:dyDescent="0.15">
      <c r="A525" t="s">
        <v>72</v>
      </c>
      <c r="B525" t="s">
        <v>9593</v>
      </c>
      <c r="C525" t="s">
        <v>74</v>
      </c>
      <c r="D525" t="s">
        <v>74</v>
      </c>
      <c r="E525" t="s">
        <v>74</v>
      </c>
      <c r="F525" t="s">
        <v>9594</v>
      </c>
      <c r="G525" t="s">
        <v>74</v>
      </c>
      <c r="H525" t="s">
        <v>74</v>
      </c>
      <c r="I525" t="s">
        <v>9595</v>
      </c>
      <c r="J525" t="s">
        <v>8290</v>
      </c>
      <c r="K525" t="s">
        <v>74</v>
      </c>
      <c r="L525" t="s">
        <v>74</v>
      </c>
      <c r="M525" t="s">
        <v>78</v>
      </c>
      <c r="N525" t="s">
        <v>79</v>
      </c>
      <c r="O525" t="s">
        <v>74</v>
      </c>
      <c r="P525" t="s">
        <v>74</v>
      </c>
      <c r="Q525" t="s">
        <v>74</v>
      </c>
      <c r="R525" t="s">
        <v>74</v>
      </c>
      <c r="S525" t="s">
        <v>74</v>
      </c>
      <c r="T525" t="s">
        <v>9596</v>
      </c>
      <c r="U525" t="s">
        <v>9597</v>
      </c>
      <c r="V525" t="s">
        <v>9598</v>
      </c>
      <c r="W525" t="s">
        <v>9599</v>
      </c>
      <c r="X525" t="s">
        <v>9600</v>
      </c>
      <c r="Y525" t="s">
        <v>9601</v>
      </c>
      <c r="Z525" t="s">
        <v>9602</v>
      </c>
      <c r="AA525" t="s">
        <v>74</v>
      </c>
      <c r="AB525" t="s">
        <v>9603</v>
      </c>
      <c r="AC525" t="s">
        <v>74</v>
      </c>
      <c r="AD525" t="s">
        <v>74</v>
      </c>
      <c r="AE525" t="s">
        <v>74</v>
      </c>
      <c r="AF525" t="s">
        <v>74</v>
      </c>
      <c r="AG525">
        <v>64</v>
      </c>
      <c r="AH525">
        <v>0</v>
      </c>
      <c r="AI525">
        <v>0</v>
      </c>
      <c r="AJ525">
        <v>3</v>
      </c>
      <c r="AK525">
        <v>3</v>
      </c>
      <c r="AL525" t="s">
        <v>147</v>
      </c>
      <c r="AM525" t="s">
        <v>148</v>
      </c>
      <c r="AN525" t="s">
        <v>149</v>
      </c>
      <c r="AO525" t="s">
        <v>8300</v>
      </c>
      <c r="AP525" t="s">
        <v>8301</v>
      </c>
      <c r="AQ525" t="s">
        <v>74</v>
      </c>
      <c r="AR525" t="s">
        <v>8302</v>
      </c>
      <c r="AS525" t="s">
        <v>8303</v>
      </c>
      <c r="AT525" t="s">
        <v>6618</v>
      </c>
      <c r="AU525">
        <v>2023</v>
      </c>
      <c r="AV525">
        <v>166</v>
      </c>
      <c r="AW525" t="s">
        <v>74</v>
      </c>
      <c r="AX525" t="s">
        <v>74</v>
      </c>
      <c r="AY525" t="s">
        <v>74</v>
      </c>
      <c r="AZ525" t="s">
        <v>74</v>
      </c>
      <c r="BA525" t="s">
        <v>74</v>
      </c>
      <c r="BB525" t="s">
        <v>74</v>
      </c>
      <c r="BC525" t="s">
        <v>74</v>
      </c>
      <c r="BD525">
        <v>114150</v>
      </c>
      <c r="BE525" t="s">
        <v>9604</v>
      </c>
      <c r="BF525" t="str">
        <f>HYPERLINK("http://dx.doi.org/10.1016/j.jbusres.2023.114150","http://dx.doi.org/10.1016/j.jbusres.2023.114150")</f>
        <v>http://dx.doi.org/10.1016/j.jbusres.2023.114150</v>
      </c>
      <c r="BG525" t="s">
        <v>74</v>
      </c>
      <c r="BH525" t="s">
        <v>74</v>
      </c>
      <c r="BI525">
        <v>13</v>
      </c>
      <c r="BJ525" t="s">
        <v>8305</v>
      </c>
      <c r="BK525" t="s">
        <v>627</v>
      </c>
      <c r="BL525" t="s">
        <v>628</v>
      </c>
      <c r="BM525" t="s">
        <v>9605</v>
      </c>
      <c r="BN525" t="s">
        <v>74</v>
      </c>
      <c r="BO525" t="s">
        <v>295</v>
      </c>
      <c r="BP525" t="s">
        <v>74</v>
      </c>
      <c r="BQ525" t="s">
        <v>74</v>
      </c>
      <c r="BR525" t="s">
        <v>104</v>
      </c>
      <c r="BS525" t="s">
        <v>9606</v>
      </c>
      <c r="BT525" t="str">
        <f>HYPERLINK("https%3A%2F%2Fwww.webofscience.com%2Fwos%2Fwoscc%2Ffull-record%2FWOS:001040913400001","View Full Record in Web of Science")</f>
        <v>View Full Record in Web of Science</v>
      </c>
    </row>
    <row r="526" spans="1:72" x14ac:dyDescent="0.15">
      <c r="A526" t="s">
        <v>72</v>
      </c>
      <c r="B526" t="s">
        <v>9607</v>
      </c>
      <c r="C526" t="s">
        <v>74</v>
      </c>
      <c r="D526" t="s">
        <v>74</v>
      </c>
      <c r="E526" t="s">
        <v>74</v>
      </c>
      <c r="F526" t="s">
        <v>9608</v>
      </c>
      <c r="G526" t="s">
        <v>74</v>
      </c>
      <c r="H526" t="s">
        <v>74</v>
      </c>
      <c r="I526" t="s">
        <v>9609</v>
      </c>
      <c r="J526" t="s">
        <v>7109</v>
      </c>
      <c r="K526" t="s">
        <v>74</v>
      </c>
      <c r="L526" t="s">
        <v>74</v>
      </c>
      <c r="M526" t="s">
        <v>78</v>
      </c>
      <c r="N526" t="s">
        <v>79</v>
      </c>
      <c r="O526" t="s">
        <v>74</v>
      </c>
      <c r="P526" t="s">
        <v>74</v>
      </c>
      <c r="Q526" t="s">
        <v>74</v>
      </c>
      <c r="R526" t="s">
        <v>74</v>
      </c>
      <c r="S526" t="s">
        <v>74</v>
      </c>
      <c r="T526" t="s">
        <v>9610</v>
      </c>
      <c r="U526" t="s">
        <v>9611</v>
      </c>
      <c r="V526" t="s">
        <v>9612</v>
      </c>
      <c r="W526" t="s">
        <v>9613</v>
      </c>
      <c r="X526" t="s">
        <v>9614</v>
      </c>
      <c r="Y526" t="s">
        <v>9615</v>
      </c>
      <c r="Z526" t="s">
        <v>9616</v>
      </c>
      <c r="AA526" t="s">
        <v>74</v>
      </c>
      <c r="AB526" t="s">
        <v>9617</v>
      </c>
      <c r="AC526" t="s">
        <v>9618</v>
      </c>
      <c r="AD526" t="s">
        <v>9619</v>
      </c>
      <c r="AE526" t="s">
        <v>9620</v>
      </c>
      <c r="AF526" t="s">
        <v>74</v>
      </c>
      <c r="AG526">
        <v>53</v>
      </c>
      <c r="AH526">
        <v>0</v>
      </c>
      <c r="AI526">
        <v>0</v>
      </c>
      <c r="AJ526">
        <v>8</v>
      </c>
      <c r="AK526">
        <v>8</v>
      </c>
      <c r="AL526" t="s">
        <v>90</v>
      </c>
      <c r="AM526" t="s">
        <v>91</v>
      </c>
      <c r="AN526" t="s">
        <v>92</v>
      </c>
      <c r="AO526" t="s">
        <v>7119</v>
      </c>
      <c r="AP526" t="s">
        <v>7120</v>
      </c>
      <c r="AQ526" t="s">
        <v>74</v>
      </c>
      <c r="AR526" t="s">
        <v>7121</v>
      </c>
      <c r="AS526" t="s">
        <v>7122</v>
      </c>
      <c r="AT526" t="s">
        <v>6618</v>
      </c>
      <c r="AU526">
        <v>2023</v>
      </c>
      <c r="AV526">
        <v>173</v>
      </c>
      <c r="AW526" t="s">
        <v>74</v>
      </c>
      <c r="AX526">
        <v>1</v>
      </c>
      <c r="AY526" t="s">
        <v>74</v>
      </c>
      <c r="AZ526" t="s">
        <v>74</v>
      </c>
      <c r="BA526" t="s">
        <v>74</v>
      </c>
      <c r="BB526" t="s">
        <v>74</v>
      </c>
      <c r="BC526" t="s">
        <v>74</v>
      </c>
      <c r="BD526">
        <v>113284</v>
      </c>
      <c r="BE526" t="s">
        <v>9621</v>
      </c>
      <c r="BF526" t="str">
        <f>HYPERLINK("http://dx.doi.org/10.1016/j.foodres.2023.113284","http://dx.doi.org/10.1016/j.foodres.2023.113284")</f>
        <v>http://dx.doi.org/10.1016/j.foodres.2023.113284</v>
      </c>
      <c r="BG526" t="s">
        <v>74</v>
      </c>
      <c r="BH526" t="s">
        <v>74</v>
      </c>
      <c r="BI526">
        <v>10</v>
      </c>
      <c r="BJ526" t="s">
        <v>1033</v>
      </c>
      <c r="BK526" t="s">
        <v>100</v>
      </c>
      <c r="BL526" t="s">
        <v>1033</v>
      </c>
      <c r="BM526" t="s">
        <v>9622</v>
      </c>
      <c r="BN526" t="s">
        <v>74</v>
      </c>
      <c r="BO526" t="s">
        <v>295</v>
      </c>
      <c r="BP526" t="s">
        <v>74</v>
      </c>
      <c r="BQ526" t="s">
        <v>74</v>
      </c>
      <c r="BR526" t="s">
        <v>104</v>
      </c>
      <c r="BS526" t="s">
        <v>9623</v>
      </c>
      <c r="BT526" t="str">
        <f>HYPERLINK("https%3A%2F%2Fwww.webofscience.com%2Fwos%2Fwoscc%2Ffull-record%2FWOS:001047445500001","View Full Record in Web of Science")</f>
        <v>View Full Record in Web of Science</v>
      </c>
    </row>
    <row r="527" spans="1:72" x14ac:dyDescent="0.15">
      <c r="A527" t="s">
        <v>72</v>
      </c>
      <c r="B527" t="s">
        <v>9624</v>
      </c>
      <c r="C527" t="s">
        <v>74</v>
      </c>
      <c r="D527" t="s">
        <v>74</v>
      </c>
      <c r="E527" t="s">
        <v>74</v>
      </c>
      <c r="F527" t="s">
        <v>9625</v>
      </c>
      <c r="G527" t="s">
        <v>74</v>
      </c>
      <c r="H527" t="s">
        <v>74</v>
      </c>
      <c r="I527" t="s">
        <v>9626</v>
      </c>
      <c r="J527" t="s">
        <v>9627</v>
      </c>
      <c r="K527" t="s">
        <v>74</v>
      </c>
      <c r="L527" t="s">
        <v>74</v>
      </c>
      <c r="M527" t="s">
        <v>78</v>
      </c>
      <c r="N527" t="s">
        <v>79</v>
      </c>
      <c r="O527" t="s">
        <v>74</v>
      </c>
      <c r="P527" t="s">
        <v>74</v>
      </c>
      <c r="Q527" t="s">
        <v>74</v>
      </c>
      <c r="R527" t="s">
        <v>74</v>
      </c>
      <c r="S527" t="s">
        <v>74</v>
      </c>
      <c r="T527" t="s">
        <v>9628</v>
      </c>
      <c r="U527" t="s">
        <v>9629</v>
      </c>
      <c r="V527" t="s">
        <v>9630</v>
      </c>
      <c r="W527" t="s">
        <v>9631</v>
      </c>
      <c r="X527" t="s">
        <v>9632</v>
      </c>
      <c r="Y527" t="s">
        <v>9633</v>
      </c>
      <c r="Z527" t="s">
        <v>9634</v>
      </c>
      <c r="AA527" t="s">
        <v>74</v>
      </c>
      <c r="AB527" t="s">
        <v>74</v>
      </c>
      <c r="AC527" t="s">
        <v>9635</v>
      </c>
      <c r="AD527" t="s">
        <v>9636</v>
      </c>
      <c r="AE527" t="s">
        <v>9637</v>
      </c>
      <c r="AF527" t="s">
        <v>74</v>
      </c>
      <c r="AG527">
        <v>53</v>
      </c>
      <c r="AH527">
        <v>0</v>
      </c>
      <c r="AI527">
        <v>0</v>
      </c>
      <c r="AJ527">
        <v>0</v>
      </c>
      <c r="AK527">
        <v>0</v>
      </c>
      <c r="AL527" t="s">
        <v>955</v>
      </c>
      <c r="AM527" t="s">
        <v>956</v>
      </c>
      <c r="AN527" t="s">
        <v>957</v>
      </c>
      <c r="AO527" t="s">
        <v>9638</v>
      </c>
      <c r="AP527" t="s">
        <v>9639</v>
      </c>
      <c r="AQ527" t="s">
        <v>74</v>
      </c>
      <c r="AR527" t="s">
        <v>9640</v>
      </c>
      <c r="AS527" t="s">
        <v>9641</v>
      </c>
      <c r="AT527" t="s">
        <v>6618</v>
      </c>
      <c r="AU527">
        <v>2023</v>
      </c>
      <c r="AV527">
        <v>184</v>
      </c>
      <c r="AW527" t="s">
        <v>74</v>
      </c>
      <c r="AX527" t="s">
        <v>74</v>
      </c>
      <c r="AY527" t="s">
        <v>74</v>
      </c>
      <c r="AZ527" t="s">
        <v>74</v>
      </c>
      <c r="BA527" t="s">
        <v>74</v>
      </c>
      <c r="BB527" t="s">
        <v>74</v>
      </c>
      <c r="BC527" t="s">
        <v>74</v>
      </c>
      <c r="BD527">
        <v>107868</v>
      </c>
      <c r="BE527" t="s">
        <v>9642</v>
      </c>
      <c r="BF527" t="str">
        <f>HYPERLINK("http://dx.doi.org/10.1016/j.porgcoat.2023.107868","http://dx.doi.org/10.1016/j.porgcoat.2023.107868")</f>
        <v>http://dx.doi.org/10.1016/j.porgcoat.2023.107868</v>
      </c>
      <c r="BG527" t="s">
        <v>74</v>
      </c>
      <c r="BH527" t="s">
        <v>74</v>
      </c>
      <c r="BI527">
        <v>11</v>
      </c>
      <c r="BJ527" t="s">
        <v>9643</v>
      </c>
      <c r="BK527" t="s">
        <v>100</v>
      </c>
      <c r="BL527" t="s">
        <v>9644</v>
      </c>
      <c r="BM527" t="s">
        <v>9645</v>
      </c>
      <c r="BN527" t="s">
        <v>74</v>
      </c>
      <c r="BO527" t="s">
        <v>74</v>
      </c>
      <c r="BP527" t="s">
        <v>74</v>
      </c>
      <c r="BQ527" t="s">
        <v>74</v>
      </c>
      <c r="BR527" t="s">
        <v>104</v>
      </c>
      <c r="BS527" t="s">
        <v>9646</v>
      </c>
      <c r="BT527" t="str">
        <f>HYPERLINK("https%3A%2F%2Fwww.webofscience.com%2Fwos%2Fwoscc%2Ffull-record%2FWOS:001066002900001","View Full Record in Web of Science")</f>
        <v>View Full Record in Web of Science</v>
      </c>
    </row>
    <row r="528" spans="1:72" x14ac:dyDescent="0.15">
      <c r="A528" t="s">
        <v>72</v>
      </c>
      <c r="B528" t="s">
        <v>9647</v>
      </c>
      <c r="C528" t="s">
        <v>74</v>
      </c>
      <c r="D528" t="s">
        <v>74</v>
      </c>
      <c r="E528" t="s">
        <v>74</v>
      </c>
      <c r="F528" t="s">
        <v>9648</v>
      </c>
      <c r="G528" t="s">
        <v>74</v>
      </c>
      <c r="H528" t="s">
        <v>74</v>
      </c>
      <c r="I528" t="s">
        <v>9649</v>
      </c>
      <c r="J528" t="s">
        <v>3823</v>
      </c>
      <c r="K528" t="s">
        <v>74</v>
      </c>
      <c r="L528" t="s">
        <v>74</v>
      </c>
      <c r="M528" t="s">
        <v>78</v>
      </c>
      <c r="N528" t="s">
        <v>79</v>
      </c>
      <c r="O528" t="s">
        <v>74</v>
      </c>
      <c r="P528" t="s">
        <v>74</v>
      </c>
      <c r="Q528" t="s">
        <v>74</v>
      </c>
      <c r="R528" t="s">
        <v>74</v>
      </c>
      <c r="S528" t="s">
        <v>74</v>
      </c>
      <c r="T528" t="s">
        <v>9650</v>
      </c>
      <c r="U528" t="s">
        <v>9651</v>
      </c>
      <c r="V528" t="s">
        <v>9652</v>
      </c>
      <c r="W528" t="s">
        <v>9653</v>
      </c>
      <c r="X528" t="s">
        <v>9654</v>
      </c>
      <c r="Y528" t="s">
        <v>9655</v>
      </c>
      <c r="Z528" t="s">
        <v>9656</v>
      </c>
      <c r="AA528" t="s">
        <v>9657</v>
      </c>
      <c r="AB528" t="s">
        <v>9658</v>
      </c>
      <c r="AC528" t="s">
        <v>9659</v>
      </c>
      <c r="AD528" t="s">
        <v>9660</v>
      </c>
      <c r="AE528" t="s">
        <v>9661</v>
      </c>
      <c r="AF528" t="s">
        <v>74</v>
      </c>
      <c r="AG528">
        <v>49</v>
      </c>
      <c r="AH528">
        <v>1</v>
      </c>
      <c r="AI528">
        <v>1</v>
      </c>
      <c r="AJ528">
        <v>3</v>
      </c>
      <c r="AK528">
        <v>3</v>
      </c>
      <c r="AL528" t="s">
        <v>90</v>
      </c>
      <c r="AM528" t="s">
        <v>91</v>
      </c>
      <c r="AN528" t="s">
        <v>92</v>
      </c>
      <c r="AO528" t="s">
        <v>3836</v>
      </c>
      <c r="AP528" t="s">
        <v>3837</v>
      </c>
      <c r="AQ528" t="s">
        <v>74</v>
      </c>
      <c r="AR528" t="s">
        <v>3838</v>
      </c>
      <c r="AS528" t="s">
        <v>3839</v>
      </c>
      <c r="AT528" t="s">
        <v>6659</v>
      </c>
      <c r="AU528">
        <v>2023</v>
      </c>
      <c r="AV528">
        <v>423</v>
      </c>
      <c r="AW528" t="s">
        <v>74</v>
      </c>
      <c r="AX528" t="s">
        <v>74</v>
      </c>
      <c r="AY528" t="s">
        <v>74</v>
      </c>
      <c r="AZ528" t="s">
        <v>74</v>
      </c>
      <c r="BA528" t="s">
        <v>74</v>
      </c>
      <c r="BB528" t="s">
        <v>74</v>
      </c>
      <c r="BC528" t="s">
        <v>74</v>
      </c>
      <c r="BD528">
        <v>114010</v>
      </c>
      <c r="BE528" t="s">
        <v>9662</v>
      </c>
      <c r="BF528" t="str">
        <f>HYPERLINK("http://dx.doi.org/10.1016/j.cattod.2023.01.017","http://dx.doi.org/10.1016/j.cattod.2023.01.017")</f>
        <v>http://dx.doi.org/10.1016/j.cattod.2023.01.017</v>
      </c>
      <c r="BG528" t="s">
        <v>74</v>
      </c>
      <c r="BH528" t="s">
        <v>74</v>
      </c>
      <c r="BI528">
        <v>11</v>
      </c>
      <c r="BJ528" t="s">
        <v>3841</v>
      </c>
      <c r="BK528" t="s">
        <v>100</v>
      </c>
      <c r="BL528" t="s">
        <v>458</v>
      </c>
      <c r="BM528" t="s">
        <v>9663</v>
      </c>
      <c r="BN528" t="s">
        <v>74</v>
      </c>
      <c r="BO528" t="s">
        <v>4366</v>
      </c>
      <c r="BP528" t="s">
        <v>74</v>
      </c>
      <c r="BQ528" t="s">
        <v>74</v>
      </c>
      <c r="BR528" t="s">
        <v>104</v>
      </c>
      <c r="BS528" t="s">
        <v>9664</v>
      </c>
      <c r="BT528" t="str">
        <f>HYPERLINK("https%3A%2F%2Fwww.webofscience.com%2Fwos%2Fwoscc%2Ffull-record%2FWOS:001062186100001","View Full Record in Web of Science")</f>
        <v>View Full Record in Web of Science</v>
      </c>
    </row>
    <row r="529" spans="1:72" x14ac:dyDescent="0.15">
      <c r="A529" t="s">
        <v>72</v>
      </c>
      <c r="B529" t="s">
        <v>9665</v>
      </c>
      <c r="C529" t="s">
        <v>74</v>
      </c>
      <c r="D529" t="s">
        <v>74</v>
      </c>
      <c r="E529" t="s">
        <v>74</v>
      </c>
      <c r="F529" t="s">
        <v>9666</v>
      </c>
      <c r="G529" t="s">
        <v>74</v>
      </c>
      <c r="H529" t="s">
        <v>74</v>
      </c>
      <c r="I529" t="s">
        <v>9667</v>
      </c>
      <c r="J529" t="s">
        <v>947</v>
      </c>
      <c r="K529" t="s">
        <v>74</v>
      </c>
      <c r="L529" t="s">
        <v>74</v>
      </c>
      <c r="M529" t="s">
        <v>78</v>
      </c>
      <c r="N529" t="s">
        <v>79</v>
      </c>
      <c r="O529" t="s">
        <v>74</v>
      </c>
      <c r="P529" t="s">
        <v>74</v>
      </c>
      <c r="Q529" t="s">
        <v>74</v>
      </c>
      <c r="R529" t="s">
        <v>74</v>
      </c>
      <c r="S529" t="s">
        <v>74</v>
      </c>
      <c r="T529" t="s">
        <v>9668</v>
      </c>
      <c r="U529" t="s">
        <v>9669</v>
      </c>
      <c r="V529" t="s">
        <v>9670</v>
      </c>
      <c r="W529" t="s">
        <v>9671</v>
      </c>
      <c r="X529" t="s">
        <v>9672</v>
      </c>
      <c r="Y529" t="s">
        <v>9673</v>
      </c>
      <c r="Z529" t="s">
        <v>9674</v>
      </c>
      <c r="AA529" t="s">
        <v>74</v>
      </c>
      <c r="AB529" t="s">
        <v>9675</v>
      </c>
      <c r="AC529" t="s">
        <v>9676</v>
      </c>
      <c r="AD529" t="s">
        <v>9677</v>
      </c>
      <c r="AE529" t="s">
        <v>9678</v>
      </c>
      <c r="AF529" t="s">
        <v>74</v>
      </c>
      <c r="AG529">
        <v>44</v>
      </c>
      <c r="AH529">
        <v>0</v>
      </c>
      <c r="AI529">
        <v>0</v>
      </c>
      <c r="AJ529">
        <v>2</v>
      </c>
      <c r="AK529">
        <v>2</v>
      </c>
      <c r="AL529" t="s">
        <v>955</v>
      </c>
      <c r="AM529" t="s">
        <v>956</v>
      </c>
      <c r="AN529" t="s">
        <v>957</v>
      </c>
      <c r="AO529" t="s">
        <v>958</v>
      </c>
      <c r="AP529" t="s">
        <v>959</v>
      </c>
      <c r="AQ529" t="s">
        <v>74</v>
      </c>
      <c r="AR529" t="s">
        <v>960</v>
      </c>
      <c r="AS529" t="s">
        <v>961</v>
      </c>
      <c r="AT529" t="s">
        <v>6659</v>
      </c>
      <c r="AU529">
        <v>2023</v>
      </c>
      <c r="AV529">
        <v>445</v>
      </c>
      <c r="AW529" t="s">
        <v>74</v>
      </c>
      <c r="AX529" t="s">
        <v>74</v>
      </c>
      <c r="AY529" t="s">
        <v>74</v>
      </c>
      <c r="AZ529" t="s">
        <v>74</v>
      </c>
      <c r="BA529" t="s">
        <v>74</v>
      </c>
      <c r="BB529" t="s">
        <v>74</v>
      </c>
      <c r="BC529" t="s">
        <v>74</v>
      </c>
      <c r="BD529">
        <v>114982</v>
      </c>
      <c r="BE529" t="s">
        <v>9679</v>
      </c>
      <c r="BF529" t="str">
        <f>HYPERLINK("http://dx.doi.org/10.1016/j.jphotochem.2023.114982","http://dx.doi.org/10.1016/j.jphotochem.2023.114982")</f>
        <v>http://dx.doi.org/10.1016/j.jphotochem.2023.114982</v>
      </c>
      <c r="BG529" t="s">
        <v>74</v>
      </c>
      <c r="BH529" t="s">
        <v>74</v>
      </c>
      <c r="BI529">
        <v>14</v>
      </c>
      <c r="BJ529" t="s">
        <v>394</v>
      </c>
      <c r="BK529" t="s">
        <v>100</v>
      </c>
      <c r="BL529" t="s">
        <v>395</v>
      </c>
      <c r="BM529" t="s">
        <v>9680</v>
      </c>
      <c r="BN529" t="s">
        <v>74</v>
      </c>
      <c r="BO529" t="s">
        <v>103</v>
      </c>
      <c r="BP529" t="s">
        <v>74</v>
      </c>
      <c r="BQ529" t="s">
        <v>74</v>
      </c>
      <c r="BR529" t="s">
        <v>104</v>
      </c>
      <c r="BS529" t="s">
        <v>9681</v>
      </c>
      <c r="BT529" t="str">
        <f>HYPERLINK("https%3A%2F%2Fwww.webofscience.com%2Fwos%2Fwoscc%2Ffull-record%2FWOS:001056668100001","View Full Record in Web of Science")</f>
        <v>View Full Record in Web of Science</v>
      </c>
    </row>
    <row r="530" spans="1:72" x14ac:dyDescent="0.15">
      <c r="A530" t="s">
        <v>72</v>
      </c>
      <c r="B530" t="s">
        <v>9682</v>
      </c>
      <c r="C530" t="s">
        <v>74</v>
      </c>
      <c r="D530" t="s">
        <v>74</v>
      </c>
      <c r="E530" t="s">
        <v>74</v>
      </c>
      <c r="F530" t="s">
        <v>9683</v>
      </c>
      <c r="G530" t="s">
        <v>74</v>
      </c>
      <c r="H530" t="s">
        <v>74</v>
      </c>
      <c r="I530" t="s">
        <v>9684</v>
      </c>
      <c r="J530" t="s">
        <v>7635</v>
      </c>
      <c r="K530" t="s">
        <v>74</v>
      </c>
      <c r="L530" t="s">
        <v>74</v>
      </c>
      <c r="M530" t="s">
        <v>78</v>
      </c>
      <c r="N530" t="s">
        <v>79</v>
      </c>
      <c r="O530" t="s">
        <v>74</v>
      </c>
      <c r="P530" t="s">
        <v>74</v>
      </c>
      <c r="Q530" t="s">
        <v>74</v>
      </c>
      <c r="R530" t="s">
        <v>74</v>
      </c>
      <c r="S530" t="s">
        <v>74</v>
      </c>
      <c r="T530" t="s">
        <v>9685</v>
      </c>
      <c r="U530" t="s">
        <v>74</v>
      </c>
      <c r="V530" t="s">
        <v>9686</v>
      </c>
      <c r="W530" t="s">
        <v>9687</v>
      </c>
      <c r="X530" t="s">
        <v>9688</v>
      </c>
      <c r="Y530" t="s">
        <v>9689</v>
      </c>
      <c r="Z530" t="s">
        <v>9690</v>
      </c>
      <c r="AA530" t="s">
        <v>74</v>
      </c>
      <c r="AB530" t="s">
        <v>74</v>
      </c>
      <c r="AC530" t="s">
        <v>9691</v>
      </c>
      <c r="AD530" t="s">
        <v>9692</v>
      </c>
      <c r="AE530" t="s">
        <v>9693</v>
      </c>
      <c r="AF530" t="s">
        <v>74</v>
      </c>
      <c r="AG530">
        <v>35</v>
      </c>
      <c r="AH530">
        <v>0</v>
      </c>
      <c r="AI530">
        <v>0</v>
      </c>
      <c r="AJ530">
        <v>1</v>
      </c>
      <c r="AK530">
        <v>1</v>
      </c>
      <c r="AL530" t="s">
        <v>173</v>
      </c>
      <c r="AM530" t="s">
        <v>121</v>
      </c>
      <c r="AN530" t="s">
        <v>174</v>
      </c>
      <c r="AO530" t="s">
        <v>7644</v>
      </c>
      <c r="AP530" t="s">
        <v>7645</v>
      </c>
      <c r="AQ530" t="s">
        <v>74</v>
      </c>
      <c r="AR530" t="s">
        <v>7646</v>
      </c>
      <c r="AS530" t="s">
        <v>7647</v>
      </c>
      <c r="AT530" t="s">
        <v>6618</v>
      </c>
      <c r="AU530">
        <v>2023</v>
      </c>
      <c r="AV530">
        <v>212</v>
      </c>
      <c r="AW530" t="s">
        <v>74</v>
      </c>
      <c r="AX530" t="s">
        <v>74</v>
      </c>
      <c r="AY530" t="s">
        <v>74</v>
      </c>
      <c r="AZ530" t="s">
        <v>74</v>
      </c>
      <c r="BA530" t="s">
        <v>74</v>
      </c>
      <c r="BB530">
        <v>160</v>
      </c>
      <c r="BC530">
        <v>176</v>
      </c>
      <c r="BD530" t="s">
        <v>74</v>
      </c>
      <c r="BE530" t="s">
        <v>9694</v>
      </c>
      <c r="BF530" t="str">
        <f>HYPERLINK("http://dx.doi.org/10.1016/j.actaastro.2023.07.037","http://dx.doi.org/10.1016/j.actaastro.2023.07.037")</f>
        <v>http://dx.doi.org/10.1016/j.actaastro.2023.07.037</v>
      </c>
      <c r="BG530" t="s">
        <v>74</v>
      </c>
      <c r="BH530" t="s">
        <v>74</v>
      </c>
      <c r="BI530">
        <v>17</v>
      </c>
      <c r="BJ530" t="s">
        <v>7649</v>
      </c>
      <c r="BK530" t="s">
        <v>100</v>
      </c>
      <c r="BL530" t="s">
        <v>873</v>
      </c>
      <c r="BM530" t="s">
        <v>9695</v>
      </c>
      <c r="BN530" t="s">
        <v>74</v>
      </c>
      <c r="BO530" t="s">
        <v>9696</v>
      </c>
      <c r="BP530" t="s">
        <v>74</v>
      </c>
      <c r="BQ530" t="s">
        <v>74</v>
      </c>
      <c r="BR530" t="s">
        <v>104</v>
      </c>
      <c r="BS530" t="s">
        <v>9697</v>
      </c>
      <c r="BT530" t="str">
        <f>HYPERLINK("https%3A%2F%2Fwww.webofscience.com%2Fwos%2Fwoscc%2Ffull-record%2FWOS:001060837800001","View Full Record in Web of Science")</f>
        <v>View Full Record in Web of Science</v>
      </c>
    </row>
    <row r="531" spans="1:72" x14ac:dyDescent="0.15">
      <c r="A531" t="s">
        <v>72</v>
      </c>
      <c r="B531" t="s">
        <v>9698</v>
      </c>
      <c r="C531" t="s">
        <v>74</v>
      </c>
      <c r="D531" t="s">
        <v>74</v>
      </c>
      <c r="E531" t="s">
        <v>74</v>
      </c>
      <c r="F531" t="s">
        <v>9699</v>
      </c>
      <c r="G531" t="s">
        <v>74</v>
      </c>
      <c r="H531" t="s">
        <v>74</v>
      </c>
      <c r="I531" t="s">
        <v>9700</v>
      </c>
      <c r="J531" t="s">
        <v>9701</v>
      </c>
      <c r="K531" t="s">
        <v>74</v>
      </c>
      <c r="L531" t="s">
        <v>74</v>
      </c>
      <c r="M531" t="s">
        <v>78</v>
      </c>
      <c r="N531" t="s">
        <v>79</v>
      </c>
      <c r="O531" t="s">
        <v>74</v>
      </c>
      <c r="P531" t="s">
        <v>74</v>
      </c>
      <c r="Q531" t="s">
        <v>74</v>
      </c>
      <c r="R531" t="s">
        <v>74</v>
      </c>
      <c r="S531" t="s">
        <v>74</v>
      </c>
      <c r="T531" t="s">
        <v>9702</v>
      </c>
      <c r="U531" t="s">
        <v>9703</v>
      </c>
      <c r="V531" t="s">
        <v>9704</v>
      </c>
      <c r="W531" t="s">
        <v>9705</v>
      </c>
      <c r="X531" t="s">
        <v>9706</v>
      </c>
      <c r="Y531" t="s">
        <v>9707</v>
      </c>
      <c r="Z531" t="s">
        <v>9708</v>
      </c>
      <c r="AA531" t="s">
        <v>74</v>
      </c>
      <c r="AB531" t="s">
        <v>74</v>
      </c>
      <c r="AC531" t="s">
        <v>9709</v>
      </c>
      <c r="AD531" t="s">
        <v>9709</v>
      </c>
      <c r="AE531" t="s">
        <v>9710</v>
      </c>
      <c r="AF531" t="s">
        <v>74</v>
      </c>
      <c r="AG531">
        <v>51</v>
      </c>
      <c r="AH531">
        <v>0</v>
      </c>
      <c r="AI531">
        <v>0</v>
      </c>
      <c r="AJ531">
        <v>2</v>
      </c>
      <c r="AK531">
        <v>2</v>
      </c>
      <c r="AL531" t="s">
        <v>90</v>
      </c>
      <c r="AM531" t="s">
        <v>91</v>
      </c>
      <c r="AN531" t="s">
        <v>92</v>
      </c>
      <c r="AO531" t="s">
        <v>9711</v>
      </c>
      <c r="AP531" t="s">
        <v>9712</v>
      </c>
      <c r="AQ531" t="s">
        <v>74</v>
      </c>
      <c r="AR531" t="s">
        <v>9713</v>
      </c>
      <c r="AS531" t="s">
        <v>9714</v>
      </c>
      <c r="AT531" t="s">
        <v>6618</v>
      </c>
      <c r="AU531">
        <v>2023</v>
      </c>
      <c r="AV531">
        <v>267</v>
      </c>
      <c r="AW531" t="s">
        <v>74</v>
      </c>
      <c r="AX531" t="s">
        <v>74</v>
      </c>
      <c r="AY531" t="s">
        <v>74</v>
      </c>
      <c r="AZ531" t="s">
        <v>74</v>
      </c>
      <c r="BA531" t="s">
        <v>74</v>
      </c>
      <c r="BB531" t="s">
        <v>74</v>
      </c>
      <c r="BC531" t="s">
        <v>74</v>
      </c>
      <c r="BD531">
        <v>106819</v>
      </c>
      <c r="BE531" t="s">
        <v>9715</v>
      </c>
      <c r="BF531" t="str">
        <f>HYPERLINK("http://dx.doi.org/10.1016/j.fishres.2023.106819","http://dx.doi.org/10.1016/j.fishres.2023.106819")</f>
        <v>http://dx.doi.org/10.1016/j.fishres.2023.106819</v>
      </c>
      <c r="BG531" t="s">
        <v>74</v>
      </c>
      <c r="BH531" t="s">
        <v>74</v>
      </c>
      <c r="BI531">
        <v>8</v>
      </c>
      <c r="BJ531" t="s">
        <v>9716</v>
      </c>
      <c r="BK531" t="s">
        <v>100</v>
      </c>
      <c r="BL531" t="s">
        <v>9716</v>
      </c>
      <c r="BM531" t="s">
        <v>9717</v>
      </c>
      <c r="BN531" t="s">
        <v>74</v>
      </c>
      <c r="BO531" t="s">
        <v>74</v>
      </c>
      <c r="BP531" t="s">
        <v>74</v>
      </c>
      <c r="BQ531" t="s">
        <v>74</v>
      </c>
      <c r="BR531" t="s">
        <v>104</v>
      </c>
      <c r="BS531" t="s">
        <v>9718</v>
      </c>
      <c r="BT531" t="str">
        <f>HYPERLINK("https%3A%2F%2Fwww.webofscience.com%2Fwos%2Fwoscc%2Ffull-record%2FWOS:001060601800001","View Full Record in Web of Science")</f>
        <v>View Full Record in Web of Science</v>
      </c>
    </row>
    <row r="532" spans="1:72" x14ac:dyDescent="0.15">
      <c r="A532" t="s">
        <v>72</v>
      </c>
      <c r="B532" t="s">
        <v>9719</v>
      </c>
      <c r="C532" t="s">
        <v>74</v>
      </c>
      <c r="D532" t="s">
        <v>74</v>
      </c>
      <c r="E532" t="s">
        <v>74</v>
      </c>
      <c r="F532" t="s">
        <v>9720</v>
      </c>
      <c r="G532" t="s">
        <v>74</v>
      </c>
      <c r="H532" t="s">
        <v>74</v>
      </c>
      <c r="I532" t="s">
        <v>9721</v>
      </c>
      <c r="J532" t="s">
        <v>9722</v>
      </c>
      <c r="K532" t="s">
        <v>74</v>
      </c>
      <c r="L532" t="s">
        <v>74</v>
      </c>
      <c r="M532" t="s">
        <v>78</v>
      </c>
      <c r="N532" t="s">
        <v>79</v>
      </c>
      <c r="O532" t="s">
        <v>74</v>
      </c>
      <c r="P532" t="s">
        <v>74</v>
      </c>
      <c r="Q532" t="s">
        <v>74</v>
      </c>
      <c r="R532" t="s">
        <v>74</v>
      </c>
      <c r="S532" t="s">
        <v>74</v>
      </c>
      <c r="T532" t="s">
        <v>9723</v>
      </c>
      <c r="U532" t="s">
        <v>9724</v>
      </c>
      <c r="V532" t="s">
        <v>9725</v>
      </c>
      <c r="W532" t="s">
        <v>9726</v>
      </c>
      <c r="X532" t="s">
        <v>9727</v>
      </c>
      <c r="Y532" t="s">
        <v>9728</v>
      </c>
      <c r="Z532" t="s">
        <v>74</v>
      </c>
      <c r="AA532" t="s">
        <v>74</v>
      </c>
      <c r="AB532" t="s">
        <v>74</v>
      </c>
      <c r="AC532" t="s">
        <v>9729</v>
      </c>
      <c r="AD532" t="s">
        <v>171</v>
      </c>
      <c r="AE532" t="s">
        <v>9730</v>
      </c>
      <c r="AF532" t="s">
        <v>74</v>
      </c>
      <c r="AG532">
        <v>63</v>
      </c>
      <c r="AH532">
        <v>0</v>
      </c>
      <c r="AI532">
        <v>0</v>
      </c>
      <c r="AJ532">
        <v>0</v>
      </c>
      <c r="AK532">
        <v>0</v>
      </c>
      <c r="AL532" t="s">
        <v>120</v>
      </c>
      <c r="AM532" t="s">
        <v>121</v>
      </c>
      <c r="AN532" t="s">
        <v>122</v>
      </c>
      <c r="AO532" t="s">
        <v>9731</v>
      </c>
      <c r="AP532" t="s">
        <v>9732</v>
      </c>
      <c r="AQ532" t="s">
        <v>74</v>
      </c>
      <c r="AR532" t="s">
        <v>9733</v>
      </c>
      <c r="AS532" t="s">
        <v>9734</v>
      </c>
      <c r="AT532" t="s">
        <v>6618</v>
      </c>
      <c r="AU532">
        <v>2023</v>
      </c>
      <c r="AV532">
        <v>157</v>
      </c>
      <c r="AW532" t="s">
        <v>74</v>
      </c>
      <c r="AX532" t="s">
        <v>74</v>
      </c>
      <c r="AY532" t="s">
        <v>74</v>
      </c>
      <c r="AZ532" t="s">
        <v>74</v>
      </c>
      <c r="BA532" t="s">
        <v>74</v>
      </c>
      <c r="BB532" t="s">
        <v>74</v>
      </c>
      <c r="BC532" t="s">
        <v>74</v>
      </c>
      <c r="BD532">
        <v>106476</v>
      </c>
      <c r="BE532" t="s">
        <v>9735</v>
      </c>
      <c r="BF532" t="str">
        <f>HYPERLINK("http://dx.doi.org/10.1016/j.marpetgeo.2023.106476","http://dx.doi.org/10.1016/j.marpetgeo.2023.106476")</f>
        <v>http://dx.doi.org/10.1016/j.marpetgeo.2023.106476</v>
      </c>
      <c r="BG532" t="s">
        <v>74</v>
      </c>
      <c r="BH532" t="s">
        <v>74</v>
      </c>
      <c r="BI532">
        <v>19</v>
      </c>
      <c r="BJ532" t="s">
        <v>2748</v>
      </c>
      <c r="BK532" t="s">
        <v>100</v>
      </c>
      <c r="BL532" t="s">
        <v>2749</v>
      </c>
      <c r="BM532" t="s">
        <v>9736</v>
      </c>
      <c r="BN532" t="s">
        <v>74</v>
      </c>
      <c r="BO532" t="s">
        <v>74</v>
      </c>
      <c r="BP532" t="s">
        <v>74</v>
      </c>
      <c r="BQ532" t="s">
        <v>74</v>
      </c>
      <c r="BR532" t="s">
        <v>104</v>
      </c>
      <c r="BS532" t="s">
        <v>9737</v>
      </c>
      <c r="BT532" t="str">
        <f>HYPERLINK("https%3A%2F%2Fwww.webofscience.com%2Fwos%2Fwoscc%2Ffull-record%2FWOS:001073607600001","View Full Record in Web of Science")</f>
        <v>View Full Record in Web of Science</v>
      </c>
    </row>
    <row r="533" spans="1:72" x14ac:dyDescent="0.15">
      <c r="A533" t="s">
        <v>72</v>
      </c>
      <c r="B533" t="s">
        <v>9738</v>
      </c>
      <c r="C533" t="s">
        <v>74</v>
      </c>
      <c r="D533" t="s">
        <v>74</v>
      </c>
      <c r="E533" t="s">
        <v>74</v>
      </c>
      <c r="F533" t="s">
        <v>9739</v>
      </c>
      <c r="G533" t="s">
        <v>74</v>
      </c>
      <c r="H533" t="s">
        <v>74</v>
      </c>
      <c r="I533" t="s">
        <v>9740</v>
      </c>
      <c r="J533" t="s">
        <v>1950</v>
      </c>
      <c r="K533" t="s">
        <v>74</v>
      </c>
      <c r="L533" t="s">
        <v>74</v>
      </c>
      <c r="M533" t="s">
        <v>78</v>
      </c>
      <c r="N533" t="s">
        <v>79</v>
      </c>
      <c r="O533" t="s">
        <v>74</v>
      </c>
      <c r="P533" t="s">
        <v>74</v>
      </c>
      <c r="Q533" t="s">
        <v>74</v>
      </c>
      <c r="R533" t="s">
        <v>74</v>
      </c>
      <c r="S533" t="s">
        <v>74</v>
      </c>
      <c r="T533" t="s">
        <v>9741</v>
      </c>
      <c r="U533" t="s">
        <v>74</v>
      </c>
      <c r="V533" t="s">
        <v>9742</v>
      </c>
      <c r="W533" t="s">
        <v>9743</v>
      </c>
      <c r="X533" t="s">
        <v>9744</v>
      </c>
      <c r="Y533" t="s">
        <v>9745</v>
      </c>
      <c r="Z533" t="s">
        <v>9746</v>
      </c>
      <c r="AA533" t="s">
        <v>74</v>
      </c>
      <c r="AB533" t="s">
        <v>74</v>
      </c>
      <c r="AC533" t="s">
        <v>9747</v>
      </c>
      <c r="AD533" t="s">
        <v>9748</v>
      </c>
      <c r="AE533" t="s">
        <v>9749</v>
      </c>
      <c r="AF533" t="s">
        <v>74</v>
      </c>
      <c r="AG533">
        <v>47</v>
      </c>
      <c r="AH533">
        <v>0</v>
      </c>
      <c r="AI533">
        <v>0</v>
      </c>
      <c r="AJ533">
        <v>8</v>
      </c>
      <c r="AK533">
        <v>8</v>
      </c>
      <c r="AL533" t="s">
        <v>173</v>
      </c>
      <c r="AM533" t="s">
        <v>121</v>
      </c>
      <c r="AN533" t="s">
        <v>174</v>
      </c>
      <c r="AO533" t="s">
        <v>1963</v>
      </c>
      <c r="AP533" t="s">
        <v>1964</v>
      </c>
      <c r="AQ533" t="s">
        <v>74</v>
      </c>
      <c r="AR533" t="s">
        <v>1950</v>
      </c>
      <c r="AS533" t="s">
        <v>1965</v>
      </c>
      <c r="AT533" t="s">
        <v>6659</v>
      </c>
      <c r="AU533">
        <v>2023</v>
      </c>
      <c r="AV533">
        <v>282</v>
      </c>
      <c r="AW533" t="s">
        <v>74</v>
      </c>
      <c r="AX533" t="s">
        <v>74</v>
      </c>
      <c r="AY533" t="s">
        <v>74</v>
      </c>
      <c r="AZ533" t="s">
        <v>74</v>
      </c>
      <c r="BA533" t="s">
        <v>74</v>
      </c>
      <c r="BB533" t="s">
        <v>74</v>
      </c>
      <c r="BC533" t="s">
        <v>74</v>
      </c>
      <c r="BD533">
        <v>128374</v>
      </c>
      <c r="BE533" t="s">
        <v>9750</v>
      </c>
      <c r="BF533" t="str">
        <f>HYPERLINK("http://dx.doi.org/10.1016/j.energy.2023.128374","http://dx.doi.org/10.1016/j.energy.2023.128374")</f>
        <v>http://dx.doi.org/10.1016/j.energy.2023.128374</v>
      </c>
      <c r="BG533" t="s">
        <v>74</v>
      </c>
      <c r="BH533" t="s">
        <v>74</v>
      </c>
      <c r="BI533">
        <v>12</v>
      </c>
      <c r="BJ533" t="s">
        <v>1967</v>
      </c>
      <c r="BK533" t="s">
        <v>100</v>
      </c>
      <c r="BL533" t="s">
        <v>1967</v>
      </c>
      <c r="BM533" t="s">
        <v>9751</v>
      </c>
      <c r="BN533" t="s">
        <v>74</v>
      </c>
      <c r="BO533" t="s">
        <v>74</v>
      </c>
      <c r="BP533" t="s">
        <v>74</v>
      </c>
      <c r="BQ533" t="s">
        <v>74</v>
      </c>
      <c r="BR533" t="s">
        <v>104</v>
      </c>
      <c r="BS533" t="s">
        <v>9752</v>
      </c>
      <c r="BT533" t="str">
        <f>HYPERLINK("https%3A%2F%2Fwww.webofscience.com%2Fwos%2Fwoscc%2Ffull-record%2FWOS:001045746200001","View Full Record in Web of Science")</f>
        <v>View Full Record in Web of Science</v>
      </c>
    </row>
    <row r="534" spans="1:72" x14ac:dyDescent="0.15">
      <c r="A534" t="s">
        <v>72</v>
      </c>
      <c r="B534" t="s">
        <v>9753</v>
      </c>
      <c r="C534" t="s">
        <v>74</v>
      </c>
      <c r="D534" t="s">
        <v>74</v>
      </c>
      <c r="E534" t="s">
        <v>74</v>
      </c>
      <c r="F534" t="s">
        <v>9754</v>
      </c>
      <c r="G534" t="s">
        <v>74</v>
      </c>
      <c r="H534" t="s">
        <v>74</v>
      </c>
      <c r="I534" t="s">
        <v>9755</v>
      </c>
      <c r="J534" t="s">
        <v>5534</v>
      </c>
      <c r="K534" t="s">
        <v>74</v>
      </c>
      <c r="L534" t="s">
        <v>74</v>
      </c>
      <c r="M534" t="s">
        <v>78</v>
      </c>
      <c r="N534" t="s">
        <v>79</v>
      </c>
      <c r="O534" t="s">
        <v>74</v>
      </c>
      <c r="P534" t="s">
        <v>74</v>
      </c>
      <c r="Q534" t="s">
        <v>74</v>
      </c>
      <c r="R534" t="s">
        <v>74</v>
      </c>
      <c r="S534" t="s">
        <v>74</v>
      </c>
      <c r="T534" t="s">
        <v>9756</v>
      </c>
      <c r="U534" t="s">
        <v>9757</v>
      </c>
      <c r="V534" t="s">
        <v>9758</v>
      </c>
      <c r="W534" t="s">
        <v>9759</v>
      </c>
      <c r="X534" t="s">
        <v>9760</v>
      </c>
      <c r="Y534" t="s">
        <v>9761</v>
      </c>
      <c r="Z534" t="s">
        <v>9762</v>
      </c>
      <c r="AA534" t="s">
        <v>74</v>
      </c>
      <c r="AB534" t="s">
        <v>9763</v>
      </c>
      <c r="AC534" t="s">
        <v>9764</v>
      </c>
      <c r="AD534" t="s">
        <v>9765</v>
      </c>
      <c r="AE534" t="s">
        <v>9766</v>
      </c>
      <c r="AF534" t="s">
        <v>74</v>
      </c>
      <c r="AG534">
        <v>32</v>
      </c>
      <c r="AH534">
        <v>0</v>
      </c>
      <c r="AI534">
        <v>0</v>
      </c>
      <c r="AJ534">
        <v>0</v>
      </c>
      <c r="AK534">
        <v>0</v>
      </c>
      <c r="AL534" t="s">
        <v>120</v>
      </c>
      <c r="AM534" t="s">
        <v>121</v>
      </c>
      <c r="AN534" t="s">
        <v>122</v>
      </c>
      <c r="AO534" t="s">
        <v>5542</v>
      </c>
      <c r="AP534" t="s">
        <v>5543</v>
      </c>
      <c r="AQ534" t="s">
        <v>74</v>
      </c>
      <c r="AR534" t="s">
        <v>5544</v>
      </c>
      <c r="AS534" t="s">
        <v>5545</v>
      </c>
      <c r="AT534" t="s">
        <v>6659</v>
      </c>
      <c r="AU534">
        <v>2023</v>
      </c>
      <c r="AV534">
        <v>294</v>
      </c>
      <c r="AW534" t="s">
        <v>74</v>
      </c>
      <c r="AX534" t="s">
        <v>74</v>
      </c>
      <c r="AY534" t="s">
        <v>74</v>
      </c>
      <c r="AZ534" t="s">
        <v>74</v>
      </c>
      <c r="BA534" t="s">
        <v>74</v>
      </c>
      <c r="BB534" t="s">
        <v>74</v>
      </c>
      <c r="BC534" t="s">
        <v>74</v>
      </c>
      <c r="BD534">
        <v>116807</v>
      </c>
      <c r="BE534" t="s">
        <v>9767</v>
      </c>
      <c r="BF534" t="str">
        <f>HYPERLINK("http://dx.doi.org/10.1016/j.engstruct.2023.116807","http://dx.doi.org/10.1016/j.engstruct.2023.116807")</f>
        <v>http://dx.doi.org/10.1016/j.engstruct.2023.116807</v>
      </c>
      <c r="BG534" t="s">
        <v>74</v>
      </c>
      <c r="BH534" t="s">
        <v>74</v>
      </c>
      <c r="BI534">
        <v>15</v>
      </c>
      <c r="BJ534" t="s">
        <v>5547</v>
      </c>
      <c r="BK534" t="s">
        <v>100</v>
      </c>
      <c r="BL534" t="s">
        <v>873</v>
      </c>
      <c r="BM534" t="s">
        <v>9768</v>
      </c>
      <c r="BN534" t="s">
        <v>74</v>
      </c>
      <c r="BO534" t="s">
        <v>74</v>
      </c>
      <c r="BP534" t="s">
        <v>74</v>
      </c>
      <c r="BQ534" t="s">
        <v>74</v>
      </c>
      <c r="BR534" t="s">
        <v>104</v>
      </c>
      <c r="BS534" t="s">
        <v>9769</v>
      </c>
      <c r="BT534" t="str">
        <f>HYPERLINK("https%3A%2F%2Fwww.webofscience.com%2Fwos%2Fwoscc%2Ffull-record%2FWOS:001070665200001","View Full Record in Web of Science")</f>
        <v>View Full Record in Web of Science</v>
      </c>
    </row>
    <row r="535" spans="1:72" x14ac:dyDescent="0.15">
      <c r="A535" t="s">
        <v>72</v>
      </c>
      <c r="B535" t="s">
        <v>9770</v>
      </c>
      <c r="C535" t="s">
        <v>74</v>
      </c>
      <c r="D535" t="s">
        <v>74</v>
      </c>
      <c r="E535" t="s">
        <v>74</v>
      </c>
      <c r="F535" t="s">
        <v>9771</v>
      </c>
      <c r="G535" t="s">
        <v>74</v>
      </c>
      <c r="H535" t="s">
        <v>74</v>
      </c>
      <c r="I535" t="s">
        <v>9772</v>
      </c>
      <c r="J535" t="s">
        <v>3823</v>
      </c>
      <c r="K535" t="s">
        <v>74</v>
      </c>
      <c r="L535" t="s">
        <v>74</v>
      </c>
      <c r="M535" t="s">
        <v>78</v>
      </c>
      <c r="N535" t="s">
        <v>79</v>
      </c>
      <c r="O535" t="s">
        <v>74</v>
      </c>
      <c r="P535" t="s">
        <v>74</v>
      </c>
      <c r="Q535" t="s">
        <v>74</v>
      </c>
      <c r="R535" t="s">
        <v>74</v>
      </c>
      <c r="S535" t="s">
        <v>74</v>
      </c>
      <c r="T535" t="s">
        <v>9773</v>
      </c>
      <c r="U535" t="s">
        <v>9774</v>
      </c>
      <c r="V535" t="s">
        <v>9775</v>
      </c>
      <c r="W535" t="s">
        <v>9776</v>
      </c>
      <c r="X535" t="s">
        <v>9777</v>
      </c>
      <c r="Y535" t="s">
        <v>9778</v>
      </c>
      <c r="Z535" t="s">
        <v>9779</v>
      </c>
      <c r="AA535" t="s">
        <v>74</v>
      </c>
      <c r="AB535" t="s">
        <v>74</v>
      </c>
      <c r="AC535" t="s">
        <v>9780</v>
      </c>
      <c r="AD535" t="s">
        <v>9781</v>
      </c>
      <c r="AE535" t="s">
        <v>9782</v>
      </c>
      <c r="AF535" t="s">
        <v>74</v>
      </c>
      <c r="AG535">
        <v>30</v>
      </c>
      <c r="AH535">
        <v>7</v>
      </c>
      <c r="AI535">
        <v>7</v>
      </c>
      <c r="AJ535">
        <v>0</v>
      </c>
      <c r="AK535">
        <v>0</v>
      </c>
      <c r="AL535" t="s">
        <v>90</v>
      </c>
      <c r="AM535" t="s">
        <v>91</v>
      </c>
      <c r="AN535" t="s">
        <v>92</v>
      </c>
      <c r="AO535" t="s">
        <v>3836</v>
      </c>
      <c r="AP535" t="s">
        <v>3837</v>
      </c>
      <c r="AQ535" t="s">
        <v>74</v>
      </c>
      <c r="AR535" t="s">
        <v>3838</v>
      </c>
      <c r="AS535" t="s">
        <v>3839</v>
      </c>
      <c r="AT535" t="s">
        <v>6659</v>
      </c>
      <c r="AU535">
        <v>2023</v>
      </c>
      <c r="AV535">
        <v>423</v>
      </c>
      <c r="AW535" t="s">
        <v>74</v>
      </c>
      <c r="AX535" t="s">
        <v>74</v>
      </c>
      <c r="AY535" t="s">
        <v>74</v>
      </c>
      <c r="AZ535" t="s">
        <v>74</v>
      </c>
      <c r="BA535" t="s">
        <v>74</v>
      </c>
      <c r="BB535" t="s">
        <v>74</v>
      </c>
      <c r="BC535" t="s">
        <v>74</v>
      </c>
      <c r="BD535">
        <v>113884</v>
      </c>
      <c r="BE535" t="s">
        <v>9783</v>
      </c>
      <c r="BF535" t="str">
        <f>HYPERLINK("http://dx.doi.org/10.1016/j.cattod.2022.08.026","http://dx.doi.org/10.1016/j.cattod.2022.08.026")</f>
        <v>http://dx.doi.org/10.1016/j.cattod.2022.08.026</v>
      </c>
      <c r="BG535" t="s">
        <v>74</v>
      </c>
      <c r="BH535" t="s">
        <v>74</v>
      </c>
      <c r="BI535">
        <v>10</v>
      </c>
      <c r="BJ535" t="s">
        <v>3841</v>
      </c>
      <c r="BK535" t="s">
        <v>100</v>
      </c>
      <c r="BL535" t="s">
        <v>458</v>
      </c>
      <c r="BM535" t="s">
        <v>9784</v>
      </c>
      <c r="BN535" t="s">
        <v>74</v>
      </c>
      <c r="BO535" t="s">
        <v>74</v>
      </c>
      <c r="BP535" t="s">
        <v>74</v>
      </c>
      <c r="BQ535" t="s">
        <v>74</v>
      </c>
      <c r="BR535" t="s">
        <v>104</v>
      </c>
      <c r="BS535" t="s">
        <v>9785</v>
      </c>
      <c r="BT535" t="str">
        <f>HYPERLINK("https%3A%2F%2Fwww.webofscience.com%2Fwos%2Fwoscc%2Ffull-record%2FWOS:001066387700001","View Full Record in Web of Science")</f>
        <v>View Full Record in Web of Science</v>
      </c>
    </row>
    <row r="536" spans="1:72" x14ac:dyDescent="0.15">
      <c r="A536" t="s">
        <v>72</v>
      </c>
      <c r="B536" t="s">
        <v>9786</v>
      </c>
      <c r="C536" t="s">
        <v>74</v>
      </c>
      <c r="D536" t="s">
        <v>74</v>
      </c>
      <c r="E536" t="s">
        <v>74</v>
      </c>
      <c r="F536" t="s">
        <v>9787</v>
      </c>
      <c r="G536" t="s">
        <v>74</v>
      </c>
      <c r="H536" t="s">
        <v>74</v>
      </c>
      <c r="I536" t="s">
        <v>9788</v>
      </c>
      <c r="J536" t="s">
        <v>7109</v>
      </c>
      <c r="K536" t="s">
        <v>74</v>
      </c>
      <c r="L536" t="s">
        <v>74</v>
      </c>
      <c r="M536" t="s">
        <v>78</v>
      </c>
      <c r="N536" t="s">
        <v>79</v>
      </c>
      <c r="O536" t="s">
        <v>74</v>
      </c>
      <c r="P536" t="s">
        <v>74</v>
      </c>
      <c r="Q536" t="s">
        <v>74</v>
      </c>
      <c r="R536" t="s">
        <v>74</v>
      </c>
      <c r="S536" t="s">
        <v>74</v>
      </c>
      <c r="T536" t="s">
        <v>9789</v>
      </c>
      <c r="U536" t="s">
        <v>9790</v>
      </c>
      <c r="V536" t="s">
        <v>9791</v>
      </c>
      <c r="W536" t="s">
        <v>9792</v>
      </c>
      <c r="X536" t="s">
        <v>9793</v>
      </c>
      <c r="Y536" t="s">
        <v>9794</v>
      </c>
      <c r="Z536" t="s">
        <v>9795</v>
      </c>
      <c r="AA536" t="s">
        <v>74</v>
      </c>
      <c r="AB536" t="s">
        <v>9796</v>
      </c>
      <c r="AC536" t="s">
        <v>9797</v>
      </c>
      <c r="AD536" t="s">
        <v>9798</v>
      </c>
      <c r="AE536" t="s">
        <v>9799</v>
      </c>
      <c r="AF536" t="s">
        <v>74</v>
      </c>
      <c r="AG536">
        <v>52</v>
      </c>
      <c r="AH536">
        <v>0</v>
      </c>
      <c r="AI536">
        <v>0</v>
      </c>
      <c r="AJ536">
        <v>2</v>
      </c>
      <c r="AK536">
        <v>2</v>
      </c>
      <c r="AL536" t="s">
        <v>90</v>
      </c>
      <c r="AM536" t="s">
        <v>91</v>
      </c>
      <c r="AN536" t="s">
        <v>92</v>
      </c>
      <c r="AO536" t="s">
        <v>7119</v>
      </c>
      <c r="AP536" t="s">
        <v>7120</v>
      </c>
      <c r="AQ536" t="s">
        <v>74</v>
      </c>
      <c r="AR536" t="s">
        <v>7121</v>
      </c>
      <c r="AS536" t="s">
        <v>7122</v>
      </c>
      <c r="AT536" t="s">
        <v>6618</v>
      </c>
      <c r="AU536">
        <v>2023</v>
      </c>
      <c r="AV536">
        <v>173</v>
      </c>
      <c r="AW536" t="s">
        <v>74</v>
      </c>
      <c r="AX536">
        <v>1</v>
      </c>
      <c r="AY536" t="s">
        <v>74</v>
      </c>
      <c r="AZ536" t="s">
        <v>74</v>
      </c>
      <c r="BA536" t="s">
        <v>74</v>
      </c>
      <c r="BB536" t="s">
        <v>74</v>
      </c>
      <c r="BC536" t="s">
        <v>74</v>
      </c>
      <c r="BD536">
        <v>113297</v>
      </c>
      <c r="BE536" t="s">
        <v>9800</v>
      </c>
      <c r="BF536" t="str">
        <f>HYPERLINK("http://dx.doi.org/10.1016/j.foodres.2023.113297","http://dx.doi.org/10.1016/j.foodres.2023.113297")</f>
        <v>http://dx.doi.org/10.1016/j.foodres.2023.113297</v>
      </c>
      <c r="BG536" t="s">
        <v>74</v>
      </c>
      <c r="BH536" t="s">
        <v>74</v>
      </c>
      <c r="BI536">
        <v>10</v>
      </c>
      <c r="BJ536" t="s">
        <v>1033</v>
      </c>
      <c r="BK536" t="s">
        <v>100</v>
      </c>
      <c r="BL536" t="s">
        <v>1033</v>
      </c>
      <c r="BM536" t="s">
        <v>9801</v>
      </c>
      <c r="BN536" t="s">
        <v>74</v>
      </c>
      <c r="BO536" t="s">
        <v>295</v>
      </c>
      <c r="BP536" t="s">
        <v>74</v>
      </c>
      <c r="BQ536" t="s">
        <v>74</v>
      </c>
      <c r="BR536" t="s">
        <v>104</v>
      </c>
      <c r="BS536" t="s">
        <v>9802</v>
      </c>
      <c r="BT536" t="str">
        <f>HYPERLINK("https%3A%2F%2Fwww.webofscience.com%2Fwos%2Fwoscc%2Ffull-record%2FWOS:001058674400001","View Full Record in Web of Science")</f>
        <v>View Full Record in Web of Science</v>
      </c>
    </row>
    <row r="537" spans="1:72" x14ac:dyDescent="0.15">
      <c r="A537" t="s">
        <v>72</v>
      </c>
      <c r="B537" t="s">
        <v>9803</v>
      </c>
      <c r="C537" t="s">
        <v>74</v>
      </c>
      <c r="D537" t="s">
        <v>74</v>
      </c>
      <c r="E537" t="s">
        <v>74</v>
      </c>
      <c r="F537" t="s">
        <v>9804</v>
      </c>
      <c r="G537" t="s">
        <v>74</v>
      </c>
      <c r="H537" t="s">
        <v>74</v>
      </c>
      <c r="I537" t="s">
        <v>9805</v>
      </c>
      <c r="J537" t="s">
        <v>6604</v>
      </c>
      <c r="K537" t="s">
        <v>74</v>
      </c>
      <c r="L537" t="s">
        <v>74</v>
      </c>
      <c r="M537" t="s">
        <v>78</v>
      </c>
      <c r="N537" t="s">
        <v>79</v>
      </c>
      <c r="O537" t="s">
        <v>74</v>
      </c>
      <c r="P537" t="s">
        <v>74</v>
      </c>
      <c r="Q537" t="s">
        <v>74</v>
      </c>
      <c r="R537" t="s">
        <v>74</v>
      </c>
      <c r="S537" t="s">
        <v>74</v>
      </c>
      <c r="T537" t="s">
        <v>9806</v>
      </c>
      <c r="U537" t="s">
        <v>9807</v>
      </c>
      <c r="V537" t="s">
        <v>9808</v>
      </c>
      <c r="W537" t="s">
        <v>9809</v>
      </c>
      <c r="X537" t="s">
        <v>9810</v>
      </c>
      <c r="Y537" t="s">
        <v>9811</v>
      </c>
      <c r="Z537" t="s">
        <v>9812</v>
      </c>
      <c r="AA537" t="s">
        <v>74</v>
      </c>
      <c r="AB537" t="s">
        <v>74</v>
      </c>
      <c r="AC537" t="s">
        <v>9813</v>
      </c>
      <c r="AD537" t="s">
        <v>9814</v>
      </c>
      <c r="AE537" t="s">
        <v>9815</v>
      </c>
      <c r="AF537" t="s">
        <v>74</v>
      </c>
      <c r="AG537">
        <v>82</v>
      </c>
      <c r="AH537">
        <v>0</v>
      </c>
      <c r="AI537">
        <v>0</v>
      </c>
      <c r="AJ537">
        <v>5</v>
      </c>
      <c r="AK537">
        <v>5</v>
      </c>
      <c r="AL537" t="s">
        <v>147</v>
      </c>
      <c r="AM537" t="s">
        <v>148</v>
      </c>
      <c r="AN537" t="s">
        <v>149</v>
      </c>
      <c r="AO537" t="s">
        <v>6614</v>
      </c>
      <c r="AP537" t="s">
        <v>6615</v>
      </c>
      <c r="AQ537" t="s">
        <v>74</v>
      </c>
      <c r="AR537" t="s">
        <v>6616</v>
      </c>
      <c r="AS537" t="s">
        <v>6617</v>
      </c>
      <c r="AT537" t="s">
        <v>6618</v>
      </c>
      <c r="AU537">
        <v>2023</v>
      </c>
      <c r="AV537">
        <v>90</v>
      </c>
      <c r="AW537" t="s">
        <v>74</v>
      </c>
      <c r="AX537" t="s">
        <v>74</v>
      </c>
      <c r="AY537" t="s">
        <v>74</v>
      </c>
      <c r="AZ537" t="s">
        <v>74</v>
      </c>
      <c r="BA537" t="s">
        <v>74</v>
      </c>
      <c r="BB537" t="s">
        <v>74</v>
      </c>
      <c r="BC537" t="s">
        <v>74</v>
      </c>
      <c r="BD537">
        <v>102764</v>
      </c>
      <c r="BE537" t="s">
        <v>9816</v>
      </c>
      <c r="BF537" t="str">
        <f>HYPERLINK("http://dx.doi.org/10.1016/j.irfa.2023.102764","http://dx.doi.org/10.1016/j.irfa.2023.102764")</f>
        <v>http://dx.doi.org/10.1016/j.irfa.2023.102764</v>
      </c>
      <c r="BG537" t="s">
        <v>74</v>
      </c>
      <c r="BH537" t="s">
        <v>74</v>
      </c>
      <c r="BI537">
        <v>15</v>
      </c>
      <c r="BJ537" t="s">
        <v>2824</v>
      </c>
      <c r="BK537" t="s">
        <v>627</v>
      </c>
      <c r="BL537" t="s">
        <v>628</v>
      </c>
      <c r="BM537" t="s">
        <v>9817</v>
      </c>
      <c r="BN537" t="s">
        <v>74</v>
      </c>
      <c r="BO537" t="s">
        <v>295</v>
      </c>
      <c r="BP537" t="s">
        <v>74</v>
      </c>
      <c r="BQ537" t="s">
        <v>74</v>
      </c>
      <c r="BR537" t="s">
        <v>104</v>
      </c>
      <c r="BS537" t="s">
        <v>9818</v>
      </c>
      <c r="BT537" t="str">
        <f>HYPERLINK("https%3A%2F%2Fwww.webofscience.com%2Fwos%2Fwoscc%2Ffull-record%2FWOS:001057270600001","View Full Record in Web of Science")</f>
        <v>View Full Record in Web of Science</v>
      </c>
    </row>
    <row r="538" spans="1:72" x14ac:dyDescent="0.15">
      <c r="A538" t="s">
        <v>72</v>
      </c>
      <c r="B538" t="s">
        <v>9819</v>
      </c>
      <c r="C538" t="s">
        <v>74</v>
      </c>
      <c r="D538" t="s">
        <v>74</v>
      </c>
      <c r="E538" t="s">
        <v>74</v>
      </c>
      <c r="F538" t="s">
        <v>9820</v>
      </c>
      <c r="G538" t="s">
        <v>74</v>
      </c>
      <c r="H538" t="s">
        <v>74</v>
      </c>
      <c r="I538" t="s">
        <v>9821</v>
      </c>
      <c r="J538" t="s">
        <v>5302</v>
      </c>
      <c r="K538" t="s">
        <v>74</v>
      </c>
      <c r="L538" t="s">
        <v>74</v>
      </c>
      <c r="M538" t="s">
        <v>78</v>
      </c>
      <c r="N538" t="s">
        <v>79</v>
      </c>
      <c r="O538" t="s">
        <v>74</v>
      </c>
      <c r="P538" t="s">
        <v>74</v>
      </c>
      <c r="Q538" t="s">
        <v>74</v>
      </c>
      <c r="R538" t="s">
        <v>74</v>
      </c>
      <c r="S538" t="s">
        <v>74</v>
      </c>
      <c r="T538" t="s">
        <v>9822</v>
      </c>
      <c r="U538" t="s">
        <v>9823</v>
      </c>
      <c r="V538" t="s">
        <v>9824</v>
      </c>
      <c r="W538" t="s">
        <v>9825</v>
      </c>
      <c r="X538" t="s">
        <v>9826</v>
      </c>
      <c r="Y538" t="s">
        <v>9827</v>
      </c>
      <c r="Z538" t="s">
        <v>9828</v>
      </c>
      <c r="AA538" t="s">
        <v>9829</v>
      </c>
      <c r="AB538" t="s">
        <v>9830</v>
      </c>
      <c r="AC538" t="s">
        <v>9831</v>
      </c>
      <c r="AD538" t="s">
        <v>9832</v>
      </c>
      <c r="AE538" t="s">
        <v>9833</v>
      </c>
      <c r="AF538" t="s">
        <v>74</v>
      </c>
      <c r="AG538">
        <v>67</v>
      </c>
      <c r="AH538">
        <v>0</v>
      </c>
      <c r="AI538">
        <v>0</v>
      </c>
      <c r="AJ538">
        <v>4</v>
      </c>
      <c r="AK538">
        <v>4</v>
      </c>
      <c r="AL538" t="s">
        <v>475</v>
      </c>
      <c r="AM538" t="s">
        <v>476</v>
      </c>
      <c r="AN538" t="s">
        <v>477</v>
      </c>
      <c r="AO538" t="s">
        <v>5315</v>
      </c>
      <c r="AP538" t="s">
        <v>5316</v>
      </c>
      <c r="AQ538" t="s">
        <v>74</v>
      </c>
      <c r="AR538" t="s">
        <v>5317</v>
      </c>
      <c r="AS538" t="s">
        <v>5318</v>
      </c>
      <c r="AT538" t="s">
        <v>6659</v>
      </c>
      <c r="AU538">
        <v>2023</v>
      </c>
      <c r="AV538">
        <v>236</v>
      </c>
      <c r="AW538" t="s">
        <v>74</v>
      </c>
      <c r="AX538">
        <v>2</v>
      </c>
      <c r="AY538" t="s">
        <v>74</v>
      </c>
      <c r="AZ538" t="s">
        <v>74</v>
      </c>
      <c r="BA538" t="s">
        <v>74</v>
      </c>
      <c r="BB538" t="s">
        <v>74</v>
      </c>
      <c r="BC538" t="s">
        <v>74</v>
      </c>
      <c r="BD538">
        <v>116846</v>
      </c>
      <c r="BE538" t="s">
        <v>9834</v>
      </c>
      <c r="BF538" t="str">
        <f>HYPERLINK("http://dx.doi.org/10.1016/j.envres.2023.116846","http://dx.doi.org/10.1016/j.envres.2023.116846")</f>
        <v>http://dx.doi.org/10.1016/j.envres.2023.116846</v>
      </c>
      <c r="BG538" t="s">
        <v>74</v>
      </c>
      <c r="BH538" t="s">
        <v>74</v>
      </c>
      <c r="BI538">
        <v>14</v>
      </c>
      <c r="BJ538" t="s">
        <v>5320</v>
      </c>
      <c r="BK538" t="s">
        <v>100</v>
      </c>
      <c r="BL538" t="s">
        <v>5321</v>
      </c>
      <c r="BM538" t="s">
        <v>9835</v>
      </c>
      <c r="BN538">
        <v>37553028</v>
      </c>
      <c r="BO538" t="s">
        <v>74</v>
      </c>
      <c r="BP538" t="s">
        <v>74</v>
      </c>
      <c r="BQ538" t="s">
        <v>74</v>
      </c>
      <c r="BR538" t="s">
        <v>104</v>
      </c>
      <c r="BS538" t="s">
        <v>9836</v>
      </c>
      <c r="BT538" t="str">
        <f>HYPERLINK("https%3A%2F%2Fwww.webofscience.com%2Fwos%2Fwoscc%2Ffull-record%2FWOS:001059378100001","View Full Record in Web of Science")</f>
        <v>View Full Record in Web of Science</v>
      </c>
    </row>
    <row r="539" spans="1:72" x14ac:dyDescent="0.15">
      <c r="A539" t="s">
        <v>72</v>
      </c>
      <c r="B539" t="s">
        <v>9837</v>
      </c>
      <c r="C539" t="s">
        <v>74</v>
      </c>
      <c r="D539" t="s">
        <v>74</v>
      </c>
      <c r="E539" t="s">
        <v>74</v>
      </c>
      <c r="F539" t="s">
        <v>9838</v>
      </c>
      <c r="G539" t="s">
        <v>74</v>
      </c>
      <c r="H539" t="s">
        <v>74</v>
      </c>
      <c r="I539" t="s">
        <v>9839</v>
      </c>
      <c r="J539" t="s">
        <v>1524</v>
      </c>
      <c r="K539" t="s">
        <v>74</v>
      </c>
      <c r="L539" t="s">
        <v>74</v>
      </c>
      <c r="M539" t="s">
        <v>78</v>
      </c>
      <c r="N539" t="s">
        <v>79</v>
      </c>
      <c r="O539" t="s">
        <v>74</v>
      </c>
      <c r="P539" t="s">
        <v>74</v>
      </c>
      <c r="Q539" t="s">
        <v>74</v>
      </c>
      <c r="R539" t="s">
        <v>74</v>
      </c>
      <c r="S539" t="s">
        <v>74</v>
      </c>
      <c r="T539" t="s">
        <v>9840</v>
      </c>
      <c r="U539" t="s">
        <v>9841</v>
      </c>
      <c r="V539" t="s">
        <v>9842</v>
      </c>
      <c r="W539" t="s">
        <v>9843</v>
      </c>
      <c r="X539" t="s">
        <v>9844</v>
      </c>
      <c r="Y539" t="s">
        <v>9845</v>
      </c>
      <c r="Z539" t="s">
        <v>9846</v>
      </c>
      <c r="AA539" t="s">
        <v>74</v>
      </c>
      <c r="AB539" t="s">
        <v>9847</v>
      </c>
      <c r="AC539" t="s">
        <v>9848</v>
      </c>
      <c r="AD539" t="s">
        <v>9848</v>
      </c>
      <c r="AE539" t="s">
        <v>9849</v>
      </c>
      <c r="AF539" t="s">
        <v>74</v>
      </c>
      <c r="AG539">
        <v>61</v>
      </c>
      <c r="AH539">
        <v>0</v>
      </c>
      <c r="AI539">
        <v>0</v>
      </c>
      <c r="AJ539">
        <v>11</v>
      </c>
      <c r="AK539">
        <v>11</v>
      </c>
      <c r="AL539" t="s">
        <v>90</v>
      </c>
      <c r="AM539" t="s">
        <v>91</v>
      </c>
      <c r="AN539" t="s">
        <v>92</v>
      </c>
      <c r="AO539" t="s">
        <v>1534</v>
      </c>
      <c r="AP539" t="s">
        <v>1535</v>
      </c>
      <c r="AQ539" t="s">
        <v>74</v>
      </c>
      <c r="AR539" t="s">
        <v>1536</v>
      </c>
      <c r="AS539" t="s">
        <v>1537</v>
      </c>
      <c r="AT539" t="s">
        <v>6659</v>
      </c>
      <c r="AU539">
        <v>2023</v>
      </c>
      <c r="AV539">
        <v>897</v>
      </c>
      <c r="AW539" t="s">
        <v>74</v>
      </c>
      <c r="AX539" t="s">
        <v>74</v>
      </c>
      <c r="AY539" t="s">
        <v>74</v>
      </c>
      <c r="AZ539" t="s">
        <v>74</v>
      </c>
      <c r="BA539" t="s">
        <v>74</v>
      </c>
      <c r="BB539" t="s">
        <v>74</v>
      </c>
      <c r="BC539" t="s">
        <v>74</v>
      </c>
      <c r="BD539">
        <v>165354</v>
      </c>
      <c r="BE539" t="s">
        <v>9850</v>
      </c>
      <c r="BF539" t="str">
        <f>HYPERLINK("http://dx.doi.org/10.1016/j.scitotenv.2023.165354","http://dx.doi.org/10.1016/j.scitotenv.2023.165354")</f>
        <v>http://dx.doi.org/10.1016/j.scitotenv.2023.165354</v>
      </c>
      <c r="BG539" t="s">
        <v>74</v>
      </c>
      <c r="BH539" t="s">
        <v>74</v>
      </c>
      <c r="BI539">
        <v>8</v>
      </c>
      <c r="BJ539" t="s">
        <v>1539</v>
      </c>
      <c r="BK539" t="s">
        <v>100</v>
      </c>
      <c r="BL539" t="s">
        <v>1540</v>
      </c>
      <c r="BM539" t="s">
        <v>9851</v>
      </c>
      <c r="BN539">
        <v>37419348</v>
      </c>
      <c r="BO539" t="s">
        <v>74</v>
      </c>
      <c r="BP539" t="s">
        <v>74</v>
      </c>
      <c r="BQ539" t="s">
        <v>74</v>
      </c>
      <c r="BR539" t="s">
        <v>104</v>
      </c>
      <c r="BS539" t="s">
        <v>9852</v>
      </c>
      <c r="BT539" t="str">
        <f>HYPERLINK("https%3A%2F%2Fwww.webofscience.com%2Fwos%2Fwoscc%2Ffull-record%2FWOS:001044982000001","View Full Record in Web of Science")</f>
        <v>View Full Record in Web of Science</v>
      </c>
    </row>
    <row r="540" spans="1:72" x14ac:dyDescent="0.15">
      <c r="A540" t="s">
        <v>72</v>
      </c>
      <c r="B540" t="s">
        <v>9853</v>
      </c>
      <c r="C540" t="s">
        <v>74</v>
      </c>
      <c r="D540" t="s">
        <v>74</v>
      </c>
      <c r="E540" t="s">
        <v>74</v>
      </c>
      <c r="F540" t="s">
        <v>9854</v>
      </c>
      <c r="G540" t="s">
        <v>74</v>
      </c>
      <c r="H540" t="s">
        <v>74</v>
      </c>
      <c r="I540" t="s">
        <v>9855</v>
      </c>
      <c r="J540" t="s">
        <v>9856</v>
      </c>
      <c r="K540" t="s">
        <v>74</v>
      </c>
      <c r="L540" t="s">
        <v>74</v>
      </c>
      <c r="M540" t="s">
        <v>78</v>
      </c>
      <c r="N540" t="s">
        <v>79</v>
      </c>
      <c r="O540" t="s">
        <v>74</v>
      </c>
      <c r="P540" t="s">
        <v>74</v>
      </c>
      <c r="Q540" t="s">
        <v>74</v>
      </c>
      <c r="R540" t="s">
        <v>74</v>
      </c>
      <c r="S540" t="s">
        <v>74</v>
      </c>
      <c r="T540" t="s">
        <v>9857</v>
      </c>
      <c r="U540" t="s">
        <v>9858</v>
      </c>
      <c r="V540" t="s">
        <v>9859</v>
      </c>
      <c r="W540" t="s">
        <v>9860</v>
      </c>
      <c r="X540" t="s">
        <v>9861</v>
      </c>
      <c r="Y540" t="s">
        <v>9862</v>
      </c>
      <c r="Z540" t="s">
        <v>9863</v>
      </c>
      <c r="AA540" t="s">
        <v>74</v>
      </c>
      <c r="AB540" t="s">
        <v>9864</v>
      </c>
      <c r="AC540" t="s">
        <v>9865</v>
      </c>
      <c r="AD540" t="s">
        <v>9866</v>
      </c>
      <c r="AE540" t="s">
        <v>9867</v>
      </c>
      <c r="AF540" t="s">
        <v>74</v>
      </c>
      <c r="AG540">
        <v>27</v>
      </c>
      <c r="AH540">
        <v>0</v>
      </c>
      <c r="AI540">
        <v>0</v>
      </c>
      <c r="AJ540">
        <v>4</v>
      </c>
      <c r="AK540">
        <v>4</v>
      </c>
      <c r="AL540" t="s">
        <v>475</v>
      </c>
      <c r="AM540" t="s">
        <v>476</v>
      </c>
      <c r="AN540" t="s">
        <v>477</v>
      </c>
      <c r="AO540" t="s">
        <v>9868</v>
      </c>
      <c r="AP540" t="s">
        <v>9869</v>
      </c>
      <c r="AQ540" t="s">
        <v>74</v>
      </c>
      <c r="AR540" t="s">
        <v>9870</v>
      </c>
      <c r="AS540" t="s">
        <v>9871</v>
      </c>
      <c r="AT540" t="s">
        <v>6618</v>
      </c>
      <c r="AU540">
        <v>2023</v>
      </c>
      <c r="AV540">
        <v>327</v>
      </c>
      <c r="AW540" t="s">
        <v>74</v>
      </c>
      <c r="AX540" t="s">
        <v>74</v>
      </c>
      <c r="AY540" t="s">
        <v>74</v>
      </c>
      <c r="AZ540" t="s">
        <v>74</v>
      </c>
      <c r="BA540" t="s">
        <v>74</v>
      </c>
      <c r="BB540" t="s">
        <v>74</v>
      </c>
      <c r="BC540" t="s">
        <v>74</v>
      </c>
      <c r="BD540">
        <v>124228</v>
      </c>
      <c r="BE540" t="s">
        <v>9872</v>
      </c>
      <c r="BF540" t="str">
        <f>HYPERLINK("http://dx.doi.org/10.1016/j.jssc.2023.124228","http://dx.doi.org/10.1016/j.jssc.2023.124228")</f>
        <v>http://dx.doi.org/10.1016/j.jssc.2023.124228</v>
      </c>
      <c r="BG540" t="s">
        <v>74</v>
      </c>
      <c r="BH540" t="s">
        <v>74</v>
      </c>
      <c r="BI540">
        <v>7</v>
      </c>
      <c r="BJ540" t="s">
        <v>9873</v>
      </c>
      <c r="BK540" t="s">
        <v>100</v>
      </c>
      <c r="BL540" t="s">
        <v>395</v>
      </c>
      <c r="BM540" t="s">
        <v>9874</v>
      </c>
      <c r="BN540" t="s">
        <v>74</v>
      </c>
      <c r="BO540" t="s">
        <v>74</v>
      </c>
      <c r="BP540" t="s">
        <v>74</v>
      </c>
      <c r="BQ540" t="s">
        <v>74</v>
      </c>
      <c r="BR540" t="s">
        <v>104</v>
      </c>
      <c r="BS540" t="s">
        <v>9875</v>
      </c>
      <c r="BT540" t="str">
        <f>HYPERLINK("https%3A%2F%2Fwww.webofscience.com%2Fwos%2Fwoscc%2Ffull-record%2FWOS:001052496900001","View Full Record in Web of Science")</f>
        <v>View Full Record in Web of Science</v>
      </c>
    </row>
    <row r="541" spans="1:72" x14ac:dyDescent="0.15">
      <c r="A541" t="s">
        <v>72</v>
      </c>
      <c r="B541" t="s">
        <v>9876</v>
      </c>
      <c r="C541" t="s">
        <v>74</v>
      </c>
      <c r="D541" t="s">
        <v>74</v>
      </c>
      <c r="E541" t="s">
        <v>74</v>
      </c>
      <c r="F541" t="s">
        <v>9877</v>
      </c>
      <c r="G541" t="s">
        <v>74</v>
      </c>
      <c r="H541" t="s">
        <v>74</v>
      </c>
      <c r="I541" t="s">
        <v>9878</v>
      </c>
      <c r="J541" t="s">
        <v>7507</v>
      </c>
      <c r="K541" t="s">
        <v>74</v>
      </c>
      <c r="L541" t="s">
        <v>74</v>
      </c>
      <c r="M541" t="s">
        <v>78</v>
      </c>
      <c r="N541" t="s">
        <v>241</v>
      </c>
      <c r="O541" t="s">
        <v>74</v>
      </c>
      <c r="P541" t="s">
        <v>74</v>
      </c>
      <c r="Q541" t="s">
        <v>74</v>
      </c>
      <c r="R541" t="s">
        <v>74</v>
      </c>
      <c r="S541" t="s">
        <v>74</v>
      </c>
      <c r="T541" t="s">
        <v>9879</v>
      </c>
      <c r="U541" t="s">
        <v>9880</v>
      </c>
      <c r="V541" t="s">
        <v>9881</v>
      </c>
      <c r="W541" t="s">
        <v>9882</v>
      </c>
      <c r="X541" t="s">
        <v>9883</v>
      </c>
      <c r="Y541" t="s">
        <v>9884</v>
      </c>
      <c r="Z541" t="s">
        <v>9885</v>
      </c>
      <c r="AA541" t="s">
        <v>9886</v>
      </c>
      <c r="AB541" t="s">
        <v>9887</v>
      </c>
      <c r="AC541" t="s">
        <v>9888</v>
      </c>
      <c r="AD541" t="s">
        <v>9889</v>
      </c>
      <c r="AE541" t="s">
        <v>9890</v>
      </c>
      <c r="AF541" t="s">
        <v>74</v>
      </c>
      <c r="AG541">
        <v>143</v>
      </c>
      <c r="AH541">
        <v>0</v>
      </c>
      <c r="AI541">
        <v>0</v>
      </c>
      <c r="AJ541">
        <v>27</v>
      </c>
      <c r="AK541">
        <v>27</v>
      </c>
      <c r="AL541" t="s">
        <v>120</v>
      </c>
      <c r="AM541" t="s">
        <v>121</v>
      </c>
      <c r="AN541" t="s">
        <v>122</v>
      </c>
      <c r="AO541" t="s">
        <v>7518</v>
      </c>
      <c r="AP541" t="s">
        <v>7519</v>
      </c>
      <c r="AQ541" t="s">
        <v>74</v>
      </c>
      <c r="AR541" t="s">
        <v>7520</v>
      </c>
      <c r="AS541" t="s">
        <v>7521</v>
      </c>
      <c r="AT541" t="s">
        <v>6618</v>
      </c>
      <c r="AU541">
        <v>2023</v>
      </c>
      <c r="AV541">
        <v>387</v>
      </c>
      <c r="AW541" t="s">
        <v>74</v>
      </c>
      <c r="AX541" t="s">
        <v>74</v>
      </c>
      <c r="AY541" t="s">
        <v>74</v>
      </c>
      <c r="AZ541" t="s">
        <v>74</v>
      </c>
      <c r="BA541" t="s">
        <v>74</v>
      </c>
      <c r="BB541" t="s">
        <v>74</v>
      </c>
      <c r="BC541" t="s">
        <v>74</v>
      </c>
      <c r="BD541">
        <v>129560</v>
      </c>
      <c r="BE541" t="s">
        <v>9891</v>
      </c>
      <c r="BF541" t="str">
        <f>HYPERLINK("http://dx.doi.org/10.1016/j.biortech.2023.129560","http://dx.doi.org/10.1016/j.biortech.2023.129560")</f>
        <v>http://dx.doi.org/10.1016/j.biortech.2023.129560</v>
      </c>
      <c r="BG541" t="s">
        <v>74</v>
      </c>
      <c r="BH541" t="s">
        <v>74</v>
      </c>
      <c r="BI541">
        <v>13</v>
      </c>
      <c r="BJ541" t="s">
        <v>7523</v>
      </c>
      <c r="BK541" t="s">
        <v>100</v>
      </c>
      <c r="BL541" t="s">
        <v>7524</v>
      </c>
      <c r="BM541" t="s">
        <v>9892</v>
      </c>
      <c r="BN541">
        <v>37517710</v>
      </c>
      <c r="BO541" t="s">
        <v>74</v>
      </c>
      <c r="BP541" t="s">
        <v>74</v>
      </c>
      <c r="BQ541" t="s">
        <v>74</v>
      </c>
      <c r="BR541" t="s">
        <v>104</v>
      </c>
      <c r="BS541" t="s">
        <v>9893</v>
      </c>
      <c r="BT541" t="str">
        <f>HYPERLINK("https%3A%2F%2Fwww.webofscience.com%2Fwos%2Fwoscc%2Ffull-record%2FWOS:001050752700001","View Full Record in Web of Science")</f>
        <v>View Full Record in Web of Science</v>
      </c>
    </row>
    <row r="542" spans="1:72" x14ac:dyDescent="0.15">
      <c r="A542" t="s">
        <v>72</v>
      </c>
      <c r="B542" t="s">
        <v>9894</v>
      </c>
      <c r="C542" t="s">
        <v>74</v>
      </c>
      <c r="D542" t="s">
        <v>74</v>
      </c>
      <c r="E542" t="s">
        <v>74</v>
      </c>
      <c r="F542" t="s">
        <v>9895</v>
      </c>
      <c r="G542" t="s">
        <v>74</v>
      </c>
      <c r="H542" t="s">
        <v>74</v>
      </c>
      <c r="I542" t="s">
        <v>9896</v>
      </c>
      <c r="J542" t="s">
        <v>8066</v>
      </c>
      <c r="K542" t="s">
        <v>74</v>
      </c>
      <c r="L542" t="s">
        <v>74</v>
      </c>
      <c r="M542" t="s">
        <v>78</v>
      </c>
      <c r="N542" t="s">
        <v>8335</v>
      </c>
      <c r="O542" t="s">
        <v>74</v>
      </c>
      <c r="P542" t="s">
        <v>74</v>
      </c>
      <c r="Q542" t="s">
        <v>74</v>
      </c>
      <c r="R542" t="s">
        <v>74</v>
      </c>
      <c r="S542" t="s">
        <v>74</v>
      </c>
      <c r="T542" t="s">
        <v>74</v>
      </c>
      <c r="U542" t="s">
        <v>74</v>
      </c>
      <c r="V542" t="s">
        <v>74</v>
      </c>
      <c r="W542" t="s">
        <v>9897</v>
      </c>
      <c r="X542" t="s">
        <v>74</v>
      </c>
      <c r="Y542" t="s">
        <v>9898</v>
      </c>
      <c r="Z542" t="s">
        <v>9899</v>
      </c>
      <c r="AA542" t="s">
        <v>74</v>
      </c>
      <c r="AB542" t="s">
        <v>9900</v>
      </c>
      <c r="AC542" t="s">
        <v>74</v>
      </c>
      <c r="AD542" t="s">
        <v>74</v>
      </c>
      <c r="AE542" t="s">
        <v>74</v>
      </c>
      <c r="AF542" t="s">
        <v>74</v>
      </c>
      <c r="AG542">
        <v>5</v>
      </c>
      <c r="AH542">
        <v>0</v>
      </c>
      <c r="AI542">
        <v>0</v>
      </c>
      <c r="AJ542">
        <v>0</v>
      </c>
      <c r="AK542">
        <v>0</v>
      </c>
      <c r="AL542" t="s">
        <v>8072</v>
      </c>
      <c r="AM542" t="s">
        <v>148</v>
      </c>
      <c r="AN542" t="s">
        <v>8073</v>
      </c>
      <c r="AO542" t="s">
        <v>8074</v>
      </c>
      <c r="AP542" t="s">
        <v>8075</v>
      </c>
      <c r="AQ542" t="s">
        <v>74</v>
      </c>
      <c r="AR542" t="s">
        <v>8076</v>
      </c>
      <c r="AS542" t="s">
        <v>8077</v>
      </c>
      <c r="AT542" t="s">
        <v>6618</v>
      </c>
      <c r="AU542">
        <v>2023</v>
      </c>
      <c r="AV542">
        <v>48</v>
      </c>
      <c r="AW542">
        <v>11</v>
      </c>
      <c r="AX542" t="s">
        <v>74</v>
      </c>
      <c r="AY542" t="s">
        <v>74</v>
      </c>
      <c r="AZ542" t="s">
        <v>74</v>
      </c>
      <c r="BA542" t="s">
        <v>74</v>
      </c>
      <c r="BB542" t="s">
        <v>74</v>
      </c>
      <c r="BC542" t="s">
        <v>74</v>
      </c>
      <c r="BD542">
        <v>101932</v>
      </c>
      <c r="BE542" t="s">
        <v>9901</v>
      </c>
      <c r="BF542" t="str">
        <f>HYPERLINK("http://dx.doi.org/10.1016/j.cpcardiol.2023.101932","http://dx.doi.org/10.1016/j.cpcardiol.2023.101932")</f>
        <v>http://dx.doi.org/10.1016/j.cpcardiol.2023.101932</v>
      </c>
      <c r="BG542" t="s">
        <v>74</v>
      </c>
      <c r="BH542" t="s">
        <v>74</v>
      </c>
      <c r="BI542">
        <v>3</v>
      </c>
      <c r="BJ542" t="s">
        <v>8079</v>
      </c>
      <c r="BK542" t="s">
        <v>100</v>
      </c>
      <c r="BL542" t="s">
        <v>8080</v>
      </c>
      <c r="BM542" t="s">
        <v>9902</v>
      </c>
      <c r="BN542">
        <v>37422037</v>
      </c>
      <c r="BO542" t="s">
        <v>74</v>
      </c>
      <c r="BP542" t="s">
        <v>74</v>
      </c>
      <c r="BQ542" t="s">
        <v>74</v>
      </c>
      <c r="BR542" t="s">
        <v>104</v>
      </c>
      <c r="BS542" t="s">
        <v>9903</v>
      </c>
      <c r="BT542" t="str">
        <f>HYPERLINK("https%3A%2F%2Fwww.webofscience.com%2Fwos%2Fwoscc%2Ffull-record%2FWOS:001051465300001","View Full Record in Web of Science")</f>
        <v>View Full Record in Web of Science</v>
      </c>
    </row>
    <row r="543" spans="1:72" x14ac:dyDescent="0.15">
      <c r="A543" t="s">
        <v>72</v>
      </c>
      <c r="B543" t="s">
        <v>9904</v>
      </c>
      <c r="C543" t="s">
        <v>74</v>
      </c>
      <c r="D543" t="s">
        <v>74</v>
      </c>
      <c r="E543" t="s">
        <v>74</v>
      </c>
      <c r="F543" t="s">
        <v>9905</v>
      </c>
      <c r="G543" t="s">
        <v>74</v>
      </c>
      <c r="H543" t="s">
        <v>74</v>
      </c>
      <c r="I543" t="s">
        <v>9906</v>
      </c>
      <c r="J543" t="s">
        <v>8042</v>
      </c>
      <c r="K543" t="s">
        <v>74</v>
      </c>
      <c r="L543" t="s">
        <v>74</v>
      </c>
      <c r="M543" t="s">
        <v>78</v>
      </c>
      <c r="N543" t="s">
        <v>79</v>
      </c>
      <c r="O543" t="s">
        <v>74</v>
      </c>
      <c r="P543" t="s">
        <v>74</v>
      </c>
      <c r="Q543" t="s">
        <v>74</v>
      </c>
      <c r="R543" t="s">
        <v>74</v>
      </c>
      <c r="S543" t="s">
        <v>74</v>
      </c>
      <c r="T543" t="s">
        <v>9907</v>
      </c>
      <c r="U543" t="s">
        <v>9908</v>
      </c>
      <c r="V543" t="s">
        <v>9909</v>
      </c>
      <c r="W543" t="s">
        <v>9910</v>
      </c>
      <c r="X543" t="s">
        <v>9911</v>
      </c>
      <c r="Y543" t="s">
        <v>9912</v>
      </c>
      <c r="Z543" t="s">
        <v>9913</v>
      </c>
      <c r="AA543" t="s">
        <v>74</v>
      </c>
      <c r="AB543" t="s">
        <v>74</v>
      </c>
      <c r="AC543" t="s">
        <v>9914</v>
      </c>
      <c r="AD543" t="s">
        <v>9915</v>
      </c>
      <c r="AE543" t="s">
        <v>9916</v>
      </c>
      <c r="AF543" t="s">
        <v>74</v>
      </c>
      <c r="AG543">
        <v>85</v>
      </c>
      <c r="AH543">
        <v>0</v>
      </c>
      <c r="AI543">
        <v>0</v>
      </c>
      <c r="AJ543">
        <v>1</v>
      </c>
      <c r="AK543">
        <v>1</v>
      </c>
      <c r="AL543" t="s">
        <v>90</v>
      </c>
      <c r="AM543" t="s">
        <v>91</v>
      </c>
      <c r="AN543" t="s">
        <v>92</v>
      </c>
      <c r="AO543" t="s">
        <v>8054</v>
      </c>
      <c r="AP543" t="s">
        <v>8055</v>
      </c>
      <c r="AQ543" t="s">
        <v>74</v>
      </c>
      <c r="AR543" t="s">
        <v>8056</v>
      </c>
      <c r="AS543" t="s">
        <v>8057</v>
      </c>
      <c r="AT543" t="s">
        <v>6659</v>
      </c>
      <c r="AU543">
        <v>2023</v>
      </c>
      <c r="AV543">
        <v>340</v>
      </c>
      <c r="AW543" t="s">
        <v>74</v>
      </c>
      <c r="AX543" t="s">
        <v>74</v>
      </c>
      <c r="AY543" t="s">
        <v>74</v>
      </c>
      <c r="AZ543" t="s">
        <v>74</v>
      </c>
      <c r="BA543" t="s">
        <v>74</v>
      </c>
      <c r="BB543">
        <v>213</v>
      </c>
      <c r="BC543">
        <v>220</v>
      </c>
      <c r="BD543" t="s">
        <v>74</v>
      </c>
      <c r="BE543" t="s">
        <v>9917</v>
      </c>
      <c r="BF543" t="str">
        <f>HYPERLINK("http://dx.doi.org/10.1016/j.jad.2023.08.004","http://dx.doi.org/10.1016/j.jad.2023.08.004")</f>
        <v>http://dx.doi.org/10.1016/j.jad.2023.08.004</v>
      </c>
      <c r="BG543" t="s">
        <v>74</v>
      </c>
      <c r="BH543" t="s">
        <v>74</v>
      </c>
      <c r="BI543">
        <v>8</v>
      </c>
      <c r="BJ543" t="s">
        <v>8059</v>
      </c>
      <c r="BK543" t="s">
        <v>666</v>
      </c>
      <c r="BL543" t="s">
        <v>8060</v>
      </c>
      <c r="BM543" t="s">
        <v>9918</v>
      </c>
      <c r="BN543">
        <v>37541599</v>
      </c>
      <c r="BO543" t="s">
        <v>74</v>
      </c>
      <c r="BP543" t="s">
        <v>74</v>
      </c>
      <c r="BQ543" t="s">
        <v>74</v>
      </c>
      <c r="BR543" t="s">
        <v>104</v>
      </c>
      <c r="BS543" t="s">
        <v>9919</v>
      </c>
      <c r="BT543" t="str">
        <f>HYPERLINK("https%3A%2F%2Fwww.webofscience.com%2Fwos%2Fwoscc%2Ffull-record%2FWOS:001061996500001","View Full Record in Web of Science")</f>
        <v>View Full Record in Web of Science</v>
      </c>
    </row>
    <row r="544" spans="1:72" x14ac:dyDescent="0.15">
      <c r="A544" t="s">
        <v>72</v>
      </c>
      <c r="B544" t="s">
        <v>9920</v>
      </c>
      <c r="C544" t="s">
        <v>74</v>
      </c>
      <c r="D544" t="s">
        <v>74</v>
      </c>
      <c r="E544" t="s">
        <v>74</v>
      </c>
      <c r="F544" t="s">
        <v>9921</v>
      </c>
      <c r="G544" t="s">
        <v>74</v>
      </c>
      <c r="H544" t="s">
        <v>74</v>
      </c>
      <c r="I544" t="s">
        <v>9922</v>
      </c>
      <c r="J544" t="s">
        <v>9923</v>
      </c>
      <c r="K544" t="s">
        <v>74</v>
      </c>
      <c r="L544" t="s">
        <v>74</v>
      </c>
      <c r="M544" t="s">
        <v>78</v>
      </c>
      <c r="N544" t="s">
        <v>79</v>
      </c>
      <c r="O544" t="s">
        <v>74</v>
      </c>
      <c r="P544" t="s">
        <v>74</v>
      </c>
      <c r="Q544" t="s">
        <v>74</v>
      </c>
      <c r="R544" t="s">
        <v>74</v>
      </c>
      <c r="S544" t="s">
        <v>74</v>
      </c>
      <c r="T544" t="s">
        <v>9924</v>
      </c>
      <c r="U544" t="s">
        <v>9925</v>
      </c>
      <c r="V544" t="s">
        <v>9926</v>
      </c>
      <c r="W544" t="s">
        <v>9927</v>
      </c>
      <c r="X544" t="s">
        <v>9928</v>
      </c>
      <c r="Y544" t="s">
        <v>9929</v>
      </c>
      <c r="Z544" t="s">
        <v>9930</v>
      </c>
      <c r="AA544" t="s">
        <v>74</v>
      </c>
      <c r="AB544" t="s">
        <v>74</v>
      </c>
      <c r="AC544" t="s">
        <v>74</v>
      </c>
      <c r="AD544" t="s">
        <v>74</v>
      </c>
      <c r="AE544" t="s">
        <v>74</v>
      </c>
      <c r="AF544" t="s">
        <v>74</v>
      </c>
      <c r="AG544">
        <v>54</v>
      </c>
      <c r="AH544">
        <v>0</v>
      </c>
      <c r="AI544">
        <v>0</v>
      </c>
      <c r="AJ544">
        <v>3</v>
      </c>
      <c r="AK544">
        <v>3</v>
      </c>
      <c r="AL544" t="s">
        <v>475</v>
      </c>
      <c r="AM544" t="s">
        <v>476</v>
      </c>
      <c r="AN544" t="s">
        <v>477</v>
      </c>
      <c r="AO544" t="s">
        <v>9931</v>
      </c>
      <c r="AP544" t="s">
        <v>9932</v>
      </c>
      <c r="AQ544" t="s">
        <v>74</v>
      </c>
      <c r="AR544" t="s">
        <v>9933</v>
      </c>
      <c r="AS544" t="s">
        <v>9934</v>
      </c>
      <c r="AT544" t="s">
        <v>6618</v>
      </c>
      <c r="AU544">
        <v>2023</v>
      </c>
      <c r="AV544">
        <v>458</v>
      </c>
      <c r="AW544" t="s">
        <v>74</v>
      </c>
      <c r="AX544">
        <v>1</v>
      </c>
      <c r="AY544" t="s">
        <v>74</v>
      </c>
      <c r="AZ544" t="s">
        <v>74</v>
      </c>
      <c r="BA544" t="s">
        <v>74</v>
      </c>
      <c r="BB544" t="s">
        <v>74</v>
      </c>
      <c r="BC544" t="s">
        <v>74</v>
      </c>
      <c r="BD544">
        <v>169445</v>
      </c>
      <c r="BE544" t="s">
        <v>9935</v>
      </c>
      <c r="BF544" t="str">
        <f>HYPERLINK("http://dx.doi.org/10.1016/j.aop.2023.169445","http://dx.doi.org/10.1016/j.aop.2023.169445")</f>
        <v>http://dx.doi.org/10.1016/j.aop.2023.169445</v>
      </c>
      <c r="BG544" t="s">
        <v>74</v>
      </c>
      <c r="BH544" t="s">
        <v>74</v>
      </c>
      <c r="BI544">
        <v>16</v>
      </c>
      <c r="BJ544" t="s">
        <v>9936</v>
      </c>
      <c r="BK544" t="s">
        <v>100</v>
      </c>
      <c r="BL544" t="s">
        <v>9937</v>
      </c>
      <c r="BM544" t="s">
        <v>9938</v>
      </c>
      <c r="BN544" t="s">
        <v>74</v>
      </c>
      <c r="BO544" t="s">
        <v>74</v>
      </c>
      <c r="BP544" t="s">
        <v>74</v>
      </c>
      <c r="BQ544" t="s">
        <v>74</v>
      </c>
      <c r="BR544" t="s">
        <v>104</v>
      </c>
      <c r="BS544" t="s">
        <v>9939</v>
      </c>
      <c r="BT544" t="str">
        <f>HYPERLINK("https%3A%2F%2Fwww.webofscience.com%2Fwos%2Fwoscc%2Ffull-record%2FWOS:001060287200001","View Full Record in Web of Science")</f>
        <v>View Full Record in Web of Science</v>
      </c>
    </row>
    <row r="545" spans="1:72" x14ac:dyDescent="0.15">
      <c r="A545" t="s">
        <v>72</v>
      </c>
      <c r="B545" t="s">
        <v>9940</v>
      </c>
      <c r="C545" t="s">
        <v>74</v>
      </c>
      <c r="D545" t="s">
        <v>74</v>
      </c>
      <c r="E545" t="s">
        <v>74</v>
      </c>
      <c r="F545" t="s">
        <v>9941</v>
      </c>
      <c r="G545" t="s">
        <v>74</v>
      </c>
      <c r="H545" t="s">
        <v>74</v>
      </c>
      <c r="I545" t="s">
        <v>9942</v>
      </c>
      <c r="J545" t="s">
        <v>9943</v>
      </c>
      <c r="K545" t="s">
        <v>74</v>
      </c>
      <c r="L545" t="s">
        <v>74</v>
      </c>
      <c r="M545" t="s">
        <v>78</v>
      </c>
      <c r="N545" t="s">
        <v>79</v>
      </c>
      <c r="O545" t="s">
        <v>74</v>
      </c>
      <c r="P545" t="s">
        <v>74</v>
      </c>
      <c r="Q545" t="s">
        <v>74</v>
      </c>
      <c r="R545" t="s">
        <v>74</v>
      </c>
      <c r="S545" t="s">
        <v>74</v>
      </c>
      <c r="T545" t="s">
        <v>9944</v>
      </c>
      <c r="U545" t="s">
        <v>9945</v>
      </c>
      <c r="V545" t="s">
        <v>9946</v>
      </c>
      <c r="W545" t="s">
        <v>9947</v>
      </c>
      <c r="X545" t="s">
        <v>9948</v>
      </c>
      <c r="Y545" t="s">
        <v>9949</v>
      </c>
      <c r="Z545" t="s">
        <v>9950</v>
      </c>
      <c r="AA545" t="s">
        <v>74</v>
      </c>
      <c r="AB545" t="s">
        <v>9951</v>
      </c>
      <c r="AC545" t="s">
        <v>9952</v>
      </c>
      <c r="AD545" t="s">
        <v>9953</v>
      </c>
      <c r="AE545" t="s">
        <v>9954</v>
      </c>
      <c r="AF545" t="s">
        <v>74</v>
      </c>
      <c r="AG545">
        <v>57</v>
      </c>
      <c r="AH545">
        <v>0</v>
      </c>
      <c r="AI545">
        <v>0</v>
      </c>
      <c r="AJ545">
        <v>2</v>
      </c>
      <c r="AK545">
        <v>2</v>
      </c>
      <c r="AL545" t="s">
        <v>147</v>
      </c>
      <c r="AM545" t="s">
        <v>148</v>
      </c>
      <c r="AN545" t="s">
        <v>149</v>
      </c>
      <c r="AO545" t="s">
        <v>9955</v>
      </c>
      <c r="AP545" t="s">
        <v>74</v>
      </c>
      <c r="AQ545" t="s">
        <v>74</v>
      </c>
      <c r="AR545" t="s">
        <v>9956</v>
      </c>
      <c r="AS545" t="s">
        <v>9957</v>
      </c>
      <c r="AT545" t="s">
        <v>6618</v>
      </c>
      <c r="AU545">
        <v>2023</v>
      </c>
      <c r="AV545">
        <v>37</v>
      </c>
      <c r="AW545" t="s">
        <v>74</v>
      </c>
      <c r="AX545" t="s">
        <v>74</v>
      </c>
      <c r="AY545" t="s">
        <v>74</v>
      </c>
      <c r="AZ545" t="s">
        <v>74</v>
      </c>
      <c r="BA545" t="s">
        <v>74</v>
      </c>
      <c r="BB545" t="s">
        <v>74</v>
      </c>
      <c r="BC545" t="s">
        <v>74</v>
      </c>
      <c r="BD545">
        <v>101759</v>
      </c>
      <c r="BE545" t="s">
        <v>9958</v>
      </c>
      <c r="BF545" t="str">
        <f>HYPERLINK("http://dx.doi.org/10.1016/j.tranon.2023.101759","http://dx.doi.org/10.1016/j.tranon.2023.101759")</f>
        <v>http://dx.doi.org/10.1016/j.tranon.2023.101759</v>
      </c>
      <c r="BG545" t="s">
        <v>74</v>
      </c>
      <c r="BH545" t="s">
        <v>74</v>
      </c>
      <c r="BI545">
        <v>11</v>
      </c>
      <c r="BJ545" t="s">
        <v>9959</v>
      </c>
      <c r="BK545" t="s">
        <v>100</v>
      </c>
      <c r="BL545" t="s">
        <v>9959</v>
      </c>
      <c r="BM545" t="s">
        <v>9960</v>
      </c>
      <c r="BN545">
        <v>37579711</v>
      </c>
      <c r="BO545" t="s">
        <v>4366</v>
      </c>
      <c r="BP545" t="s">
        <v>74</v>
      </c>
      <c r="BQ545" t="s">
        <v>74</v>
      </c>
      <c r="BR545" t="s">
        <v>104</v>
      </c>
      <c r="BS545" t="s">
        <v>9961</v>
      </c>
      <c r="BT545" t="str">
        <f>HYPERLINK("https%3A%2F%2Fwww.webofscience.com%2Fwos%2Fwoscc%2Ffull-record%2FWOS:001061443500001","View Full Record in Web of Science")</f>
        <v>View Full Record in Web of Science</v>
      </c>
    </row>
    <row r="546" spans="1:72" x14ac:dyDescent="0.15">
      <c r="A546" t="s">
        <v>72</v>
      </c>
      <c r="B546" t="s">
        <v>9962</v>
      </c>
      <c r="C546" t="s">
        <v>74</v>
      </c>
      <c r="D546" t="s">
        <v>74</v>
      </c>
      <c r="E546" t="s">
        <v>74</v>
      </c>
      <c r="F546" t="s">
        <v>9963</v>
      </c>
      <c r="G546" t="s">
        <v>74</v>
      </c>
      <c r="H546" t="s">
        <v>74</v>
      </c>
      <c r="I546" t="s">
        <v>9964</v>
      </c>
      <c r="J546" t="s">
        <v>6989</v>
      </c>
      <c r="K546" t="s">
        <v>74</v>
      </c>
      <c r="L546" t="s">
        <v>74</v>
      </c>
      <c r="M546" t="s">
        <v>78</v>
      </c>
      <c r="N546" t="s">
        <v>79</v>
      </c>
      <c r="O546" t="s">
        <v>74</v>
      </c>
      <c r="P546" t="s">
        <v>74</v>
      </c>
      <c r="Q546" t="s">
        <v>74</v>
      </c>
      <c r="R546" t="s">
        <v>74</v>
      </c>
      <c r="S546" t="s">
        <v>74</v>
      </c>
      <c r="T546" t="s">
        <v>9965</v>
      </c>
      <c r="U546" t="s">
        <v>9966</v>
      </c>
      <c r="V546" t="s">
        <v>9967</v>
      </c>
      <c r="W546" t="s">
        <v>9968</v>
      </c>
      <c r="X546" t="s">
        <v>9969</v>
      </c>
      <c r="Y546" t="s">
        <v>9970</v>
      </c>
      <c r="Z546" t="s">
        <v>9971</v>
      </c>
      <c r="AA546" t="s">
        <v>74</v>
      </c>
      <c r="AB546" t="s">
        <v>9972</v>
      </c>
      <c r="AC546" t="s">
        <v>9973</v>
      </c>
      <c r="AD546" t="s">
        <v>9974</v>
      </c>
      <c r="AE546" t="s">
        <v>9975</v>
      </c>
      <c r="AF546" t="s">
        <v>74</v>
      </c>
      <c r="AG546">
        <v>34</v>
      </c>
      <c r="AH546">
        <v>0</v>
      </c>
      <c r="AI546">
        <v>0</v>
      </c>
      <c r="AJ546">
        <v>20</v>
      </c>
      <c r="AK546">
        <v>20</v>
      </c>
      <c r="AL546" t="s">
        <v>173</v>
      </c>
      <c r="AM546" t="s">
        <v>121</v>
      </c>
      <c r="AN546" t="s">
        <v>174</v>
      </c>
      <c r="AO546" t="s">
        <v>6999</v>
      </c>
      <c r="AP546" t="s">
        <v>7000</v>
      </c>
      <c r="AQ546" t="s">
        <v>74</v>
      </c>
      <c r="AR546" t="s">
        <v>7001</v>
      </c>
      <c r="AS546" t="s">
        <v>7002</v>
      </c>
      <c r="AT546" t="s">
        <v>6618</v>
      </c>
      <c r="AU546">
        <v>2023</v>
      </c>
      <c r="AV546">
        <v>236</v>
      </c>
      <c r="AW546" t="s">
        <v>74</v>
      </c>
      <c r="AX546" t="s">
        <v>74</v>
      </c>
      <c r="AY546" t="s">
        <v>74</v>
      </c>
      <c r="AZ546" t="s">
        <v>74</v>
      </c>
      <c r="BA546" t="s">
        <v>74</v>
      </c>
      <c r="BB546" t="s">
        <v>74</v>
      </c>
      <c r="BC546" t="s">
        <v>74</v>
      </c>
      <c r="BD546">
        <v>115666</v>
      </c>
      <c r="BE546" t="s">
        <v>9976</v>
      </c>
      <c r="BF546" t="str">
        <f>HYPERLINK("http://dx.doi.org/10.1016/j.scriptamat.2023.115666","http://dx.doi.org/10.1016/j.scriptamat.2023.115666")</f>
        <v>http://dx.doi.org/10.1016/j.scriptamat.2023.115666</v>
      </c>
      <c r="BG546" t="s">
        <v>74</v>
      </c>
      <c r="BH546" t="s">
        <v>74</v>
      </c>
      <c r="BI546">
        <v>6</v>
      </c>
      <c r="BJ546" t="s">
        <v>7004</v>
      </c>
      <c r="BK546" t="s">
        <v>100</v>
      </c>
      <c r="BL546" t="s">
        <v>7005</v>
      </c>
      <c r="BM546" t="s">
        <v>9977</v>
      </c>
      <c r="BN546" t="s">
        <v>74</v>
      </c>
      <c r="BO546" t="s">
        <v>74</v>
      </c>
      <c r="BP546" t="s">
        <v>74</v>
      </c>
      <c r="BQ546" t="s">
        <v>74</v>
      </c>
      <c r="BR546" t="s">
        <v>104</v>
      </c>
      <c r="BS546" t="s">
        <v>9978</v>
      </c>
      <c r="BT546" t="str">
        <f>HYPERLINK("https%3A%2F%2Fwww.webofscience.com%2Fwos%2Fwoscc%2Ffull-record%2FWOS:001048749000001","View Full Record in Web of Science")</f>
        <v>View Full Record in Web of Science</v>
      </c>
    </row>
    <row r="547" spans="1:72" x14ac:dyDescent="0.15">
      <c r="A547" t="s">
        <v>72</v>
      </c>
      <c r="B547" t="s">
        <v>9979</v>
      </c>
      <c r="C547" t="s">
        <v>74</v>
      </c>
      <c r="D547" t="s">
        <v>74</v>
      </c>
      <c r="E547" t="s">
        <v>74</v>
      </c>
      <c r="F547" t="s">
        <v>9980</v>
      </c>
      <c r="G547" t="s">
        <v>74</v>
      </c>
      <c r="H547" t="s">
        <v>74</v>
      </c>
      <c r="I547" t="s">
        <v>9981</v>
      </c>
      <c r="J547" t="s">
        <v>8405</v>
      </c>
      <c r="K547" t="s">
        <v>74</v>
      </c>
      <c r="L547" t="s">
        <v>74</v>
      </c>
      <c r="M547" t="s">
        <v>78</v>
      </c>
      <c r="N547" t="s">
        <v>79</v>
      </c>
      <c r="O547" t="s">
        <v>74</v>
      </c>
      <c r="P547" t="s">
        <v>74</v>
      </c>
      <c r="Q547" t="s">
        <v>74</v>
      </c>
      <c r="R547" t="s">
        <v>74</v>
      </c>
      <c r="S547" t="s">
        <v>74</v>
      </c>
      <c r="T547" t="s">
        <v>9982</v>
      </c>
      <c r="U547" t="s">
        <v>9983</v>
      </c>
      <c r="V547" t="s">
        <v>9984</v>
      </c>
      <c r="W547" t="s">
        <v>9985</v>
      </c>
      <c r="X547" t="s">
        <v>9986</v>
      </c>
      <c r="Y547" t="s">
        <v>9987</v>
      </c>
      <c r="Z547" t="s">
        <v>9988</v>
      </c>
      <c r="AA547" t="s">
        <v>74</v>
      </c>
      <c r="AB547" t="s">
        <v>74</v>
      </c>
      <c r="AC547" t="s">
        <v>9989</v>
      </c>
      <c r="AD547" t="s">
        <v>9990</v>
      </c>
      <c r="AE547" t="s">
        <v>9991</v>
      </c>
      <c r="AF547" t="s">
        <v>74</v>
      </c>
      <c r="AG547">
        <v>46</v>
      </c>
      <c r="AH547">
        <v>0</v>
      </c>
      <c r="AI547">
        <v>0</v>
      </c>
      <c r="AJ547">
        <v>4</v>
      </c>
      <c r="AK547">
        <v>4</v>
      </c>
      <c r="AL547" t="s">
        <v>90</v>
      </c>
      <c r="AM547" t="s">
        <v>91</v>
      </c>
      <c r="AN547" t="s">
        <v>92</v>
      </c>
      <c r="AO547" t="s">
        <v>8418</v>
      </c>
      <c r="AP547" t="s">
        <v>8419</v>
      </c>
      <c r="AQ547" t="s">
        <v>74</v>
      </c>
      <c r="AR547" t="s">
        <v>8420</v>
      </c>
      <c r="AS547" t="s">
        <v>8421</v>
      </c>
      <c r="AT547" t="s">
        <v>6618</v>
      </c>
      <c r="AU547">
        <v>2023</v>
      </c>
      <c r="AV547">
        <v>122</v>
      </c>
      <c r="AW547" t="s">
        <v>74</v>
      </c>
      <c r="AX547" t="s">
        <v>74</v>
      </c>
      <c r="AY547" t="s">
        <v>74</v>
      </c>
      <c r="AZ547" t="s">
        <v>74</v>
      </c>
      <c r="BA547" t="s">
        <v>74</v>
      </c>
      <c r="BB547" t="s">
        <v>74</v>
      </c>
      <c r="BC547" t="s">
        <v>74</v>
      </c>
      <c r="BD547">
        <v>106896</v>
      </c>
      <c r="BE547" t="s">
        <v>9992</v>
      </c>
      <c r="BF547" t="str">
        <f>HYPERLINK("http://dx.doi.org/10.1016/j.orgel.2023.106896","http://dx.doi.org/10.1016/j.orgel.2023.106896")</f>
        <v>http://dx.doi.org/10.1016/j.orgel.2023.106896</v>
      </c>
      <c r="BG547" t="s">
        <v>74</v>
      </c>
      <c r="BH547" t="s">
        <v>74</v>
      </c>
      <c r="BI547">
        <v>8</v>
      </c>
      <c r="BJ547" t="s">
        <v>3021</v>
      </c>
      <c r="BK547" t="s">
        <v>100</v>
      </c>
      <c r="BL547" t="s">
        <v>3022</v>
      </c>
      <c r="BM547" t="s">
        <v>9993</v>
      </c>
      <c r="BN547" t="s">
        <v>74</v>
      </c>
      <c r="BO547" t="s">
        <v>74</v>
      </c>
      <c r="BP547" t="s">
        <v>74</v>
      </c>
      <c r="BQ547" t="s">
        <v>74</v>
      </c>
      <c r="BR547" t="s">
        <v>104</v>
      </c>
      <c r="BS547" t="s">
        <v>9994</v>
      </c>
      <c r="BT547" t="str">
        <f>HYPERLINK("https%3A%2F%2Fwww.webofscience.com%2Fwos%2Fwoscc%2Ffull-record%2FWOS:001052485600001","View Full Record in Web of Science")</f>
        <v>View Full Record in Web of Science</v>
      </c>
    </row>
    <row r="548" spans="1:72" x14ac:dyDescent="0.15">
      <c r="A548" t="s">
        <v>72</v>
      </c>
      <c r="B548" t="s">
        <v>9995</v>
      </c>
      <c r="C548" t="s">
        <v>74</v>
      </c>
      <c r="D548" t="s">
        <v>74</v>
      </c>
      <c r="E548" t="s">
        <v>74</v>
      </c>
      <c r="F548" t="s">
        <v>9996</v>
      </c>
      <c r="G548" t="s">
        <v>74</v>
      </c>
      <c r="H548" t="s">
        <v>74</v>
      </c>
      <c r="I548" t="s">
        <v>9997</v>
      </c>
      <c r="J548" t="s">
        <v>5687</v>
      </c>
      <c r="K548" t="s">
        <v>74</v>
      </c>
      <c r="L548" t="s">
        <v>74</v>
      </c>
      <c r="M548" t="s">
        <v>78</v>
      </c>
      <c r="N548" t="s">
        <v>79</v>
      </c>
      <c r="O548" t="s">
        <v>74</v>
      </c>
      <c r="P548" t="s">
        <v>74</v>
      </c>
      <c r="Q548" t="s">
        <v>74</v>
      </c>
      <c r="R548" t="s">
        <v>74</v>
      </c>
      <c r="S548" t="s">
        <v>74</v>
      </c>
      <c r="T548" t="s">
        <v>9998</v>
      </c>
      <c r="U548" t="s">
        <v>9999</v>
      </c>
      <c r="V548" t="s">
        <v>10000</v>
      </c>
      <c r="W548" t="s">
        <v>10001</v>
      </c>
      <c r="X548" t="s">
        <v>10002</v>
      </c>
      <c r="Y548" t="s">
        <v>10003</v>
      </c>
      <c r="Z548" t="s">
        <v>10004</v>
      </c>
      <c r="AA548" t="s">
        <v>74</v>
      </c>
      <c r="AB548" t="s">
        <v>74</v>
      </c>
      <c r="AC548" t="s">
        <v>10005</v>
      </c>
      <c r="AD548" t="s">
        <v>10006</v>
      </c>
      <c r="AE548" t="s">
        <v>10007</v>
      </c>
      <c r="AF548" t="s">
        <v>74</v>
      </c>
      <c r="AG548">
        <v>45</v>
      </c>
      <c r="AH548">
        <v>0</v>
      </c>
      <c r="AI548">
        <v>0</v>
      </c>
      <c r="AJ548">
        <v>9</v>
      </c>
      <c r="AK548">
        <v>9</v>
      </c>
      <c r="AL548" t="s">
        <v>90</v>
      </c>
      <c r="AM548" t="s">
        <v>91</v>
      </c>
      <c r="AN548" t="s">
        <v>92</v>
      </c>
      <c r="AO548" t="s">
        <v>5698</v>
      </c>
      <c r="AP548" t="s">
        <v>5699</v>
      </c>
      <c r="AQ548" t="s">
        <v>74</v>
      </c>
      <c r="AR548" t="s">
        <v>5687</v>
      </c>
      <c r="AS548" t="s">
        <v>5700</v>
      </c>
      <c r="AT548" t="s">
        <v>6659</v>
      </c>
      <c r="AU548">
        <v>2023</v>
      </c>
      <c r="AV548">
        <v>565</v>
      </c>
      <c r="AW548" t="s">
        <v>74</v>
      </c>
      <c r="AX548" t="s">
        <v>74</v>
      </c>
      <c r="AY548" t="s">
        <v>74</v>
      </c>
      <c r="AZ548" t="s">
        <v>74</v>
      </c>
      <c r="BA548" t="s">
        <v>74</v>
      </c>
      <c r="BB548" t="s">
        <v>74</v>
      </c>
      <c r="BC548" t="s">
        <v>74</v>
      </c>
      <c r="BD548">
        <v>116856</v>
      </c>
      <c r="BE548" t="s">
        <v>10008</v>
      </c>
      <c r="BF548" t="str">
        <f>HYPERLINK("http://dx.doi.org/10.1016/j.desal.2023.116856","http://dx.doi.org/10.1016/j.desal.2023.116856")</f>
        <v>http://dx.doi.org/10.1016/j.desal.2023.116856</v>
      </c>
      <c r="BG548" t="s">
        <v>74</v>
      </c>
      <c r="BH548" t="s">
        <v>74</v>
      </c>
      <c r="BI548">
        <v>10</v>
      </c>
      <c r="BJ548" t="s">
        <v>5702</v>
      </c>
      <c r="BK548" t="s">
        <v>100</v>
      </c>
      <c r="BL548" t="s">
        <v>5703</v>
      </c>
      <c r="BM548" t="s">
        <v>10009</v>
      </c>
      <c r="BN548" t="s">
        <v>74</v>
      </c>
      <c r="BO548" t="s">
        <v>74</v>
      </c>
      <c r="BP548" t="s">
        <v>74</v>
      </c>
      <c r="BQ548" t="s">
        <v>74</v>
      </c>
      <c r="BR548" t="s">
        <v>104</v>
      </c>
      <c r="BS548" t="s">
        <v>10010</v>
      </c>
      <c r="BT548" t="str">
        <f>HYPERLINK("https%3A%2F%2Fwww.webofscience.com%2Fwos%2Fwoscc%2Ffull-record%2FWOS:001047300100001","View Full Record in Web of Science")</f>
        <v>View Full Record in Web of Science</v>
      </c>
    </row>
    <row r="549" spans="1:72" x14ac:dyDescent="0.15">
      <c r="A549" t="s">
        <v>72</v>
      </c>
      <c r="B549" t="s">
        <v>10011</v>
      </c>
      <c r="C549" t="s">
        <v>74</v>
      </c>
      <c r="D549" t="s">
        <v>74</v>
      </c>
      <c r="E549" t="s">
        <v>74</v>
      </c>
      <c r="F549" t="s">
        <v>10012</v>
      </c>
      <c r="G549" t="s">
        <v>74</v>
      </c>
      <c r="H549" t="s">
        <v>10013</v>
      </c>
      <c r="I549" t="s">
        <v>10014</v>
      </c>
      <c r="J549" t="s">
        <v>10015</v>
      </c>
      <c r="K549" t="s">
        <v>74</v>
      </c>
      <c r="L549" t="s">
        <v>74</v>
      </c>
      <c r="M549" t="s">
        <v>78</v>
      </c>
      <c r="N549" t="s">
        <v>241</v>
      </c>
      <c r="O549" t="s">
        <v>74</v>
      </c>
      <c r="P549" t="s">
        <v>74</v>
      </c>
      <c r="Q549" t="s">
        <v>74</v>
      </c>
      <c r="R549" t="s">
        <v>74</v>
      </c>
      <c r="S549" t="s">
        <v>74</v>
      </c>
      <c r="T549" t="s">
        <v>10016</v>
      </c>
      <c r="U549" t="s">
        <v>10017</v>
      </c>
      <c r="V549" t="s">
        <v>10018</v>
      </c>
      <c r="W549" t="s">
        <v>10019</v>
      </c>
      <c r="X549" t="s">
        <v>10020</v>
      </c>
      <c r="Y549" t="s">
        <v>10021</v>
      </c>
      <c r="Z549" t="s">
        <v>10022</v>
      </c>
      <c r="AA549" t="s">
        <v>10023</v>
      </c>
      <c r="AB549" t="s">
        <v>10024</v>
      </c>
      <c r="AC549" t="s">
        <v>10025</v>
      </c>
      <c r="AD549" t="s">
        <v>10026</v>
      </c>
      <c r="AE549" t="s">
        <v>10027</v>
      </c>
      <c r="AF549" t="s">
        <v>74</v>
      </c>
      <c r="AG549">
        <v>85</v>
      </c>
      <c r="AH549">
        <v>0</v>
      </c>
      <c r="AI549">
        <v>0</v>
      </c>
      <c r="AJ549">
        <v>1</v>
      </c>
      <c r="AK549">
        <v>1</v>
      </c>
      <c r="AL549" t="s">
        <v>90</v>
      </c>
      <c r="AM549" t="s">
        <v>91</v>
      </c>
      <c r="AN549" t="s">
        <v>92</v>
      </c>
      <c r="AO549" t="s">
        <v>10028</v>
      </c>
      <c r="AP549" t="s">
        <v>10029</v>
      </c>
      <c r="AQ549" t="s">
        <v>74</v>
      </c>
      <c r="AR549" t="s">
        <v>10030</v>
      </c>
      <c r="AS549" t="s">
        <v>10031</v>
      </c>
      <c r="AT549" t="s">
        <v>6618</v>
      </c>
      <c r="AU549">
        <v>2023</v>
      </c>
      <c r="AV549">
        <v>76</v>
      </c>
      <c r="AW549" t="s">
        <v>74</v>
      </c>
      <c r="AX549" t="s">
        <v>74</v>
      </c>
      <c r="AY549" t="s">
        <v>74</v>
      </c>
      <c r="AZ549" t="s">
        <v>74</v>
      </c>
      <c r="BA549" t="s">
        <v>74</v>
      </c>
      <c r="BB549">
        <v>89</v>
      </c>
      <c r="BC549">
        <v>107</v>
      </c>
      <c r="BD549" t="s">
        <v>74</v>
      </c>
      <c r="BE549" t="s">
        <v>10032</v>
      </c>
      <c r="BF549" t="str">
        <f>HYPERLINK("http://dx.doi.org/10.1016/j.euroneuro.2023.07.012","http://dx.doi.org/10.1016/j.euroneuro.2023.07.012")</f>
        <v>http://dx.doi.org/10.1016/j.euroneuro.2023.07.012</v>
      </c>
      <c r="BG549" t="s">
        <v>74</v>
      </c>
      <c r="BH549" t="s">
        <v>74</v>
      </c>
      <c r="BI549">
        <v>19</v>
      </c>
      <c r="BJ549" t="s">
        <v>10033</v>
      </c>
      <c r="BK549" t="s">
        <v>100</v>
      </c>
      <c r="BL549" t="s">
        <v>10034</v>
      </c>
      <c r="BM549" t="s">
        <v>10035</v>
      </c>
      <c r="BN549">
        <v>37595325</v>
      </c>
      <c r="BO549" t="s">
        <v>295</v>
      </c>
      <c r="BP549" t="s">
        <v>74</v>
      </c>
      <c r="BQ549" t="s">
        <v>74</v>
      </c>
      <c r="BR549" t="s">
        <v>104</v>
      </c>
      <c r="BS549" t="s">
        <v>10036</v>
      </c>
      <c r="BT549" t="str">
        <f>HYPERLINK("https%3A%2F%2Fwww.webofscience.com%2Fwos%2Fwoscc%2Ffull-record%2FWOS:001059484700001","View Full Record in Web of Science")</f>
        <v>View Full Record in Web of Science</v>
      </c>
    </row>
    <row r="550" spans="1:72" x14ac:dyDescent="0.15">
      <c r="A550" t="s">
        <v>72</v>
      </c>
      <c r="B550" t="s">
        <v>10037</v>
      </c>
      <c r="C550" t="s">
        <v>74</v>
      </c>
      <c r="D550" t="s">
        <v>74</v>
      </c>
      <c r="E550" t="s">
        <v>74</v>
      </c>
      <c r="F550" t="s">
        <v>10038</v>
      </c>
      <c r="G550" t="s">
        <v>74</v>
      </c>
      <c r="H550" t="s">
        <v>74</v>
      </c>
      <c r="I550" t="s">
        <v>10039</v>
      </c>
      <c r="J550" t="s">
        <v>7051</v>
      </c>
      <c r="K550" t="s">
        <v>74</v>
      </c>
      <c r="L550" t="s">
        <v>74</v>
      </c>
      <c r="M550" t="s">
        <v>78</v>
      </c>
      <c r="N550" t="s">
        <v>241</v>
      </c>
      <c r="O550" t="s">
        <v>74</v>
      </c>
      <c r="P550" t="s">
        <v>74</v>
      </c>
      <c r="Q550" t="s">
        <v>74</v>
      </c>
      <c r="R550" t="s">
        <v>74</v>
      </c>
      <c r="S550" t="s">
        <v>74</v>
      </c>
      <c r="T550" t="s">
        <v>10040</v>
      </c>
      <c r="U550" t="s">
        <v>10041</v>
      </c>
      <c r="V550" t="s">
        <v>10042</v>
      </c>
      <c r="W550" t="s">
        <v>10043</v>
      </c>
      <c r="X550" t="s">
        <v>10044</v>
      </c>
      <c r="Y550" t="s">
        <v>10045</v>
      </c>
      <c r="Z550" t="s">
        <v>10046</v>
      </c>
      <c r="AA550" t="s">
        <v>74</v>
      </c>
      <c r="AB550" t="s">
        <v>10047</v>
      </c>
      <c r="AC550" t="s">
        <v>10048</v>
      </c>
      <c r="AD550" t="s">
        <v>10049</v>
      </c>
      <c r="AE550" t="s">
        <v>10050</v>
      </c>
      <c r="AF550" t="s">
        <v>74</v>
      </c>
      <c r="AG550">
        <v>129</v>
      </c>
      <c r="AH550">
        <v>0</v>
      </c>
      <c r="AI550">
        <v>0</v>
      </c>
      <c r="AJ550">
        <v>1</v>
      </c>
      <c r="AK550">
        <v>1</v>
      </c>
      <c r="AL550" t="s">
        <v>90</v>
      </c>
      <c r="AM550" t="s">
        <v>91</v>
      </c>
      <c r="AN550" t="s">
        <v>92</v>
      </c>
      <c r="AO550" t="s">
        <v>7062</v>
      </c>
      <c r="AP550" t="s">
        <v>7063</v>
      </c>
      <c r="AQ550" t="s">
        <v>74</v>
      </c>
      <c r="AR550" t="s">
        <v>7064</v>
      </c>
      <c r="AS550" t="s">
        <v>7065</v>
      </c>
      <c r="AT550" t="s">
        <v>6618</v>
      </c>
      <c r="AU550">
        <v>2023</v>
      </c>
      <c r="AV550">
        <v>230</v>
      </c>
      <c r="AW550" t="s">
        <v>74</v>
      </c>
      <c r="AX550" t="s">
        <v>74</v>
      </c>
      <c r="AY550" t="s">
        <v>74</v>
      </c>
      <c r="AZ550" t="s">
        <v>74</v>
      </c>
      <c r="BA550" t="s">
        <v>74</v>
      </c>
      <c r="BB550" t="s">
        <v>74</v>
      </c>
      <c r="BC550" t="s">
        <v>74</v>
      </c>
      <c r="BD550">
        <v>212156</v>
      </c>
      <c r="BE550" t="s">
        <v>10051</v>
      </c>
      <c r="BF550" t="str">
        <f>HYPERLINK("http://dx.doi.org/10.1016/j.geoen.2023.212156","http://dx.doi.org/10.1016/j.geoen.2023.212156")</f>
        <v>http://dx.doi.org/10.1016/j.geoen.2023.212156</v>
      </c>
      <c r="BG550" t="s">
        <v>74</v>
      </c>
      <c r="BH550" t="s">
        <v>74</v>
      </c>
      <c r="BI550">
        <v>18</v>
      </c>
      <c r="BJ550" t="s">
        <v>7067</v>
      </c>
      <c r="BK550" t="s">
        <v>100</v>
      </c>
      <c r="BL550" t="s">
        <v>277</v>
      </c>
      <c r="BM550" t="s">
        <v>10052</v>
      </c>
      <c r="BN550" t="s">
        <v>74</v>
      </c>
      <c r="BO550" t="s">
        <v>295</v>
      </c>
      <c r="BP550" t="s">
        <v>74</v>
      </c>
      <c r="BQ550" t="s">
        <v>74</v>
      </c>
      <c r="BR550" t="s">
        <v>104</v>
      </c>
      <c r="BS550" t="s">
        <v>10053</v>
      </c>
      <c r="BT550" t="str">
        <f>HYPERLINK("https%3A%2F%2Fwww.webofscience.com%2Fwos%2Fwoscc%2Ffull-record%2FWOS:001052184200001","View Full Record in Web of Science")</f>
        <v>View Full Record in Web of Science</v>
      </c>
    </row>
    <row r="551" spans="1:72" x14ac:dyDescent="0.15">
      <c r="A551" t="s">
        <v>72</v>
      </c>
      <c r="B551" t="s">
        <v>10054</v>
      </c>
      <c r="C551" t="s">
        <v>74</v>
      </c>
      <c r="D551" t="s">
        <v>74</v>
      </c>
      <c r="E551" t="s">
        <v>74</v>
      </c>
      <c r="F551" t="s">
        <v>10055</v>
      </c>
      <c r="G551" t="s">
        <v>74</v>
      </c>
      <c r="H551" t="s">
        <v>74</v>
      </c>
      <c r="I551" t="s">
        <v>10056</v>
      </c>
      <c r="J551" t="s">
        <v>3005</v>
      </c>
      <c r="K551" t="s">
        <v>74</v>
      </c>
      <c r="L551" t="s">
        <v>74</v>
      </c>
      <c r="M551" t="s">
        <v>78</v>
      </c>
      <c r="N551" t="s">
        <v>79</v>
      </c>
      <c r="O551" t="s">
        <v>74</v>
      </c>
      <c r="P551" t="s">
        <v>74</v>
      </c>
      <c r="Q551" t="s">
        <v>74</v>
      </c>
      <c r="R551" t="s">
        <v>74</v>
      </c>
      <c r="S551" t="s">
        <v>74</v>
      </c>
      <c r="T551" t="s">
        <v>10057</v>
      </c>
      <c r="U551" t="s">
        <v>74</v>
      </c>
      <c r="V551" t="s">
        <v>10058</v>
      </c>
      <c r="W551" t="s">
        <v>10059</v>
      </c>
      <c r="X551" t="s">
        <v>10060</v>
      </c>
      <c r="Y551" t="s">
        <v>10061</v>
      </c>
      <c r="Z551" t="s">
        <v>10062</v>
      </c>
      <c r="AA551" t="s">
        <v>74</v>
      </c>
      <c r="AB551" t="s">
        <v>10063</v>
      </c>
      <c r="AC551" t="s">
        <v>74</v>
      </c>
      <c r="AD551" t="s">
        <v>74</v>
      </c>
      <c r="AE551" t="s">
        <v>74</v>
      </c>
      <c r="AF551" t="s">
        <v>74</v>
      </c>
      <c r="AG551">
        <v>12</v>
      </c>
      <c r="AH551">
        <v>0</v>
      </c>
      <c r="AI551">
        <v>0</v>
      </c>
      <c r="AJ551">
        <v>0</v>
      </c>
      <c r="AK551">
        <v>0</v>
      </c>
      <c r="AL551" t="s">
        <v>90</v>
      </c>
      <c r="AM551" t="s">
        <v>91</v>
      </c>
      <c r="AN551" t="s">
        <v>92</v>
      </c>
      <c r="AO551" t="s">
        <v>3016</v>
      </c>
      <c r="AP551" t="s">
        <v>3017</v>
      </c>
      <c r="AQ551" t="s">
        <v>74</v>
      </c>
      <c r="AR551" t="s">
        <v>3018</v>
      </c>
      <c r="AS551" t="s">
        <v>3019</v>
      </c>
      <c r="AT551" t="s">
        <v>6659</v>
      </c>
      <c r="AU551">
        <v>2023</v>
      </c>
      <c r="AV551">
        <v>350</v>
      </c>
      <c r="AW551" t="s">
        <v>74</v>
      </c>
      <c r="AX551" t="s">
        <v>74</v>
      </c>
      <c r="AY551" t="s">
        <v>74</v>
      </c>
      <c r="AZ551" t="s">
        <v>74</v>
      </c>
      <c r="BA551" t="s">
        <v>74</v>
      </c>
      <c r="BB551" t="s">
        <v>74</v>
      </c>
      <c r="BC551" t="s">
        <v>74</v>
      </c>
      <c r="BD551">
        <v>134969</v>
      </c>
      <c r="BE551" t="s">
        <v>10064</v>
      </c>
      <c r="BF551" t="str">
        <f>HYPERLINK("http://dx.doi.org/10.1016/j.matlet.2023.134969","http://dx.doi.org/10.1016/j.matlet.2023.134969")</f>
        <v>http://dx.doi.org/10.1016/j.matlet.2023.134969</v>
      </c>
      <c r="BG551" t="s">
        <v>74</v>
      </c>
      <c r="BH551" t="s">
        <v>74</v>
      </c>
      <c r="BI551">
        <v>4</v>
      </c>
      <c r="BJ551" t="s">
        <v>3021</v>
      </c>
      <c r="BK551" t="s">
        <v>100</v>
      </c>
      <c r="BL551" t="s">
        <v>3022</v>
      </c>
      <c r="BM551" t="s">
        <v>10065</v>
      </c>
      <c r="BN551" t="s">
        <v>74</v>
      </c>
      <c r="BO551" t="s">
        <v>74</v>
      </c>
      <c r="BP551" t="s">
        <v>74</v>
      </c>
      <c r="BQ551" t="s">
        <v>74</v>
      </c>
      <c r="BR551" t="s">
        <v>104</v>
      </c>
      <c r="BS551" t="s">
        <v>10066</v>
      </c>
      <c r="BT551" t="str">
        <f>HYPERLINK("https%3A%2F%2Fwww.webofscience.com%2Fwos%2Fwoscc%2Ffull-record%2FWOS:001052432500001","View Full Record in Web of Science")</f>
        <v>View Full Record in Web of Science</v>
      </c>
    </row>
    <row r="552" spans="1:72" x14ac:dyDescent="0.15">
      <c r="A552" t="s">
        <v>72</v>
      </c>
      <c r="B552" t="s">
        <v>10067</v>
      </c>
      <c r="C552" t="s">
        <v>74</v>
      </c>
      <c r="D552" t="s">
        <v>74</v>
      </c>
      <c r="E552" t="s">
        <v>74</v>
      </c>
      <c r="F552" t="s">
        <v>10068</v>
      </c>
      <c r="G552" t="s">
        <v>74</v>
      </c>
      <c r="H552" t="s">
        <v>74</v>
      </c>
      <c r="I552" t="s">
        <v>10069</v>
      </c>
      <c r="J552" t="s">
        <v>8946</v>
      </c>
      <c r="K552" t="s">
        <v>74</v>
      </c>
      <c r="L552" t="s">
        <v>74</v>
      </c>
      <c r="M552" t="s">
        <v>78</v>
      </c>
      <c r="N552" t="s">
        <v>79</v>
      </c>
      <c r="O552" t="s">
        <v>74</v>
      </c>
      <c r="P552" t="s">
        <v>74</v>
      </c>
      <c r="Q552" t="s">
        <v>74</v>
      </c>
      <c r="R552" t="s">
        <v>74</v>
      </c>
      <c r="S552" t="s">
        <v>74</v>
      </c>
      <c r="T552" t="s">
        <v>10070</v>
      </c>
      <c r="U552" t="s">
        <v>10071</v>
      </c>
      <c r="V552" t="s">
        <v>10072</v>
      </c>
      <c r="W552" t="s">
        <v>10073</v>
      </c>
      <c r="X552" t="s">
        <v>10074</v>
      </c>
      <c r="Y552" t="s">
        <v>10075</v>
      </c>
      <c r="Z552" t="s">
        <v>10076</v>
      </c>
      <c r="AA552" t="s">
        <v>10077</v>
      </c>
      <c r="AB552" t="s">
        <v>10078</v>
      </c>
      <c r="AC552" t="s">
        <v>74</v>
      </c>
      <c r="AD552" t="s">
        <v>74</v>
      </c>
      <c r="AE552" t="s">
        <v>74</v>
      </c>
      <c r="AF552" t="s">
        <v>74</v>
      </c>
      <c r="AG552">
        <v>40</v>
      </c>
      <c r="AH552">
        <v>0</v>
      </c>
      <c r="AI552">
        <v>0</v>
      </c>
      <c r="AJ552">
        <v>1</v>
      </c>
      <c r="AK552">
        <v>1</v>
      </c>
      <c r="AL552" t="s">
        <v>120</v>
      </c>
      <c r="AM552" t="s">
        <v>121</v>
      </c>
      <c r="AN552" t="s">
        <v>122</v>
      </c>
      <c r="AO552" t="s">
        <v>8954</v>
      </c>
      <c r="AP552" t="s">
        <v>8955</v>
      </c>
      <c r="AQ552" t="s">
        <v>74</v>
      </c>
      <c r="AR552" t="s">
        <v>8956</v>
      </c>
      <c r="AS552" t="s">
        <v>8957</v>
      </c>
      <c r="AT552" t="s">
        <v>6618</v>
      </c>
      <c r="AU552">
        <v>2023</v>
      </c>
      <c r="AV552">
        <v>219</v>
      </c>
      <c r="AW552" t="s">
        <v>74</v>
      </c>
      <c r="AX552" t="s">
        <v>74</v>
      </c>
      <c r="AY552" t="s">
        <v>74</v>
      </c>
      <c r="AZ552" t="s">
        <v>74</v>
      </c>
      <c r="BA552" t="s">
        <v>74</v>
      </c>
      <c r="BB552" t="s">
        <v>74</v>
      </c>
      <c r="BC552" t="s">
        <v>74</v>
      </c>
      <c r="BD552">
        <v>111537</v>
      </c>
      <c r="BE552" t="s">
        <v>10079</v>
      </c>
      <c r="BF552" t="str">
        <f>HYPERLINK("http://dx.doi.org/10.1016/j.dyepig.2023.111537","http://dx.doi.org/10.1016/j.dyepig.2023.111537")</f>
        <v>http://dx.doi.org/10.1016/j.dyepig.2023.111537</v>
      </c>
      <c r="BG552" t="s">
        <v>74</v>
      </c>
      <c r="BH552" t="s">
        <v>74</v>
      </c>
      <c r="BI552">
        <v>11</v>
      </c>
      <c r="BJ552" t="s">
        <v>8959</v>
      </c>
      <c r="BK552" t="s">
        <v>100</v>
      </c>
      <c r="BL552" t="s">
        <v>8960</v>
      </c>
      <c r="BM552" t="s">
        <v>10080</v>
      </c>
      <c r="BN552" t="s">
        <v>74</v>
      </c>
      <c r="BO552" t="s">
        <v>74</v>
      </c>
      <c r="BP552" t="s">
        <v>74</v>
      </c>
      <c r="BQ552" t="s">
        <v>74</v>
      </c>
      <c r="BR552" t="s">
        <v>104</v>
      </c>
      <c r="BS552" t="s">
        <v>10081</v>
      </c>
      <c r="BT552" t="str">
        <f>HYPERLINK("https%3A%2F%2Fwww.webofscience.com%2Fwos%2Fwoscc%2Ffull-record%2FWOS:001044252400001","View Full Record in Web of Science")</f>
        <v>View Full Record in Web of Science</v>
      </c>
    </row>
    <row r="553" spans="1:72" x14ac:dyDescent="0.15">
      <c r="A553" t="s">
        <v>72</v>
      </c>
      <c r="B553" t="s">
        <v>10082</v>
      </c>
      <c r="C553" t="s">
        <v>74</v>
      </c>
      <c r="D553" t="s">
        <v>74</v>
      </c>
      <c r="E553" t="s">
        <v>74</v>
      </c>
      <c r="F553" t="s">
        <v>10083</v>
      </c>
      <c r="G553" t="s">
        <v>74</v>
      </c>
      <c r="H553" t="s">
        <v>74</v>
      </c>
      <c r="I553" t="s">
        <v>10084</v>
      </c>
      <c r="J553" t="s">
        <v>10085</v>
      </c>
      <c r="K553" t="s">
        <v>74</v>
      </c>
      <c r="L553" t="s">
        <v>74</v>
      </c>
      <c r="M553" t="s">
        <v>78</v>
      </c>
      <c r="N553" t="s">
        <v>79</v>
      </c>
      <c r="O553" t="s">
        <v>74</v>
      </c>
      <c r="P553" t="s">
        <v>74</v>
      </c>
      <c r="Q553" t="s">
        <v>74</v>
      </c>
      <c r="R553" t="s">
        <v>74</v>
      </c>
      <c r="S553" t="s">
        <v>74</v>
      </c>
      <c r="T553" t="s">
        <v>10086</v>
      </c>
      <c r="U553" t="s">
        <v>10087</v>
      </c>
      <c r="V553" t="s">
        <v>10088</v>
      </c>
      <c r="W553" t="s">
        <v>10089</v>
      </c>
      <c r="X553" t="s">
        <v>10090</v>
      </c>
      <c r="Y553" t="s">
        <v>10091</v>
      </c>
      <c r="Z553" t="s">
        <v>10092</v>
      </c>
      <c r="AA553" t="s">
        <v>74</v>
      </c>
      <c r="AB553" t="s">
        <v>74</v>
      </c>
      <c r="AC553" t="s">
        <v>10093</v>
      </c>
      <c r="AD553" t="s">
        <v>10094</v>
      </c>
      <c r="AE553" t="s">
        <v>10095</v>
      </c>
      <c r="AF553" t="s">
        <v>74</v>
      </c>
      <c r="AG553">
        <v>65</v>
      </c>
      <c r="AH553">
        <v>0</v>
      </c>
      <c r="AI553">
        <v>0</v>
      </c>
      <c r="AJ553">
        <v>1</v>
      </c>
      <c r="AK553">
        <v>1</v>
      </c>
      <c r="AL553" t="s">
        <v>955</v>
      </c>
      <c r="AM553" t="s">
        <v>956</v>
      </c>
      <c r="AN553" t="s">
        <v>957</v>
      </c>
      <c r="AO553" t="s">
        <v>10096</v>
      </c>
      <c r="AP553" t="s">
        <v>10097</v>
      </c>
      <c r="AQ553" t="s">
        <v>74</v>
      </c>
      <c r="AR553" t="s">
        <v>10098</v>
      </c>
      <c r="AS553" t="s">
        <v>10099</v>
      </c>
      <c r="AT553" t="s">
        <v>6618</v>
      </c>
      <c r="AU553">
        <v>2023</v>
      </c>
      <c r="AV553">
        <v>139</v>
      </c>
      <c r="AW553" t="s">
        <v>74</v>
      </c>
      <c r="AX553" t="s">
        <v>74</v>
      </c>
      <c r="AY553" t="s">
        <v>74</v>
      </c>
      <c r="AZ553" t="s">
        <v>74</v>
      </c>
      <c r="BA553" t="s">
        <v>74</v>
      </c>
      <c r="BB553" t="s">
        <v>74</v>
      </c>
      <c r="BC553" t="s">
        <v>74</v>
      </c>
      <c r="BD553">
        <v>110276</v>
      </c>
      <c r="BE553" t="s">
        <v>10100</v>
      </c>
      <c r="BF553" t="str">
        <f>HYPERLINK("http://dx.doi.org/10.1016/j.diamond.2023.110276","http://dx.doi.org/10.1016/j.diamond.2023.110276")</f>
        <v>http://dx.doi.org/10.1016/j.diamond.2023.110276</v>
      </c>
      <c r="BG553" t="s">
        <v>74</v>
      </c>
      <c r="BH553" t="s">
        <v>74</v>
      </c>
      <c r="BI553">
        <v>9</v>
      </c>
      <c r="BJ553" t="s">
        <v>10101</v>
      </c>
      <c r="BK553" t="s">
        <v>100</v>
      </c>
      <c r="BL553" t="s">
        <v>3022</v>
      </c>
      <c r="BM553" t="s">
        <v>10102</v>
      </c>
      <c r="BN553" t="s">
        <v>74</v>
      </c>
      <c r="BO553" t="s">
        <v>74</v>
      </c>
      <c r="BP553" t="s">
        <v>74</v>
      </c>
      <c r="BQ553" t="s">
        <v>74</v>
      </c>
      <c r="BR553" t="s">
        <v>104</v>
      </c>
      <c r="BS553" t="s">
        <v>10103</v>
      </c>
      <c r="BT553" t="str">
        <f>HYPERLINK("https%3A%2F%2Fwww.webofscience.com%2Fwos%2Fwoscc%2Ffull-record%2FWOS:001059015300001","View Full Record in Web of Science")</f>
        <v>View Full Record in Web of Science</v>
      </c>
    </row>
    <row r="554" spans="1:72" x14ac:dyDescent="0.15">
      <c r="A554" t="s">
        <v>72</v>
      </c>
      <c r="B554" t="s">
        <v>10104</v>
      </c>
      <c r="C554" t="s">
        <v>74</v>
      </c>
      <c r="D554" t="s">
        <v>74</v>
      </c>
      <c r="E554" t="s">
        <v>74</v>
      </c>
      <c r="F554" t="s">
        <v>10105</v>
      </c>
      <c r="G554" t="s">
        <v>74</v>
      </c>
      <c r="H554" t="s">
        <v>74</v>
      </c>
      <c r="I554" t="s">
        <v>10106</v>
      </c>
      <c r="J554" t="s">
        <v>10107</v>
      </c>
      <c r="K554" t="s">
        <v>74</v>
      </c>
      <c r="L554" t="s">
        <v>74</v>
      </c>
      <c r="M554" t="s">
        <v>78</v>
      </c>
      <c r="N554" t="s">
        <v>241</v>
      </c>
      <c r="O554" t="s">
        <v>74</v>
      </c>
      <c r="P554" t="s">
        <v>74</v>
      </c>
      <c r="Q554" t="s">
        <v>74</v>
      </c>
      <c r="R554" t="s">
        <v>74</v>
      </c>
      <c r="S554" t="s">
        <v>74</v>
      </c>
      <c r="T554" t="s">
        <v>10108</v>
      </c>
      <c r="U554" t="s">
        <v>74</v>
      </c>
      <c r="V554" t="s">
        <v>10109</v>
      </c>
      <c r="W554" t="s">
        <v>10110</v>
      </c>
      <c r="X554" t="s">
        <v>74</v>
      </c>
      <c r="Y554" t="s">
        <v>10111</v>
      </c>
      <c r="Z554" t="s">
        <v>10112</v>
      </c>
      <c r="AA554" t="s">
        <v>74</v>
      </c>
      <c r="AB554" t="s">
        <v>74</v>
      </c>
      <c r="AC554" t="s">
        <v>10113</v>
      </c>
      <c r="AD554" t="s">
        <v>10114</v>
      </c>
      <c r="AE554" t="s">
        <v>10115</v>
      </c>
      <c r="AF554" t="s">
        <v>74</v>
      </c>
      <c r="AG554">
        <v>34</v>
      </c>
      <c r="AH554">
        <v>0</v>
      </c>
      <c r="AI554">
        <v>0</v>
      </c>
      <c r="AJ554">
        <v>0</v>
      </c>
      <c r="AK554">
        <v>0</v>
      </c>
      <c r="AL554" t="s">
        <v>120</v>
      </c>
      <c r="AM554" t="s">
        <v>121</v>
      </c>
      <c r="AN554" t="s">
        <v>122</v>
      </c>
      <c r="AO554" t="s">
        <v>10116</v>
      </c>
      <c r="AP554" t="s">
        <v>10117</v>
      </c>
      <c r="AQ554" t="s">
        <v>74</v>
      </c>
      <c r="AR554" t="s">
        <v>10118</v>
      </c>
      <c r="AS554" t="s">
        <v>10119</v>
      </c>
      <c r="AT554" t="s">
        <v>6618</v>
      </c>
      <c r="AU554">
        <v>2023</v>
      </c>
      <c r="AV554">
        <v>268</v>
      </c>
      <c r="AW554" t="s">
        <v>74</v>
      </c>
      <c r="AX554" t="s">
        <v>74</v>
      </c>
      <c r="AY554" t="s">
        <v>74</v>
      </c>
      <c r="AZ554" t="s">
        <v>74</v>
      </c>
      <c r="BA554" t="s">
        <v>74</v>
      </c>
      <c r="BB554" t="s">
        <v>74</v>
      </c>
      <c r="BC554" t="s">
        <v>74</v>
      </c>
      <c r="BD554">
        <v>107259</v>
      </c>
      <c r="BE554" t="s">
        <v>10120</v>
      </c>
      <c r="BF554" t="str">
        <f>HYPERLINK("http://dx.doi.org/10.1016/j.jenvrad.2023.107259","http://dx.doi.org/10.1016/j.jenvrad.2023.107259")</f>
        <v>http://dx.doi.org/10.1016/j.jenvrad.2023.107259</v>
      </c>
      <c r="BG554" t="s">
        <v>74</v>
      </c>
      <c r="BH554" t="s">
        <v>74</v>
      </c>
      <c r="BI554">
        <v>5</v>
      </c>
      <c r="BJ554" t="s">
        <v>1539</v>
      </c>
      <c r="BK554" t="s">
        <v>100</v>
      </c>
      <c r="BL554" t="s">
        <v>1540</v>
      </c>
      <c r="BM554" t="s">
        <v>10121</v>
      </c>
      <c r="BN554">
        <v>37523833</v>
      </c>
      <c r="BO554" t="s">
        <v>295</v>
      </c>
      <c r="BP554" t="s">
        <v>74</v>
      </c>
      <c r="BQ554" t="s">
        <v>74</v>
      </c>
      <c r="BR554" t="s">
        <v>104</v>
      </c>
      <c r="BS554" t="s">
        <v>10122</v>
      </c>
      <c r="BT554" t="str">
        <f>HYPERLINK("https%3A%2F%2Fwww.webofscience.com%2Fwos%2Fwoscc%2Ffull-record%2FWOS:001049644800001","View Full Record in Web of Science")</f>
        <v>View Full Record in Web of Science</v>
      </c>
    </row>
    <row r="555" spans="1:72" x14ac:dyDescent="0.15">
      <c r="A555" t="s">
        <v>72</v>
      </c>
      <c r="B555" t="s">
        <v>10123</v>
      </c>
      <c r="C555" t="s">
        <v>74</v>
      </c>
      <c r="D555" t="s">
        <v>74</v>
      </c>
      <c r="E555" t="s">
        <v>74</v>
      </c>
      <c r="F555" t="s">
        <v>10124</v>
      </c>
      <c r="G555" t="s">
        <v>74</v>
      </c>
      <c r="H555" t="s">
        <v>74</v>
      </c>
      <c r="I555" t="s">
        <v>10125</v>
      </c>
      <c r="J555" t="s">
        <v>8692</v>
      </c>
      <c r="K555" t="s">
        <v>74</v>
      </c>
      <c r="L555" t="s">
        <v>74</v>
      </c>
      <c r="M555" t="s">
        <v>78</v>
      </c>
      <c r="N555" t="s">
        <v>79</v>
      </c>
      <c r="O555" t="s">
        <v>74</v>
      </c>
      <c r="P555" t="s">
        <v>74</v>
      </c>
      <c r="Q555" t="s">
        <v>74</v>
      </c>
      <c r="R555" t="s">
        <v>74</v>
      </c>
      <c r="S555" t="s">
        <v>74</v>
      </c>
      <c r="T555" t="s">
        <v>10126</v>
      </c>
      <c r="U555" t="s">
        <v>10127</v>
      </c>
      <c r="V555" t="s">
        <v>10128</v>
      </c>
      <c r="W555" t="s">
        <v>10129</v>
      </c>
      <c r="X555" t="s">
        <v>10130</v>
      </c>
      <c r="Y555" t="s">
        <v>10131</v>
      </c>
      <c r="Z555" t="s">
        <v>10132</v>
      </c>
      <c r="AA555" t="s">
        <v>74</v>
      </c>
      <c r="AB555" t="s">
        <v>74</v>
      </c>
      <c r="AC555" t="s">
        <v>10133</v>
      </c>
      <c r="AD555" t="s">
        <v>10134</v>
      </c>
      <c r="AE555" t="s">
        <v>10135</v>
      </c>
      <c r="AF555" t="s">
        <v>74</v>
      </c>
      <c r="AG555">
        <v>37</v>
      </c>
      <c r="AH555">
        <v>0</v>
      </c>
      <c r="AI555">
        <v>0</v>
      </c>
      <c r="AJ555">
        <v>9</v>
      </c>
      <c r="AK555">
        <v>9</v>
      </c>
      <c r="AL555" t="s">
        <v>90</v>
      </c>
      <c r="AM555" t="s">
        <v>91</v>
      </c>
      <c r="AN555" t="s">
        <v>92</v>
      </c>
      <c r="AO555" t="s">
        <v>8703</v>
      </c>
      <c r="AP555" t="s">
        <v>8704</v>
      </c>
      <c r="AQ555" t="s">
        <v>74</v>
      </c>
      <c r="AR555" t="s">
        <v>8705</v>
      </c>
      <c r="AS555" t="s">
        <v>8706</v>
      </c>
      <c r="AT555" t="s">
        <v>6618</v>
      </c>
      <c r="AU555">
        <v>2023</v>
      </c>
      <c r="AV555">
        <v>126</v>
      </c>
      <c r="AW555" t="s">
        <v>74</v>
      </c>
      <c r="AX555" t="s">
        <v>74</v>
      </c>
      <c r="AY555" t="s">
        <v>74</v>
      </c>
      <c r="AZ555" t="s">
        <v>74</v>
      </c>
      <c r="BA555" t="s">
        <v>74</v>
      </c>
      <c r="BB555" t="s">
        <v>74</v>
      </c>
      <c r="BC555" t="s">
        <v>74</v>
      </c>
      <c r="BD555">
        <v>107468</v>
      </c>
      <c r="BE555" t="s">
        <v>10136</v>
      </c>
      <c r="BF555" t="str">
        <f>HYPERLINK("http://dx.doi.org/10.1016/j.cnsns.2023.107468","http://dx.doi.org/10.1016/j.cnsns.2023.107468")</f>
        <v>http://dx.doi.org/10.1016/j.cnsns.2023.107468</v>
      </c>
      <c r="BG555" t="s">
        <v>74</v>
      </c>
      <c r="BH555" t="s">
        <v>74</v>
      </c>
      <c r="BI555">
        <v>17</v>
      </c>
      <c r="BJ555" t="s">
        <v>8708</v>
      </c>
      <c r="BK555" t="s">
        <v>100</v>
      </c>
      <c r="BL555" t="s">
        <v>8709</v>
      </c>
      <c r="BM555" t="s">
        <v>10137</v>
      </c>
      <c r="BN555" t="s">
        <v>74</v>
      </c>
      <c r="BO555" t="s">
        <v>74</v>
      </c>
      <c r="BP555" t="s">
        <v>74</v>
      </c>
      <c r="BQ555" t="s">
        <v>74</v>
      </c>
      <c r="BR555" t="s">
        <v>104</v>
      </c>
      <c r="BS555" t="s">
        <v>10138</v>
      </c>
      <c r="BT555" t="str">
        <f>HYPERLINK("https%3A%2F%2Fwww.webofscience.com%2Fwos%2Fwoscc%2Ffull-record%2FWOS:001055165500001","View Full Record in Web of Science")</f>
        <v>View Full Record in Web of Science</v>
      </c>
    </row>
    <row r="556" spans="1:72" x14ac:dyDescent="0.15">
      <c r="A556" t="s">
        <v>72</v>
      </c>
      <c r="B556" t="s">
        <v>10139</v>
      </c>
      <c r="C556" t="s">
        <v>74</v>
      </c>
      <c r="D556" t="s">
        <v>74</v>
      </c>
      <c r="E556" t="s">
        <v>74</v>
      </c>
      <c r="F556" t="s">
        <v>10140</v>
      </c>
      <c r="G556" t="s">
        <v>74</v>
      </c>
      <c r="H556" t="s">
        <v>74</v>
      </c>
      <c r="I556" t="s">
        <v>10141</v>
      </c>
      <c r="J556" t="s">
        <v>1950</v>
      </c>
      <c r="K556" t="s">
        <v>74</v>
      </c>
      <c r="L556" t="s">
        <v>74</v>
      </c>
      <c r="M556" t="s">
        <v>78</v>
      </c>
      <c r="N556" t="s">
        <v>79</v>
      </c>
      <c r="O556" t="s">
        <v>74</v>
      </c>
      <c r="P556" t="s">
        <v>74</v>
      </c>
      <c r="Q556" t="s">
        <v>74</v>
      </c>
      <c r="R556" t="s">
        <v>74</v>
      </c>
      <c r="S556" t="s">
        <v>74</v>
      </c>
      <c r="T556" t="s">
        <v>10142</v>
      </c>
      <c r="U556" t="s">
        <v>10143</v>
      </c>
      <c r="V556" t="s">
        <v>10144</v>
      </c>
      <c r="W556" t="s">
        <v>10145</v>
      </c>
      <c r="X556" t="s">
        <v>10146</v>
      </c>
      <c r="Y556" t="s">
        <v>10147</v>
      </c>
      <c r="Z556" t="s">
        <v>10148</v>
      </c>
      <c r="AA556" t="s">
        <v>10149</v>
      </c>
      <c r="AB556" t="s">
        <v>10150</v>
      </c>
      <c r="AC556" t="s">
        <v>10151</v>
      </c>
      <c r="AD556" t="s">
        <v>10152</v>
      </c>
      <c r="AE556" t="s">
        <v>10153</v>
      </c>
      <c r="AF556" t="s">
        <v>74</v>
      </c>
      <c r="AG556">
        <v>57</v>
      </c>
      <c r="AH556">
        <v>0</v>
      </c>
      <c r="AI556">
        <v>0</v>
      </c>
      <c r="AJ556">
        <v>8</v>
      </c>
      <c r="AK556">
        <v>8</v>
      </c>
      <c r="AL556" t="s">
        <v>173</v>
      </c>
      <c r="AM556" t="s">
        <v>121</v>
      </c>
      <c r="AN556" t="s">
        <v>174</v>
      </c>
      <c r="AO556" t="s">
        <v>1963</v>
      </c>
      <c r="AP556" t="s">
        <v>1964</v>
      </c>
      <c r="AQ556" t="s">
        <v>74</v>
      </c>
      <c r="AR556" t="s">
        <v>1950</v>
      </c>
      <c r="AS556" t="s">
        <v>1965</v>
      </c>
      <c r="AT556" t="s">
        <v>6659</v>
      </c>
      <c r="AU556">
        <v>2023</v>
      </c>
      <c r="AV556">
        <v>282</v>
      </c>
      <c r="AW556" t="s">
        <v>74</v>
      </c>
      <c r="AX556" t="s">
        <v>74</v>
      </c>
      <c r="AY556" t="s">
        <v>74</v>
      </c>
      <c r="AZ556" t="s">
        <v>74</v>
      </c>
      <c r="BA556" t="s">
        <v>74</v>
      </c>
      <c r="BB556" t="s">
        <v>74</v>
      </c>
      <c r="BC556" t="s">
        <v>74</v>
      </c>
      <c r="BD556">
        <v>128311</v>
      </c>
      <c r="BE556" t="s">
        <v>10154</v>
      </c>
      <c r="BF556" t="str">
        <f>HYPERLINK("http://dx.doi.org/10.1016/j.energy.2023.128311","http://dx.doi.org/10.1016/j.energy.2023.128311")</f>
        <v>http://dx.doi.org/10.1016/j.energy.2023.128311</v>
      </c>
      <c r="BG556" t="s">
        <v>74</v>
      </c>
      <c r="BH556" t="s">
        <v>74</v>
      </c>
      <c r="BI556">
        <v>16</v>
      </c>
      <c r="BJ556" t="s">
        <v>1967</v>
      </c>
      <c r="BK556" t="s">
        <v>100</v>
      </c>
      <c r="BL556" t="s">
        <v>1967</v>
      </c>
      <c r="BM556" t="s">
        <v>10155</v>
      </c>
      <c r="BN556" t="s">
        <v>74</v>
      </c>
      <c r="BO556" t="s">
        <v>295</v>
      </c>
      <c r="BP556" t="s">
        <v>74</v>
      </c>
      <c r="BQ556" t="s">
        <v>74</v>
      </c>
      <c r="BR556" t="s">
        <v>104</v>
      </c>
      <c r="BS556" t="s">
        <v>10156</v>
      </c>
      <c r="BT556" t="str">
        <f>HYPERLINK("https%3A%2F%2Fwww.webofscience.com%2Fwos%2Fwoscc%2Ffull-record%2FWOS:001046436300001","View Full Record in Web of Science")</f>
        <v>View Full Record in Web of Science</v>
      </c>
    </row>
    <row r="557" spans="1:72" x14ac:dyDescent="0.15">
      <c r="A557" t="s">
        <v>72</v>
      </c>
      <c r="B557" t="s">
        <v>10157</v>
      </c>
      <c r="C557" t="s">
        <v>74</v>
      </c>
      <c r="D557" t="s">
        <v>74</v>
      </c>
      <c r="E557" t="s">
        <v>74</v>
      </c>
      <c r="F557" t="s">
        <v>10158</v>
      </c>
      <c r="G557" t="s">
        <v>74</v>
      </c>
      <c r="H557" t="s">
        <v>74</v>
      </c>
      <c r="I557" t="s">
        <v>10159</v>
      </c>
      <c r="J557" t="s">
        <v>10160</v>
      </c>
      <c r="K557" t="s">
        <v>74</v>
      </c>
      <c r="L557" t="s">
        <v>74</v>
      </c>
      <c r="M557" t="s">
        <v>78</v>
      </c>
      <c r="N557" t="s">
        <v>79</v>
      </c>
      <c r="O557" t="s">
        <v>74</v>
      </c>
      <c r="P557" t="s">
        <v>74</v>
      </c>
      <c r="Q557" t="s">
        <v>74</v>
      </c>
      <c r="R557" t="s">
        <v>74</v>
      </c>
      <c r="S557" t="s">
        <v>74</v>
      </c>
      <c r="T557" t="s">
        <v>10161</v>
      </c>
      <c r="U557" t="s">
        <v>10162</v>
      </c>
      <c r="V557" t="s">
        <v>10163</v>
      </c>
      <c r="W557" t="s">
        <v>10164</v>
      </c>
      <c r="X557" t="s">
        <v>10165</v>
      </c>
      <c r="Y557" t="s">
        <v>10166</v>
      </c>
      <c r="Z557" t="s">
        <v>10167</v>
      </c>
      <c r="AA557" t="s">
        <v>74</v>
      </c>
      <c r="AB557" t="s">
        <v>74</v>
      </c>
      <c r="AC557" t="s">
        <v>10168</v>
      </c>
      <c r="AD557" t="s">
        <v>2421</v>
      </c>
      <c r="AE557" t="s">
        <v>10169</v>
      </c>
      <c r="AF557" t="s">
        <v>74</v>
      </c>
      <c r="AG557">
        <v>51</v>
      </c>
      <c r="AH557">
        <v>0</v>
      </c>
      <c r="AI557">
        <v>0</v>
      </c>
      <c r="AJ557">
        <v>2</v>
      </c>
      <c r="AK557">
        <v>2</v>
      </c>
      <c r="AL557" t="s">
        <v>120</v>
      </c>
      <c r="AM557" t="s">
        <v>121</v>
      </c>
      <c r="AN557" t="s">
        <v>122</v>
      </c>
      <c r="AO557" t="s">
        <v>10170</v>
      </c>
      <c r="AP557" t="s">
        <v>10171</v>
      </c>
      <c r="AQ557" t="s">
        <v>74</v>
      </c>
      <c r="AR557" t="s">
        <v>10172</v>
      </c>
      <c r="AS557" t="s">
        <v>10173</v>
      </c>
      <c r="AT557" t="s">
        <v>6618</v>
      </c>
      <c r="AU557">
        <v>2023</v>
      </c>
      <c r="AV557">
        <v>116</v>
      </c>
      <c r="AW557" t="s">
        <v>74</v>
      </c>
      <c r="AX557" t="s">
        <v>74</v>
      </c>
      <c r="AY557" t="s">
        <v>74</v>
      </c>
      <c r="AZ557" t="s">
        <v>74</v>
      </c>
      <c r="BA557" t="s">
        <v>74</v>
      </c>
      <c r="BB557" t="s">
        <v>74</v>
      </c>
      <c r="BC557" t="s">
        <v>74</v>
      </c>
      <c r="BD557">
        <v>106363</v>
      </c>
      <c r="BE557" t="s">
        <v>10174</v>
      </c>
      <c r="BF557" t="str">
        <f>HYPERLINK("http://dx.doi.org/10.1016/j.ijrmhm.2023.106363","http://dx.doi.org/10.1016/j.ijrmhm.2023.106363")</f>
        <v>http://dx.doi.org/10.1016/j.ijrmhm.2023.106363</v>
      </c>
      <c r="BG557" t="s">
        <v>74</v>
      </c>
      <c r="BH557" t="s">
        <v>74</v>
      </c>
      <c r="BI557">
        <v>11</v>
      </c>
      <c r="BJ557" t="s">
        <v>10175</v>
      </c>
      <c r="BK557" t="s">
        <v>100</v>
      </c>
      <c r="BL557" t="s">
        <v>10176</v>
      </c>
      <c r="BM557" t="s">
        <v>10177</v>
      </c>
      <c r="BN557" t="s">
        <v>74</v>
      </c>
      <c r="BO557" t="s">
        <v>74</v>
      </c>
      <c r="BP557" t="s">
        <v>74</v>
      </c>
      <c r="BQ557" t="s">
        <v>74</v>
      </c>
      <c r="BR557" t="s">
        <v>104</v>
      </c>
      <c r="BS557" t="s">
        <v>10178</v>
      </c>
      <c r="BT557" t="str">
        <f>HYPERLINK("https%3A%2F%2Fwww.webofscience.com%2Fwos%2Fwoscc%2Ffull-record%2FWOS:001057739700001","View Full Record in Web of Science")</f>
        <v>View Full Record in Web of Science</v>
      </c>
    </row>
    <row r="558" spans="1:72" x14ac:dyDescent="0.15">
      <c r="A558" t="s">
        <v>72</v>
      </c>
      <c r="B558" t="s">
        <v>10179</v>
      </c>
      <c r="C558" t="s">
        <v>74</v>
      </c>
      <c r="D558" t="s">
        <v>74</v>
      </c>
      <c r="E558" t="s">
        <v>74</v>
      </c>
      <c r="F558" t="s">
        <v>10180</v>
      </c>
      <c r="G558" t="s">
        <v>74</v>
      </c>
      <c r="H558" t="s">
        <v>74</v>
      </c>
      <c r="I558" t="s">
        <v>10181</v>
      </c>
      <c r="J558" t="s">
        <v>10182</v>
      </c>
      <c r="K558" t="s">
        <v>74</v>
      </c>
      <c r="L558" t="s">
        <v>74</v>
      </c>
      <c r="M558" t="s">
        <v>78</v>
      </c>
      <c r="N558" t="s">
        <v>79</v>
      </c>
      <c r="O558" t="s">
        <v>74</v>
      </c>
      <c r="P558" t="s">
        <v>74</v>
      </c>
      <c r="Q558" t="s">
        <v>74</v>
      </c>
      <c r="R558" t="s">
        <v>74</v>
      </c>
      <c r="S558" t="s">
        <v>74</v>
      </c>
      <c r="T558" t="s">
        <v>10183</v>
      </c>
      <c r="U558" t="s">
        <v>10184</v>
      </c>
      <c r="V558" t="s">
        <v>10185</v>
      </c>
      <c r="W558" t="s">
        <v>10186</v>
      </c>
      <c r="X558" t="s">
        <v>10187</v>
      </c>
      <c r="Y558" t="s">
        <v>10188</v>
      </c>
      <c r="Z558" t="s">
        <v>10189</v>
      </c>
      <c r="AA558" t="s">
        <v>74</v>
      </c>
      <c r="AB558" t="s">
        <v>74</v>
      </c>
      <c r="AC558" t="s">
        <v>10190</v>
      </c>
      <c r="AD558" t="s">
        <v>10191</v>
      </c>
      <c r="AE558" t="s">
        <v>10192</v>
      </c>
      <c r="AF558" t="s">
        <v>74</v>
      </c>
      <c r="AG558">
        <v>69</v>
      </c>
      <c r="AH558">
        <v>0</v>
      </c>
      <c r="AI558">
        <v>0</v>
      </c>
      <c r="AJ558">
        <v>0</v>
      </c>
      <c r="AK558">
        <v>0</v>
      </c>
      <c r="AL558" t="s">
        <v>120</v>
      </c>
      <c r="AM558" t="s">
        <v>121</v>
      </c>
      <c r="AN558" t="s">
        <v>122</v>
      </c>
      <c r="AO558" t="s">
        <v>10193</v>
      </c>
      <c r="AP558" t="s">
        <v>10194</v>
      </c>
      <c r="AQ558" t="s">
        <v>74</v>
      </c>
      <c r="AR558" t="s">
        <v>10182</v>
      </c>
      <c r="AS558" t="s">
        <v>10195</v>
      </c>
      <c r="AT558" t="s">
        <v>6618</v>
      </c>
      <c r="AU558">
        <v>2023</v>
      </c>
      <c r="AV558">
        <v>162</v>
      </c>
      <c r="AW558" t="s">
        <v>74</v>
      </c>
      <c r="AX558" t="s">
        <v>74</v>
      </c>
      <c r="AY558" t="s">
        <v>74</v>
      </c>
      <c r="AZ558" t="s">
        <v>74</v>
      </c>
      <c r="BA558" t="s">
        <v>74</v>
      </c>
      <c r="BB558" t="s">
        <v>74</v>
      </c>
      <c r="BC558" t="s">
        <v>74</v>
      </c>
      <c r="BD558">
        <v>108029</v>
      </c>
      <c r="BE558" t="s">
        <v>10196</v>
      </c>
      <c r="BF558" t="str">
        <f>HYPERLINK("http://dx.doi.org/10.1016/j.intermet.2023.108029","http://dx.doi.org/10.1016/j.intermet.2023.108029")</f>
        <v>http://dx.doi.org/10.1016/j.intermet.2023.108029</v>
      </c>
      <c r="BG558" t="s">
        <v>74</v>
      </c>
      <c r="BH558" t="s">
        <v>74</v>
      </c>
      <c r="BI558">
        <v>19</v>
      </c>
      <c r="BJ558" t="s">
        <v>2118</v>
      </c>
      <c r="BK558" t="s">
        <v>100</v>
      </c>
      <c r="BL558" t="s">
        <v>2119</v>
      </c>
      <c r="BM558" t="s">
        <v>10197</v>
      </c>
      <c r="BN558" t="s">
        <v>74</v>
      </c>
      <c r="BO558" t="s">
        <v>74</v>
      </c>
      <c r="BP558" t="s">
        <v>74</v>
      </c>
      <c r="BQ558" t="s">
        <v>74</v>
      </c>
      <c r="BR558" t="s">
        <v>104</v>
      </c>
      <c r="BS558" t="s">
        <v>10198</v>
      </c>
      <c r="BT558" t="str">
        <f>HYPERLINK("https%3A%2F%2Fwww.webofscience.com%2Fwos%2Fwoscc%2Ffull-record%2FWOS:001064764900001","View Full Record in Web of Science")</f>
        <v>View Full Record in Web of Science</v>
      </c>
    </row>
    <row r="559" spans="1:72" x14ac:dyDescent="0.15">
      <c r="A559" t="s">
        <v>72</v>
      </c>
      <c r="B559" t="s">
        <v>10199</v>
      </c>
      <c r="C559" t="s">
        <v>74</v>
      </c>
      <c r="D559" t="s">
        <v>74</v>
      </c>
      <c r="E559" t="s">
        <v>74</v>
      </c>
      <c r="F559" t="s">
        <v>10200</v>
      </c>
      <c r="G559" t="s">
        <v>74</v>
      </c>
      <c r="H559" t="s">
        <v>74</v>
      </c>
      <c r="I559" t="s">
        <v>10201</v>
      </c>
      <c r="J559" t="s">
        <v>7507</v>
      </c>
      <c r="K559" t="s">
        <v>74</v>
      </c>
      <c r="L559" t="s">
        <v>74</v>
      </c>
      <c r="M559" t="s">
        <v>78</v>
      </c>
      <c r="N559" t="s">
        <v>79</v>
      </c>
      <c r="O559" t="s">
        <v>74</v>
      </c>
      <c r="P559" t="s">
        <v>74</v>
      </c>
      <c r="Q559" t="s">
        <v>74</v>
      </c>
      <c r="R559" t="s">
        <v>74</v>
      </c>
      <c r="S559" t="s">
        <v>74</v>
      </c>
      <c r="T559" t="s">
        <v>10202</v>
      </c>
      <c r="U559" t="s">
        <v>10203</v>
      </c>
      <c r="V559" t="s">
        <v>10204</v>
      </c>
      <c r="W559" t="s">
        <v>10205</v>
      </c>
      <c r="X559" t="s">
        <v>10206</v>
      </c>
      <c r="Y559" t="s">
        <v>10207</v>
      </c>
      <c r="Z559" t="s">
        <v>10208</v>
      </c>
      <c r="AA559" t="s">
        <v>10209</v>
      </c>
      <c r="AB559" t="s">
        <v>10210</v>
      </c>
      <c r="AC559" t="s">
        <v>10211</v>
      </c>
      <c r="AD559" t="s">
        <v>10212</v>
      </c>
      <c r="AE559" t="s">
        <v>10213</v>
      </c>
      <c r="AF559" t="s">
        <v>74</v>
      </c>
      <c r="AG559">
        <v>113</v>
      </c>
      <c r="AH559">
        <v>0</v>
      </c>
      <c r="AI559">
        <v>0</v>
      </c>
      <c r="AJ559">
        <v>19</v>
      </c>
      <c r="AK559">
        <v>19</v>
      </c>
      <c r="AL559" t="s">
        <v>120</v>
      </c>
      <c r="AM559" t="s">
        <v>121</v>
      </c>
      <c r="AN559" t="s">
        <v>122</v>
      </c>
      <c r="AO559" t="s">
        <v>7518</v>
      </c>
      <c r="AP559" t="s">
        <v>7519</v>
      </c>
      <c r="AQ559" t="s">
        <v>74</v>
      </c>
      <c r="AR559" t="s">
        <v>7520</v>
      </c>
      <c r="AS559" t="s">
        <v>7521</v>
      </c>
      <c r="AT559" t="s">
        <v>6618</v>
      </c>
      <c r="AU559">
        <v>2023</v>
      </c>
      <c r="AV559">
        <v>387</v>
      </c>
      <c r="AW559" t="s">
        <v>74</v>
      </c>
      <c r="AX559" t="s">
        <v>74</v>
      </c>
      <c r="AY559" t="s">
        <v>74</v>
      </c>
      <c r="AZ559" t="s">
        <v>74</v>
      </c>
      <c r="BA559" t="s">
        <v>74</v>
      </c>
      <c r="BB559" t="s">
        <v>74</v>
      </c>
      <c r="BC559" t="s">
        <v>74</v>
      </c>
      <c r="BD559">
        <v>129634</v>
      </c>
      <c r="BE559" t="s">
        <v>10214</v>
      </c>
      <c r="BF559" t="str">
        <f>HYPERLINK("http://dx.doi.org/10.1016/j.biortech.2023.129634","http://dx.doi.org/10.1016/j.biortech.2023.129634")</f>
        <v>http://dx.doi.org/10.1016/j.biortech.2023.129634</v>
      </c>
      <c r="BG559" t="s">
        <v>74</v>
      </c>
      <c r="BH559" t="s">
        <v>74</v>
      </c>
      <c r="BI559">
        <v>13</v>
      </c>
      <c r="BJ559" t="s">
        <v>7523</v>
      </c>
      <c r="BK559" t="s">
        <v>100</v>
      </c>
      <c r="BL559" t="s">
        <v>7524</v>
      </c>
      <c r="BM559" t="s">
        <v>10215</v>
      </c>
      <c r="BN559">
        <v>37573981</v>
      </c>
      <c r="BO559" t="s">
        <v>74</v>
      </c>
      <c r="BP559" t="s">
        <v>74</v>
      </c>
      <c r="BQ559" t="s">
        <v>74</v>
      </c>
      <c r="BR559" t="s">
        <v>104</v>
      </c>
      <c r="BS559" t="s">
        <v>10216</v>
      </c>
      <c r="BT559" t="str">
        <f>HYPERLINK("https%3A%2F%2Fwww.webofscience.com%2Fwos%2Fwoscc%2Ffull-record%2FWOS:001061754800001","View Full Record in Web of Science")</f>
        <v>View Full Record in Web of Science</v>
      </c>
    </row>
    <row r="560" spans="1:72" x14ac:dyDescent="0.15">
      <c r="A560" t="s">
        <v>72</v>
      </c>
      <c r="B560" t="s">
        <v>10217</v>
      </c>
      <c r="C560" t="s">
        <v>74</v>
      </c>
      <c r="D560" t="s">
        <v>74</v>
      </c>
      <c r="E560" t="s">
        <v>74</v>
      </c>
      <c r="F560" t="s">
        <v>10218</v>
      </c>
      <c r="G560" t="s">
        <v>74</v>
      </c>
      <c r="H560" t="s">
        <v>74</v>
      </c>
      <c r="I560" t="s">
        <v>10219</v>
      </c>
      <c r="J560" t="s">
        <v>7635</v>
      </c>
      <c r="K560" t="s">
        <v>74</v>
      </c>
      <c r="L560" t="s">
        <v>74</v>
      </c>
      <c r="M560" t="s">
        <v>78</v>
      </c>
      <c r="N560" t="s">
        <v>79</v>
      </c>
      <c r="O560" t="s">
        <v>74</v>
      </c>
      <c r="P560" t="s">
        <v>74</v>
      </c>
      <c r="Q560" t="s">
        <v>74</v>
      </c>
      <c r="R560" t="s">
        <v>74</v>
      </c>
      <c r="S560" t="s">
        <v>74</v>
      </c>
      <c r="T560" t="s">
        <v>10220</v>
      </c>
      <c r="U560" t="s">
        <v>10221</v>
      </c>
      <c r="V560" t="s">
        <v>10222</v>
      </c>
      <c r="W560" t="s">
        <v>10223</v>
      </c>
      <c r="X560" t="s">
        <v>10224</v>
      </c>
      <c r="Y560" t="s">
        <v>10225</v>
      </c>
      <c r="Z560" t="s">
        <v>10226</v>
      </c>
      <c r="AA560" t="s">
        <v>74</v>
      </c>
      <c r="AB560" t="s">
        <v>74</v>
      </c>
      <c r="AC560" t="s">
        <v>10227</v>
      </c>
      <c r="AD560" t="s">
        <v>10228</v>
      </c>
      <c r="AE560" t="s">
        <v>10229</v>
      </c>
      <c r="AF560" t="s">
        <v>74</v>
      </c>
      <c r="AG560">
        <v>40</v>
      </c>
      <c r="AH560">
        <v>0</v>
      </c>
      <c r="AI560">
        <v>0</v>
      </c>
      <c r="AJ560">
        <v>1</v>
      </c>
      <c r="AK560">
        <v>1</v>
      </c>
      <c r="AL560" t="s">
        <v>173</v>
      </c>
      <c r="AM560" t="s">
        <v>121</v>
      </c>
      <c r="AN560" t="s">
        <v>174</v>
      </c>
      <c r="AO560" t="s">
        <v>7644</v>
      </c>
      <c r="AP560" t="s">
        <v>7645</v>
      </c>
      <c r="AQ560" t="s">
        <v>74</v>
      </c>
      <c r="AR560" t="s">
        <v>7646</v>
      </c>
      <c r="AS560" t="s">
        <v>7647</v>
      </c>
      <c r="AT560" t="s">
        <v>6618</v>
      </c>
      <c r="AU560">
        <v>2023</v>
      </c>
      <c r="AV560">
        <v>212</v>
      </c>
      <c r="AW560" t="s">
        <v>74</v>
      </c>
      <c r="AX560" t="s">
        <v>74</v>
      </c>
      <c r="AY560" t="s">
        <v>74</v>
      </c>
      <c r="AZ560" t="s">
        <v>74</v>
      </c>
      <c r="BA560" t="s">
        <v>74</v>
      </c>
      <c r="BB560">
        <v>387</v>
      </c>
      <c r="BC560">
        <v>397</v>
      </c>
      <c r="BD560" t="s">
        <v>74</v>
      </c>
      <c r="BE560" t="s">
        <v>10230</v>
      </c>
      <c r="BF560" t="str">
        <f>HYPERLINK("http://dx.doi.org/10.1016/j.actaastro.2023.07.041","http://dx.doi.org/10.1016/j.actaastro.2023.07.041")</f>
        <v>http://dx.doi.org/10.1016/j.actaastro.2023.07.041</v>
      </c>
      <c r="BG560" t="s">
        <v>74</v>
      </c>
      <c r="BH560" t="s">
        <v>74</v>
      </c>
      <c r="BI560">
        <v>11</v>
      </c>
      <c r="BJ560" t="s">
        <v>7649</v>
      </c>
      <c r="BK560" t="s">
        <v>100</v>
      </c>
      <c r="BL560" t="s">
        <v>873</v>
      </c>
      <c r="BM560" t="s">
        <v>10231</v>
      </c>
      <c r="BN560" t="s">
        <v>74</v>
      </c>
      <c r="BO560" t="s">
        <v>74</v>
      </c>
      <c r="BP560" t="s">
        <v>74</v>
      </c>
      <c r="BQ560" t="s">
        <v>74</v>
      </c>
      <c r="BR560" t="s">
        <v>104</v>
      </c>
      <c r="BS560" t="s">
        <v>10232</v>
      </c>
      <c r="BT560" t="str">
        <f>HYPERLINK("https%3A%2F%2Fwww.webofscience.com%2Fwos%2Fwoscc%2Ffull-record%2FWOS:001065074300001","View Full Record in Web of Science")</f>
        <v>View Full Record in Web of Science</v>
      </c>
    </row>
    <row r="561" spans="1:72" x14ac:dyDescent="0.15">
      <c r="A561" t="s">
        <v>72</v>
      </c>
      <c r="B561" t="s">
        <v>10233</v>
      </c>
      <c r="C561" t="s">
        <v>74</v>
      </c>
      <c r="D561" t="s">
        <v>74</v>
      </c>
      <c r="E561" t="s">
        <v>74</v>
      </c>
      <c r="F561" t="s">
        <v>10234</v>
      </c>
      <c r="G561" t="s">
        <v>74</v>
      </c>
      <c r="H561" t="s">
        <v>74</v>
      </c>
      <c r="I561" t="s">
        <v>10235</v>
      </c>
      <c r="J561" t="s">
        <v>10236</v>
      </c>
      <c r="K561" t="s">
        <v>74</v>
      </c>
      <c r="L561" t="s">
        <v>74</v>
      </c>
      <c r="M561" t="s">
        <v>78</v>
      </c>
      <c r="N561" t="s">
        <v>79</v>
      </c>
      <c r="O561" t="s">
        <v>74</v>
      </c>
      <c r="P561" t="s">
        <v>74</v>
      </c>
      <c r="Q561" t="s">
        <v>74</v>
      </c>
      <c r="R561" t="s">
        <v>74</v>
      </c>
      <c r="S561" t="s">
        <v>74</v>
      </c>
      <c r="T561" t="s">
        <v>10237</v>
      </c>
      <c r="U561" t="s">
        <v>10238</v>
      </c>
      <c r="V561" t="s">
        <v>10239</v>
      </c>
      <c r="W561" t="s">
        <v>10240</v>
      </c>
      <c r="X561" t="s">
        <v>10241</v>
      </c>
      <c r="Y561" t="s">
        <v>10242</v>
      </c>
      <c r="Z561" t="s">
        <v>10243</v>
      </c>
      <c r="AA561" t="s">
        <v>74</v>
      </c>
      <c r="AB561" t="s">
        <v>74</v>
      </c>
      <c r="AC561" t="s">
        <v>10244</v>
      </c>
      <c r="AD561" t="s">
        <v>252</v>
      </c>
      <c r="AE561" t="s">
        <v>10245</v>
      </c>
      <c r="AF561" t="s">
        <v>74</v>
      </c>
      <c r="AG561">
        <v>48</v>
      </c>
      <c r="AH561">
        <v>0</v>
      </c>
      <c r="AI561">
        <v>0</v>
      </c>
      <c r="AJ561">
        <v>1</v>
      </c>
      <c r="AK561">
        <v>1</v>
      </c>
      <c r="AL561" t="s">
        <v>90</v>
      </c>
      <c r="AM561" t="s">
        <v>91</v>
      </c>
      <c r="AN561" t="s">
        <v>92</v>
      </c>
      <c r="AO561" t="s">
        <v>10246</v>
      </c>
      <c r="AP561" t="s">
        <v>10247</v>
      </c>
      <c r="AQ561" t="s">
        <v>74</v>
      </c>
      <c r="AR561" t="s">
        <v>10248</v>
      </c>
      <c r="AS561" t="s">
        <v>10249</v>
      </c>
      <c r="AT561" t="s">
        <v>6618</v>
      </c>
      <c r="AU561">
        <v>2023</v>
      </c>
      <c r="AV561">
        <v>124</v>
      </c>
      <c r="AW561" t="s">
        <v>74</v>
      </c>
      <c r="AX561" t="s">
        <v>337</v>
      </c>
      <c r="AY561" t="s">
        <v>74</v>
      </c>
      <c r="AZ561" t="s">
        <v>74</v>
      </c>
      <c r="BA561" t="s">
        <v>74</v>
      </c>
      <c r="BB561" t="s">
        <v>74</v>
      </c>
      <c r="BC561" t="s">
        <v>74</v>
      </c>
      <c r="BD561">
        <v>110855</v>
      </c>
      <c r="BE561" t="s">
        <v>10250</v>
      </c>
      <c r="BF561" t="str">
        <f>HYPERLINK("http://dx.doi.org/10.1016/j.intimp.2023.110855","http://dx.doi.org/10.1016/j.intimp.2023.110855")</f>
        <v>http://dx.doi.org/10.1016/j.intimp.2023.110855</v>
      </c>
      <c r="BG561" t="s">
        <v>74</v>
      </c>
      <c r="BH561" t="s">
        <v>74</v>
      </c>
      <c r="BI561">
        <v>12</v>
      </c>
      <c r="BJ561" t="s">
        <v>10251</v>
      </c>
      <c r="BK561" t="s">
        <v>100</v>
      </c>
      <c r="BL561" t="s">
        <v>10251</v>
      </c>
      <c r="BM561" t="s">
        <v>10252</v>
      </c>
      <c r="BN561">
        <v>37678029</v>
      </c>
      <c r="BO561" t="s">
        <v>74</v>
      </c>
      <c r="BP561" t="s">
        <v>74</v>
      </c>
      <c r="BQ561" t="s">
        <v>74</v>
      </c>
      <c r="BR561" t="s">
        <v>104</v>
      </c>
      <c r="BS561" t="s">
        <v>10253</v>
      </c>
      <c r="BT561" t="str">
        <f>HYPERLINK("https%3A%2F%2Fwww.webofscience.com%2Fwos%2Fwoscc%2Ffull-record%2FWOS:001073628000001","View Full Record in Web of Science")</f>
        <v>View Full Record in Web of Science</v>
      </c>
    </row>
    <row r="562" spans="1:72" x14ac:dyDescent="0.15">
      <c r="A562" t="s">
        <v>72</v>
      </c>
      <c r="B562" t="s">
        <v>10254</v>
      </c>
      <c r="C562" t="s">
        <v>74</v>
      </c>
      <c r="D562" t="s">
        <v>74</v>
      </c>
      <c r="E562" t="s">
        <v>74</v>
      </c>
      <c r="F562" t="s">
        <v>10255</v>
      </c>
      <c r="G562" t="s">
        <v>74</v>
      </c>
      <c r="H562" t="s">
        <v>74</v>
      </c>
      <c r="I562" t="s">
        <v>10256</v>
      </c>
      <c r="J562" t="s">
        <v>5727</v>
      </c>
      <c r="K562" t="s">
        <v>74</v>
      </c>
      <c r="L562" t="s">
        <v>74</v>
      </c>
      <c r="M562" t="s">
        <v>78</v>
      </c>
      <c r="N562" t="s">
        <v>241</v>
      </c>
      <c r="O562" t="s">
        <v>74</v>
      </c>
      <c r="P562" t="s">
        <v>74</v>
      </c>
      <c r="Q562" t="s">
        <v>74</v>
      </c>
      <c r="R562" t="s">
        <v>74</v>
      </c>
      <c r="S562" t="s">
        <v>74</v>
      </c>
      <c r="T562" t="s">
        <v>10257</v>
      </c>
      <c r="U562" t="s">
        <v>10258</v>
      </c>
      <c r="V562" t="s">
        <v>10259</v>
      </c>
      <c r="W562" t="s">
        <v>10260</v>
      </c>
      <c r="X562" t="s">
        <v>10261</v>
      </c>
      <c r="Y562" t="s">
        <v>10262</v>
      </c>
      <c r="Z562" t="s">
        <v>10263</v>
      </c>
      <c r="AA562" t="s">
        <v>10264</v>
      </c>
      <c r="AB562" t="s">
        <v>10265</v>
      </c>
      <c r="AC562" t="s">
        <v>10266</v>
      </c>
      <c r="AD562" t="s">
        <v>10267</v>
      </c>
      <c r="AE562" t="s">
        <v>10268</v>
      </c>
      <c r="AF562" t="s">
        <v>74</v>
      </c>
      <c r="AG562">
        <v>141</v>
      </c>
      <c r="AH562">
        <v>0</v>
      </c>
      <c r="AI562">
        <v>0</v>
      </c>
      <c r="AJ562">
        <v>49</v>
      </c>
      <c r="AK562">
        <v>49</v>
      </c>
      <c r="AL562" t="s">
        <v>955</v>
      </c>
      <c r="AM562" t="s">
        <v>956</v>
      </c>
      <c r="AN562" t="s">
        <v>957</v>
      </c>
      <c r="AO562" t="s">
        <v>5738</v>
      </c>
      <c r="AP562" t="s">
        <v>5739</v>
      </c>
      <c r="AQ562" t="s">
        <v>74</v>
      </c>
      <c r="AR562" t="s">
        <v>5740</v>
      </c>
      <c r="AS562" t="s">
        <v>5741</v>
      </c>
      <c r="AT562" t="s">
        <v>6659</v>
      </c>
      <c r="AU562">
        <v>2023</v>
      </c>
      <c r="AV562">
        <v>494</v>
      </c>
      <c r="AW562" t="s">
        <v>74</v>
      </c>
      <c r="AX562" t="s">
        <v>74</v>
      </c>
      <c r="AY562" t="s">
        <v>74</v>
      </c>
      <c r="AZ562" t="s">
        <v>74</v>
      </c>
      <c r="BA562" t="s">
        <v>74</v>
      </c>
      <c r="BB562" t="s">
        <v>74</v>
      </c>
      <c r="BC562" t="s">
        <v>74</v>
      </c>
      <c r="BD562">
        <v>215361</v>
      </c>
      <c r="BE562" t="s">
        <v>10269</v>
      </c>
      <c r="BF562" t="str">
        <f>HYPERLINK("http://dx.doi.org/10.1016/j.ccr.2023.215361","http://dx.doi.org/10.1016/j.ccr.2023.215361")</f>
        <v>http://dx.doi.org/10.1016/j.ccr.2023.215361</v>
      </c>
      <c r="BG562" t="s">
        <v>74</v>
      </c>
      <c r="BH562" t="s">
        <v>74</v>
      </c>
      <c r="BI562">
        <v>28</v>
      </c>
      <c r="BJ562" t="s">
        <v>5743</v>
      </c>
      <c r="BK562" t="s">
        <v>100</v>
      </c>
      <c r="BL562" t="s">
        <v>395</v>
      </c>
      <c r="BM562" t="s">
        <v>10270</v>
      </c>
      <c r="BN562" t="s">
        <v>74</v>
      </c>
      <c r="BO562" t="s">
        <v>74</v>
      </c>
      <c r="BP562" t="s">
        <v>74</v>
      </c>
      <c r="BQ562" t="s">
        <v>74</v>
      </c>
      <c r="BR562" t="s">
        <v>104</v>
      </c>
      <c r="BS562" t="s">
        <v>10271</v>
      </c>
      <c r="BT562" t="str">
        <f>HYPERLINK("https%3A%2F%2Fwww.webofscience.com%2Fwos%2Fwoscc%2Ffull-record%2FWOS:001051764300001","View Full Record in Web of Science")</f>
        <v>View Full Record in Web of Science</v>
      </c>
    </row>
    <row r="563" spans="1:72" x14ac:dyDescent="0.15">
      <c r="A563" t="s">
        <v>72</v>
      </c>
      <c r="B563" t="s">
        <v>10272</v>
      </c>
      <c r="C563" t="s">
        <v>74</v>
      </c>
      <c r="D563" t="s">
        <v>74</v>
      </c>
      <c r="E563" t="s">
        <v>74</v>
      </c>
      <c r="F563" t="s">
        <v>10273</v>
      </c>
      <c r="G563" t="s">
        <v>74</v>
      </c>
      <c r="H563" t="s">
        <v>74</v>
      </c>
      <c r="I563" t="s">
        <v>10274</v>
      </c>
      <c r="J563" t="s">
        <v>1017</v>
      </c>
      <c r="K563" t="s">
        <v>74</v>
      </c>
      <c r="L563" t="s">
        <v>74</v>
      </c>
      <c r="M563" t="s">
        <v>78</v>
      </c>
      <c r="N563" t="s">
        <v>79</v>
      </c>
      <c r="O563" t="s">
        <v>74</v>
      </c>
      <c r="P563" t="s">
        <v>74</v>
      </c>
      <c r="Q563" t="s">
        <v>74</v>
      </c>
      <c r="R563" t="s">
        <v>74</v>
      </c>
      <c r="S563" t="s">
        <v>74</v>
      </c>
      <c r="T563" t="s">
        <v>10275</v>
      </c>
      <c r="U563" t="s">
        <v>10276</v>
      </c>
      <c r="V563" t="s">
        <v>10277</v>
      </c>
      <c r="W563" t="s">
        <v>10278</v>
      </c>
      <c r="X563" t="s">
        <v>10279</v>
      </c>
      <c r="Y563" t="s">
        <v>10280</v>
      </c>
      <c r="Z563" t="s">
        <v>10281</v>
      </c>
      <c r="AA563" t="s">
        <v>10282</v>
      </c>
      <c r="AB563" t="s">
        <v>10283</v>
      </c>
      <c r="AC563" t="s">
        <v>10284</v>
      </c>
      <c r="AD563" t="s">
        <v>10285</v>
      </c>
      <c r="AE563" t="s">
        <v>10286</v>
      </c>
      <c r="AF563" t="s">
        <v>74</v>
      </c>
      <c r="AG563">
        <v>43</v>
      </c>
      <c r="AH563">
        <v>0</v>
      </c>
      <c r="AI563">
        <v>0</v>
      </c>
      <c r="AJ563">
        <v>12</v>
      </c>
      <c r="AK563">
        <v>12</v>
      </c>
      <c r="AL563" t="s">
        <v>120</v>
      </c>
      <c r="AM563" t="s">
        <v>121</v>
      </c>
      <c r="AN563" t="s">
        <v>122</v>
      </c>
      <c r="AO563" t="s">
        <v>1029</v>
      </c>
      <c r="AP563" t="s">
        <v>1030</v>
      </c>
      <c r="AQ563" t="s">
        <v>74</v>
      </c>
      <c r="AR563" t="s">
        <v>1017</v>
      </c>
      <c r="AS563" t="s">
        <v>1031</v>
      </c>
      <c r="AT563" t="s">
        <v>6618</v>
      </c>
      <c r="AU563">
        <v>2023</v>
      </c>
      <c r="AV563">
        <v>153</v>
      </c>
      <c r="AW563" t="s">
        <v>74</v>
      </c>
      <c r="AX563" t="s">
        <v>74</v>
      </c>
      <c r="AY563" t="s">
        <v>74</v>
      </c>
      <c r="AZ563" t="s">
        <v>74</v>
      </c>
      <c r="BA563" t="s">
        <v>74</v>
      </c>
      <c r="BB563" t="s">
        <v>74</v>
      </c>
      <c r="BC563" t="s">
        <v>74</v>
      </c>
      <c r="BD563">
        <v>109952</v>
      </c>
      <c r="BE563" t="s">
        <v>10287</v>
      </c>
      <c r="BF563" t="str">
        <f>HYPERLINK("http://dx.doi.org/10.1016/j.foodcont.2023.109952","http://dx.doi.org/10.1016/j.foodcont.2023.109952")</f>
        <v>http://dx.doi.org/10.1016/j.foodcont.2023.109952</v>
      </c>
      <c r="BG563" t="s">
        <v>74</v>
      </c>
      <c r="BH563" t="s">
        <v>74</v>
      </c>
      <c r="BI563">
        <v>11</v>
      </c>
      <c r="BJ563" t="s">
        <v>1033</v>
      </c>
      <c r="BK563" t="s">
        <v>100</v>
      </c>
      <c r="BL563" t="s">
        <v>1033</v>
      </c>
      <c r="BM563" t="s">
        <v>10288</v>
      </c>
      <c r="BN563" t="s">
        <v>74</v>
      </c>
      <c r="BO563" t="s">
        <v>295</v>
      </c>
      <c r="BP563" t="s">
        <v>74</v>
      </c>
      <c r="BQ563" t="s">
        <v>74</v>
      </c>
      <c r="BR563" t="s">
        <v>104</v>
      </c>
      <c r="BS563" t="s">
        <v>10289</v>
      </c>
      <c r="BT563" t="str">
        <f>HYPERLINK("https%3A%2F%2Fwww.webofscience.com%2Fwos%2Fwoscc%2Ffull-record%2FWOS:001046652400001","View Full Record in Web of Science")</f>
        <v>View Full Record in Web of Science</v>
      </c>
    </row>
    <row r="564" spans="1:72" x14ac:dyDescent="0.15">
      <c r="A564" t="s">
        <v>72</v>
      </c>
      <c r="B564" t="s">
        <v>10290</v>
      </c>
      <c r="C564" t="s">
        <v>74</v>
      </c>
      <c r="D564" t="s">
        <v>74</v>
      </c>
      <c r="E564" t="s">
        <v>74</v>
      </c>
      <c r="F564" t="s">
        <v>10291</v>
      </c>
      <c r="G564" t="s">
        <v>74</v>
      </c>
      <c r="H564" t="s">
        <v>74</v>
      </c>
      <c r="I564" t="s">
        <v>10292</v>
      </c>
      <c r="J564" t="s">
        <v>7729</v>
      </c>
      <c r="K564" t="s">
        <v>74</v>
      </c>
      <c r="L564" t="s">
        <v>74</v>
      </c>
      <c r="M564" t="s">
        <v>78</v>
      </c>
      <c r="N564" t="s">
        <v>241</v>
      </c>
      <c r="O564" t="s">
        <v>74</v>
      </c>
      <c r="P564" t="s">
        <v>74</v>
      </c>
      <c r="Q564" t="s">
        <v>74</v>
      </c>
      <c r="R564" t="s">
        <v>74</v>
      </c>
      <c r="S564" t="s">
        <v>74</v>
      </c>
      <c r="T564" t="s">
        <v>10293</v>
      </c>
      <c r="U564" t="s">
        <v>10294</v>
      </c>
      <c r="V564" t="s">
        <v>10295</v>
      </c>
      <c r="W564" t="s">
        <v>10296</v>
      </c>
      <c r="X564" t="s">
        <v>10297</v>
      </c>
      <c r="Y564" t="s">
        <v>10298</v>
      </c>
      <c r="Z564" t="s">
        <v>10299</v>
      </c>
      <c r="AA564" t="s">
        <v>74</v>
      </c>
      <c r="AB564" t="s">
        <v>74</v>
      </c>
      <c r="AC564" t="s">
        <v>74</v>
      </c>
      <c r="AD564" t="s">
        <v>74</v>
      </c>
      <c r="AE564" t="s">
        <v>74</v>
      </c>
      <c r="AF564" t="s">
        <v>74</v>
      </c>
      <c r="AG564">
        <v>59</v>
      </c>
      <c r="AH564">
        <v>0</v>
      </c>
      <c r="AI564">
        <v>0</v>
      </c>
      <c r="AJ564">
        <v>0</v>
      </c>
      <c r="AK564">
        <v>0</v>
      </c>
      <c r="AL564" t="s">
        <v>147</v>
      </c>
      <c r="AM564" t="s">
        <v>148</v>
      </c>
      <c r="AN564" t="s">
        <v>149</v>
      </c>
      <c r="AO564" t="s">
        <v>7739</v>
      </c>
      <c r="AP564" t="s">
        <v>7740</v>
      </c>
      <c r="AQ564" t="s">
        <v>74</v>
      </c>
      <c r="AR564" t="s">
        <v>7729</v>
      </c>
      <c r="AS564" t="s">
        <v>7741</v>
      </c>
      <c r="AT564" t="s">
        <v>6618</v>
      </c>
      <c r="AU564">
        <v>2023</v>
      </c>
      <c r="AV564">
        <v>199</v>
      </c>
      <c r="AW564" t="s">
        <v>74</v>
      </c>
      <c r="AX564" t="s">
        <v>74</v>
      </c>
      <c r="AY564" t="s">
        <v>74</v>
      </c>
      <c r="AZ564" t="s">
        <v>74</v>
      </c>
      <c r="BA564" t="s">
        <v>74</v>
      </c>
      <c r="BB564" t="s">
        <v>74</v>
      </c>
      <c r="BC564" t="s">
        <v>74</v>
      </c>
      <c r="BD564">
        <v>109295</v>
      </c>
      <c r="BE564" t="s">
        <v>10300</v>
      </c>
      <c r="BF564" t="str">
        <f>HYPERLINK("http://dx.doi.org/10.1016/j.steroids.2023.109295","http://dx.doi.org/10.1016/j.steroids.2023.109295")</f>
        <v>http://dx.doi.org/10.1016/j.steroids.2023.109295</v>
      </c>
      <c r="BG564" t="s">
        <v>74</v>
      </c>
      <c r="BH564" t="s">
        <v>74</v>
      </c>
      <c r="BI564">
        <v>7</v>
      </c>
      <c r="BJ564" t="s">
        <v>7743</v>
      </c>
      <c r="BK564" t="s">
        <v>100</v>
      </c>
      <c r="BL564" t="s">
        <v>7743</v>
      </c>
      <c r="BM564" t="s">
        <v>10301</v>
      </c>
      <c r="BN564">
        <v>37558174</v>
      </c>
      <c r="BO564" t="s">
        <v>74</v>
      </c>
      <c r="BP564" t="s">
        <v>74</v>
      </c>
      <c r="BQ564" t="s">
        <v>74</v>
      </c>
      <c r="BR564" t="s">
        <v>104</v>
      </c>
      <c r="BS564" t="s">
        <v>10302</v>
      </c>
      <c r="BT564" t="str">
        <f>HYPERLINK("https%3A%2F%2Fwww.webofscience.com%2Fwos%2Fwoscc%2Ffull-record%2FWOS:001062433300001","View Full Record in Web of Science")</f>
        <v>View Full Record in Web of Science</v>
      </c>
    </row>
    <row r="565" spans="1:72" x14ac:dyDescent="0.15">
      <c r="A565" t="s">
        <v>72</v>
      </c>
      <c r="B565" t="s">
        <v>10303</v>
      </c>
      <c r="C565" t="s">
        <v>74</v>
      </c>
      <c r="D565" t="s">
        <v>74</v>
      </c>
      <c r="E565" t="s">
        <v>74</v>
      </c>
      <c r="F565" t="s">
        <v>10304</v>
      </c>
      <c r="G565" t="s">
        <v>74</v>
      </c>
      <c r="H565" t="s">
        <v>74</v>
      </c>
      <c r="I565" t="s">
        <v>10305</v>
      </c>
      <c r="J565" t="s">
        <v>6666</v>
      </c>
      <c r="K565" t="s">
        <v>74</v>
      </c>
      <c r="L565" t="s">
        <v>74</v>
      </c>
      <c r="M565" t="s">
        <v>78</v>
      </c>
      <c r="N565" t="s">
        <v>79</v>
      </c>
      <c r="O565" t="s">
        <v>74</v>
      </c>
      <c r="P565" t="s">
        <v>74</v>
      </c>
      <c r="Q565" t="s">
        <v>74</v>
      </c>
      <c r="R565" t="s">
        <v>74</v>
      </c>
      <c r="S565" t="s">
        <v>74</v>
      </c>
      <c r="T565" t="s">
        <v>10306</v>
      </c>
      <c r="U565" t="s">
        <v>10307</v>
      </c>
      <c r="V565" t="s">
        <v>10308</v>
      </c>
      <c r="W565" t="s">
        <v>10309</v>
      </c>
      <c r="X565" t="s">
        <v>10310</v>
      </c>
      <c r="Y565" t="s">
        <v>10311</v>
      </c>
      <c r="Z565" t="s">
        <v>10312</v>
      </c>
      <c r="AA565" t="s">
        <v>10313</v>
      </c>
      <c r="AB565" t="s">
        <v>10314</v>
      </c>
      <c r="AC565" t="s">
        <v>74</v>
      </c>
      <c r="AD565" t="s">
        <v>74</v>
      </c>
      <c r="AE565" t="s">
        <v>74</v>
      </c>
      <c r="AF565" t="s">
        <v>74</v>
      </c>
      <c r="AG565">
        <v>61</v>
      </c>
      <c r="AH565">
        <v>0</v>
      </c>
      <c r="AI565">
        <v>0</v>
      </c>
      <c r="AJ565">
        <v>2</v>
      </c>
      <c r="AK565">
        <v>2</v>
      </c>
      <c r="AL565" t="s">
        <v>173</v>
      </c>
      <c r="AM565" t="s">
        <v>121</v>
      </c>
      <c r="AN565" t="s">
        <v>174</v>
      </c>
      <c r="AO565" t="s">
        <v>6674</v>
      </c>
      <c r="AP565" t="s">
        <v>6675</v>
      </c>
      <c r="AQ565" t="s">
        <v>74</v>
      </c>
      <c r="AR565" t="s">
        <v>6676</v>
      </c>
      <c r="AS565" t="s">
        <v>6677</v>
      </c>
      <c r="AT565" t="s">
        <v>6618</v>
      </c>
      <c r="AU565">
        <v>2023</v>
      </c>
      <c r="AV565">
        <v>126</v>
      </c>
      <c r="AW565" t="s">
        <v>74</v>
      </c>
      <c r="AX565" t="s">
        <v>373</v>
      </c>
      <c r="AY565" t="s">
        <v>74</v>
      </c>
      <c r="AZ565" t="s">
        <v>74</v>
      </c>
      <c r="BA565" t="s">
        <v>74</v>
      </c>
      <c r="BB565" t="s">
        <v>74</v>
      </c>
      <c r="BC565" t="s">
        <v>74</v>
      </c>
      <c r="BD565">
        <v>106945</v>
      </c>
      <c r="BE565" t="s">
        <v>10315</v>
      </c>
      <c r="BF565" t="str">
        <f>HYPERLINK("http://dx.doi.org/10.1016/j.engappai.2023.106945","http://dx.doi.org/10.1016/j.engappai.2023.106945")</f>
        <v>http://dx.doi.org/10.1016/j.engappai.2023.106945</v>
      </c>
      <c r="BG565" t="s">
        <v>74</v>
      </c>
      <c r="BH565" t="s">
        <v>74</v>
      </c>
      <c r="BI565">
        <v>17</v>
      </c>
      <c r="BJ565" t="s">
        <v>6679</v>
      </c>
      <c r="BK565" t="s">
        <v>100</v>
      </c>
      <c r="BL565" t="s">
        <v>6680</v>
      </c>
      <c r="BM565" t="s">
        <v>10316</v>
      </c>
      <c r="BN565" t="s">
        <v>74</v>
      </c>
      <c r="BO565" t="s">
        <v>74</v>
      </c>
      <c r="BP565" t="s">
        <v>74</v>
      </c>
      <c r="BQ565" t="s">
        <v>74</v>
      </c>
      <c r="BR565" t="s">
        <v>104</v>
      </c>
      <c r="BS565" t="s">
        <v>10317</v>
      </c>
      <c r="BT565" t="str">
        <f>HYPERLINK("https%3A%2F%2Fwww.webofscience.com%2Fwos%2Fwoscc%2Ffull-record%2FWOS:001059223300001","View Full Record in Web of Science")</f>
        <v>View Full Record in Web of Science</v>
      </c>
    </row>
    <row r="566" spans="1:72" x14ac:dyDescent="0.15">
      <c r="A566" t="s">
        <v>72</v>
      </c>
      <c r="B566" t="s">
        <v>10318</v>
      </c>
      <c r="C566" t="s">
        <v>74</v>
      </c>
      <c r="D566" t="s">
        <v>74</v>
      </c>
      <c r="E566" t="s">
        <v>74</v>
      </c>
      <c r="F566" t="s">
        <v>10319</v>
      </c>
      <c r="G566" t="s">
        <v>74</v>
      </c>
      <c r="H566" t="s">
        <v>74</v>
      </c>
      <c r="I566" t="s">
        <v>10320</v>
      </c>
      <c r="J566" t="s">
        <v>10321</v>
      </c>
      <c r="K566" t="s">
        <v>74</v>
      </c>
      <c r="L566" t="s">
        <v>74</v>
      </c>
      <c r="M566" t="s">
        <v>78</v>
      </c>
      <c r="N566" t="s">
        <v>79</v>
      </c>
      <c r="O566" t="s">
        <v>74</v>
      </c>
      <c r="P566" t="s">
        <v>74</v>
      </c>
      <c r="Q566" t="s">
        <v>74</v>
      </c>
      <c r="R566" t="s">
        <v>74</v>
      </c>
      <c r="S566" t="s">
        <v>74</v>
      </c>
      <c r="T566" t="s">
        <v>10322</v>
      </c>
      <c r="U566" t="s">
        <v>10323</v>
      </c>
      <c r="V566" t="s">
        <v>10324</v>
      </c>
      <c r="W566" t="s">
        <v>10325</v>
      </c>
      <c r="X566" t="s">
        <v>5519</v>
      </c>
      <c r="Y566" t="s">
        <v>10326</v>
      </c>
      <c r="Z566" t="s">
        <v>10327</v>
      </c>
      <c r="AA566" t="s">
        <v>74</v>
      </c>
      <c r="AB566" t="s">
        <v>10328</v>
      </c>
      <c r="AC566" t="s">
        <v>10329</v>
      </c>
      <c r="AD566" t="s">
        <v>10330</v>
      </c>
      <c r="AE566" t="s">
        <v>10331</v>
      </c>
      <c r="AF566" t="s">
        <v>74</v>
      </c>
      <c r="AG566">
        <v>21</v>
      </c>
      <c r="AH566">
        <v>0</v>
      </c>
      <c r="AI566">
        <v>0</v>
      </c>
      <c r="AJ566">
        <v>0</v>
      </c>
      <c r="AK566">
        <v>0</v>
      </c>
      <c r="AL566" t="s">
        <v>90</v>
      </c>
      <c r="AM566" t="s">
        <v>91</v>
      </c>
      <c r="AN566" t="s">
        <v>92</v>
      </c>
      <c r="AO566" t="s">
        <v>10332</v>
      </c>
      <c r="AP566" t="s">
        <v>10333</v>
      </c>
      <c r="AQ566" t="s">
        <v>74</v>
      </c>
      <c r="AR566" t="s">
        <v>10334</v>
      </c>
      <c r="AS566" t="s">
        <v>10335</v>
      </c>
      <c r="AT566" t="s">
        <v>6659</v>
      </c>
      <c r="AU566">
        <v>2023</v>
      </c>
      <c r="AV566">
        <v>225</v>
      </c>
      <c r="AW566" t="s">
        <v>74</v>
      </c>
      <c r="AX566" t="s">
        <v>74</v>
      </c>
      <c r="AY566" t="s">
        <v>74</v>
      </c>
      <c r="AZ566" t="s">
        <v>74</v>
      </c>
      <c r="BA566" t="s">
        <v>74</v>
      </c>
      <c r="BB566" t="s">
        <v>74</v>
      </c>
      <c r="BC566" t="s">
        <v>74</v>
      </c>
      <c r="BD566">
        <v>104006</v>
      </c>
      <c r="BE566" t="s">
        <v>10336</v>
      </c>
      <c r="BF566" t="str">
        <f>HYPERLINK("http://dx.doi.org/10.1016/j.finel.2023.104006","http://dx.doi.org/10.1016/j.finel.2023.104006")</f>
        <v>http://dx.doi.org/10.1016/j.finel.2023.104006</v>
      </c>
      <c r="BG566" t="s">
        <v>74</v>
      </c>
      <c r="BH566" t="s">
        <v>74</v>
      </c>
      <c r="BI566">
        <v>18</v>
      </c>
      <c r="BJ566" t="s">
        <v>10337</v>
      </c>
      <c r="BK566" t="s">
        <v>100</v>
      </c>
      <c r="BL566" t="s">
        <v>10338</v>
      </c>
      <c r="BM566" t="s">
        <v>10339</v>
      </c>
      <c r="BN566" t="s">
        <v>74</v>
      </c>
      <c r="BO566" t="s">
        <v>295</v>
      </c>
      <c r="BP566" t="s">
        <v>74</v>
      </c>
      <c r="BQ566" t="s">
        <v>74</v>
      </c>
      <c r="BR566" t="s">
        <v>104</v>
      </c>
      <c r="BS566" t="s">
        <v>10340</v>
      </c>
      <c r="BT566" t="str">
        <f>HYPERLINK("https%3A%2F%2Fwww.webofscience.com%2Fwos%2Fwoscc%2Ffull-record%2FWOS:001059383700001","View Full Record in Web of Science")</f>
        <v>View Full Record in Web of Science</v>
      </c>
    </row>
    <row r="567" spans="1:72" x14ac:dyDescent="0.15">
      <c r="A567" t="s">
        <v>72</v>
      </c>
      <c r="B567" t="s">
        <v>10341</v>
      </c>
      <c r="C567" t="s">
        <v>74</v>
      </c>
      <c r="D567" t="s">
        <v>74</v>
      </c>
      <c r="E567" t="s">
        <v>74</v>
      </c>
      <c r="F567" t="s">
        <v>10342</v>
      </c>
      <c r="G567" t="s">
        <v>74</v>
      </c>
      <c r="H567" t="s">
        <v>74</v>
      </c>
      <c r="I567" t="s">
        <v>10343</v>
      </c>
      <c r="J567" t="s">
        <v>10344</v>
      </c>
      <c r="K567" t="s">
        <v>74</v>
      </c>
      <c r="L567" t="s">
        <v>74</v>
      </c>
      <c r="M567" t="s">
        <v>78</v>
      </c>
      <c r="N567" t="s">
        <v>79</v>
      </c>
      <c r="O567" t="s">
        <v>74</v>
      </c>
      <c r="P567" t="s">
        <v>74</v>
      </c>
      <c r="Q567" t="s">
        <v>74</v>
      </c>
      <c r="R567" t="s">
        <v>74</v>
      </c>
      <c r="S567" t="s">
        <v>74</v>
      </c>
      <c r="T567" t="s">
        <v>10345</v>
      </c>
      <c r="U567" t="s">
        <v>10346</v>
      </c>
      <c r="V567" t="s">
        <v>10347</v>
      </c>
      <c r="W567" t="s">
        <v>10348</v>
      </c>
      <c r="X567" t="s">
        <v>10349</v>
      </c>
      <c r="Y567" t="s">
        <v>10350</v>
      </c>
      <c r="Z567" t="s">
        <v>10351</v>
      </c>
      <c r="AA567" t="s">
        <v>74</v>
      </c>
      <c r="AB567" t="s">
        <v>10352</v>
      </c>
      <c r="AC567" t="s">
        <v>10353</v>
      </c>
      <c r="AD567" t="s">
        <v>8596</v>
      </c>
      <c r="AE567" t="s">
        <v>10354</v>
      </c>
      <c r="AF567" t="s">
        <v>74</v>
      </c>
      <c r="AG567">
        <v>90</v>
      </c>
      <c r="AH567">
        <v>0</v>
      </c>
      <c r="AI567">
        <v>0</v>
      </c>
      <c r="AJ567">
        <v>1</v>
      </c>
      <c r="AK567">
        <v>1</v>
      </c>
      <c r="AL567" t="s">
        <v>173</v>
      </c>
      <c r="AM567" t="s">
        <v>121</v>
      </c>
      <c r="AN567" t="s">
        <v>174</v>
      </c>
      <c r="AO567" t="s">
        <v>10355</v>
      </c>
      <c r="AP567" t="s">
        <v>10356</v>
      </c>
      <c r="AQ567" t="s">
        <v>74</v>
      </c>
      <c r="AR567" t="s">
        <v>10344</v>
      </c>
      <c r="AS567" t="s">
        <v>10357</v>
      </c>
      <c r="AT567" t="s">
        <v>6659</v>
      </c>
      <c r="AU567">
        <v>2023</v>
      </c>
      <c r="AV567">
        <v>238</v>
      </c>
      <c r="AW567" t="s">
        <v>74</v>
      </c>
      <c r="AX567" t="s">
        <v>74</v>
      </c>
      <c r="AY567" t="s">
        <v>74</v>
      </c>
      <c r="AZ567" t="s">
        <v>74</v>
      </c>
      <c r="BA567" t="s">
        <v>74</v>
      </c>
      <c r="BB567" t="s">
        <v>74</v>
      </c>
      <c r="BC567" t="s">
        <v>74</v>
      </c>
      <c r="BD567">
        <v>109663</v>
      </c>
      <c r="BE567" t="s">
        <v>10358</v>
      </c>
      <c r="BF567" t="str">
        <f>HYPERLINK("http://dx.doi.org/10.1016/j.neuropharm.2023.109663","http://dx.doi.org/10.1016/j.neuropharm.2023.109663")</f>
        <v>http://dx.doi.org/10.1016/j.neuropharm.2023.109663</v>
      </c>
      <c r="BG567" t="s">
        <v>74</v>
      </c>
      <c r="BH567" t="s">
        <v>74</v>
      </c>
      <c r="BI567">
        <v>13</v>
      </c>
      <c r="BJ567" t="s">
        <v>10359</v>
      </c>
      <c r="BK567" t="s">
        <v>100</v>
      </c>
      <c r="BL567" t="s">
        <v>10360</v>
      </c>
      <c r="BM567" t="s">
        <v>10361</v>
      </c>
      <c r="BN567">
        <v>37429543</v>
      </c>
      <c r="BO567" t="s">
        <v>103</v>
      </c>
      <c r="BP567" t="s">
        <v>74</v>
      </c>
      <c r="BQ567" t="s">
        <v>74</v>
      </c>
      <c r="BR567" t="s">
        <v>104</v>
      </c>
      <c r="BS567" t="s">
        <v>10362</v>
      </c>
      <c r="BT567" t="str">
        <f>HYPERLINK("https%3A%2F%2Fwww.webofscience.com%2Fwos%2Fwoscc%2Ffull-record%2FWOS:001048997000001","View Full Record in Web of Science")</f>
        <v>View Full Record in Web of Science</v>
      </c>
    </row>
    <row r="568" spans="1:72" x14ac:dyDescent="0.15">
      <c r="A568" t="s">
        <v>72</v>
      </c>
      <c r="B568" t="s">
        <v>10363</v>
      </c>
      <c r="C568" t="s">
        <v>74</v>
      </c>
      <c r="D568" t="s">
        <v>74</v>
      </c>
      <c r="E568" t="s">
        <v>74</v>
      </c>
      <c r="F568" t="s">
        <v>10364</v>
      </c>
      <c r="G568" t="s">
        <v>74</v>
      </c>
      <c r="H568" t="s">
        <v>74</v>
      </c>
      <c r="I568" t="s">
        <v>10365</v>
      </c>
      <c r="J568" t="s">
        <v>7971</v>
      </c>
      <c r="K568" t="s">
        <v>74</v>
      </c>
      <c r="L568" t="s">
        <v>74</v>
      </c>
      <c r="M568" t="s">
        <v>78</v>
      </c>
      <c r="N568" t="s">
        <v>79</v>
      </c>
      <c r="O568" t="s">
        <v>74</v>
      </c>
      <c r="P568" t="s">
        <v>74</v>
      </c>
      <c r="Q568" t="s">
        <v>74</v>
      </c>
      <c r="R568" t="s">
        <v>74</v>
      </c>
      <c r="S568" t="s">
        <v>74</v>
      </c>
      <c r="T568" t="s">
        <v>10366</v>
      </c>
      <c r="U568" t="s">
        <v>10367</v>
      </c>
      <c r="V568" t="s">
        <v>10368</v>
      </c>
      <c r="W568" t="s">
        <v>10369</v>
      </c>
      <c r="X568" t="s">
        <v>10370</v>
      </c>
      <c r="Y568" t="s">
        <v>10371</v>
      </c>
      <c r="Z568" t="s">
        <v>10372</v>
      </c>
      <c r="AA568" t="s">
        <v>74</v>
      </c>
      <c r="AB568" t="s">
        <v>74</v>
      </c>
      <c r="AC568" t="s">
        <v>74</v>
      </c>
      <c r="AD568" t="s">
        <v>74</v>
      </c>
      <c r="AE568" t="s">
        <v>74</v>
      </c>
      <c r="AF568" t="s">
        <v>74</v>
      </c>
      <c r="AG568">
        <v>11</v>
      </c>
      <c r="AH568">
        <v>0</v>
      </c>
      <c r="AI568">
        <v>0</v>
      </c>
      <c r="AJ568">
        <v>0</v>
      </c>
      <c r="AK568">
        <v>0</v>
      </c>
      <c r="AL568" t="s">
        <v>147</v>
      </c>
      <c r="AM568" t="s">
        <v>148</v>
      </c>
      <c r="AN568" t="s">
        <v>149</v>
      </c>
      <c r="AO568" t="s">
        <v>7979</v>
      </c>
      <c r="AP568" t="s">
        <v>7980</v>
      </c>
      <c r="AQ568" t="s">
        <v>74</v>
      </c>
      <c r="AR568" t="s">
        <v>7981</v>
      </c>
      <c r="AS568" t="s">
        <v>7982</v>
      </c>
      <c r="AT568" t="s">
        <v>6618</v>
      </c>
      <c r="AU568">
        <v>2023</v>
      </c>
      <c r="AV568">
        <v>35</v>
      </c>
      <c r="AW568">
        <v>6</v>
      </c>
      <c r="AX568" t="s">
        <v>74</v>
      </c>
      <c r="AY568" t="s">
        <v>74</v>
      </c>
      <c r="AZ568" t="s">
        <v>74</v>
      </c>
      <c r="BA568" t="s">
        <v>74</v>
      </c>
      <c r="BB568">
        <v>513</v>
      </c>
      <c r="BC568">
        <v>517</v>
      </c>
      <c r="BD568" t="s">
        <v>74</v>
      </c>
      <c r="BE568" t="s">
        <v>10373</v>
      </c>
      <c r="BF568" t="str">
        <f>HYPERLINK("http://dx.doi.org/10.1016/j.ajoms.2023.03.004","http://dx.doi.org/10.1016/j.ajoms.2023.03.004")</f>
        <v>http://dx.doi.org/10.1016/j.ajoms.2023.03.004</v>
      </c>
      <c r="BG568" t="s">
        <v>74</v>
      </c>
      <c r="BH568" t="s">
        <v>74</v>
      </c>
      <c r="BI568">
        <v>5</v>
      </c>
      <c r="BJ568" t="s">
        <v>2689</v>
      </c>
      <c r="BK568" t="s">
        <v>1850</v>
      </c>
      <c r="BL568" t="s">
        <v>2689</v>
      </c>
      <c r="BM568" t="s">
        <v>10374</v>
      </c>
      <c r="BN568" t="s">
        <v>74</v>
      </c>
      <c r="BO568" t="s">
        <v>74</v>
      </c>
      <c r="BP568" t="s">
        <v>74</v>
      </c>
      <c r="BQ568" t="s">
        <v>74</v>
      </c>
      <c r="BR568" t="s">
        <v>104</v>
      </c>
      <c r="BS568" t="s">
        <v>10375</v>
      </c>
      <c r="BT568" t="str">
        <f>HYPERLINK("https%3A%2F%2Fwww.webofscience.com%2Fwos%2Fwoscc%2Ffull-record%2FWOS:001054668600001","View Full Record in Web of Science")</f>
        <v>View Full Record in Web of Science</v>
      </c>
    </row>
    <row r="569" spans="1:72" x14ac:dyDescent="0.15">
      <c r="A569" t="s">
        <v>72</v>
      </c>
      <c r="B569" t="s">
        <v>10376</v>
      </c>
      <c r="C569" t="s">
        <v>74</v>
      </c>
      <c r="D569" t="s">
        <v>74</v>
      </c>
      <c r="E569" t="s">
        <v>74</v>
      </c>
      <c r="F569" t="s">
        <v>10377</v>
      </c>
      <c r="G569" t="s">
        <v>74</v>
      </c>
      <c r="H569" t="s">
        <v>74</v>
      </c>
      <c r="I569" t="s">
        <v>10378</v>
      </c>
      <c r="J569" t="s">
        <v>10379</v>
      </c>
      <c r="K569" t="s">
        <v>74</v>
      </c>
      <c r="L569" t="s">
        <v>74</v>
      </c>
      <c r="M569" t="s">
        <v>78</v>
      </c>
      <c r="N569" t="s">
        <v>79</v>
      </c>
      <c r="O569" t="s">
        <v>74</v>
      </c>
      <c r="P569" t="s">
        <v>74</v>
      </c>
      <c r="Q569" t="s">
        <v>74</v>
      </c>
      <c r="R569" t="s">
        <v>74</v>
      </c>
      <c r="S569" t="s">
        <v>74</v>
      </c>
      <c r="T569" t="s">
        <v>10380</v>
      </c>
      <c r="U569" t="s">
        <v>10381</v>
      </c>
      <c r="V569" t="s">
        <v>10382</v>
      </c>
      <c r="W569" t="s">
        <v>10383</v>
      </c>
      <c r="X569" t="s">
        <v>10384</v>
      </c>
      <c r="Y569" t="s">
        <v>10385</v>
      </c>
      <c r="Z569" t="s">
        <v>10386</v>
      </c>
      <c r="AA569" t="s">
        <v>74</v>
      </c>
      <c r="AB569" t="s">
        <v>74</v>
      </c>
      <c r="AC569" t="s">
        <v>10387</v>
      </c>
      <c r="AD569" t="s">
        <v>10388</v>
      </c>
      <c r="AE569" t="s">
        <v>10389</v>
      </c>
      <c r="AF569" t="s">
        <v>74</v>
      </c>
      <c r="AG569">
        <v>28</v>
      </c>
      <c r="AH569">
        <v>0</v>
      </c>
      <c r="AI569">
        <v>0</v>
      </c>
      <c r="AJ569">
        <v>0</v>
      </c>
      <c r="AK569">
        <v>0</v>
      </c>
      <c r="AL569" t="s">
        <v>90</v>
      </c>
      <c r="AM569" t="s">
        <v>91</v>
      </c>
      <c r="AN569" t="s">
        <v>92</v>
      </c>
      <c r="AO569" t="s">
        <v>10390</v>
      </c>
      <c r="AP569" t="s">
        <v>10391</v>
      </c>
      <c r="AQ569" t="s">
        <v>74</v>
      </c>
      <c r="AR569" t="s">
        <v>10392</v>
      </c>
      <c r="AS569" t="s">
        <v>10393</v>
      </c>
      <c r="AT569" t="s">
        <v>9140</v>
      </c>
      <c r="AU569">
        <v>2023</v>
      </c>
      <c r="AV569">
        <v>46</v>
      </c>
      <c r="AW569" t="s">
        <v>74</v>
      </c>
      <c r="AX569" t="s">
        <v>74</v>
      </c>
      <c r="AY569" t="s">
        <v>74</v>
      </c>
      <c r="AZ569" t="s">
        <v>74</v>
      </c>
      <c r="BA569" t="s">
        <v>74</v>
      </c>
      <c r="BB569" t="s">
        <v>74</v>
      </c>
      <c r="BC569" t="s">
        <v>74</v>
      </c>
      <c r="BD569">
        <v>100427</v>
      </c>
      <c r="BE569" t="s">
        <v>10394</v>
      </c>
      <c r="BF569" t="str">
        <f>HYPERLINK("http://dx.doi.org/10.1016/j.ijmmb.2023.100427","http://dx.doi.org/10.1016/j.ijmmb.2023.100427")</f>
        <v>http://dx.doi.org/10.1016/j.ijmmb.2023.100427</v>
      </c>
      <c r="BG569" t="s">
        <v>74</v>
      </c>
      <c r="BH569" t="s">
        <v>74</v>
      </c>
      <c r="BI569">
        <v>6</v>
      </c>
      <c r="BJ569" t="s">
        <v>10395</v>
      </c>
      <c r="BK569" t="s">
        <v>100</v>
      </c>
      <c r="BL569" t="s">
        <v>10395</v>
      </c>
      <c r="BM569" t="s">
        <v>10396</v>
      </c>
      <c r="BN569" t="s">
        <v>74</v>
      </c>
      <c r="BO569" t="s">
        <v>74</v>
      </c>
      <c r="BP569" t="s">
        <v>74</v>
      </c>
      <c r="BQ569" t="s">
        <v>74</v>
      </c>
      <c r="BR569" t="s">
        <v>104</v>
      </c>
      <c r="BS569" t="s">
        <v>10397</v>
      </c>
      <c r="BT569" t="str">
        <f>HYPERLINK("https%3A%2F%2Fwww.webofscience.com%2Fwos%2Fwoscc%2Ffull-record%2FWOS:001049166600001","View Full Record in Web of Science")</f>
        <v>View Full Record in Web of Science</v>
      </c>
    </row>
    <row r="570" spans="1:72" x14ac:dyDescent="0.15">
      <c r="A570" t="s">
        <v>72</v>
      </c>
      <c r="B570" t="s">
        <v>10398</v>
      </c>
      <c r="C570" t="s">
        <v>74</v>
      </c>
      <c r="D570" t="s">
        <v>74</v>
      </c>
      <c r="E570" t="s">
        <v>74</v>
      </c>
      <c r="F570" t="s">
        <v>10399</v>
      </c>
      <c r="G570" t="s">
        <v>74</v>
      </c>
      <c r="H570" t="s">
        <v>74</v>
      </c>
      <c r="I570" t="s">
        <v>10400</v>
      </c>
      <c r="J570" t="s">
        <v>8066</v>
      </c>
      <c r="K570" t="s">
        <v>74</v>
      </c>
      <c r="L570" t="s">
        <v>74</v>
      </c>
      <c r="M570" t="s">
        <v>78</v>
      </c>
      <c r="N570" t="s">
        <v>241</v>
      </c>
      <c r="O570" t="s">
        <v>74</v>
      </c>
      <c r="P570" t="s">
        <v>74</v>
      </c>
      <c r="Q570" t="s">
        <v>74</v>
      </c>
      <c r="R570" t="s">
        <v>74</v>
      </c>
      <c r="S570" t="s">
        <v>74</v>
      </c>
      <c r="T570" t="s">
        <v>74</v>
      </c>
      <c r="U570" t="s">
        <v>10401</v>
      </c>
      <c r="V570" t="s">
        <v>10402</v>
      </c>
      <c r="W570" t="s">
        <v>10403</v>
      </c>
      <c r="X570" t="s">
        <v>10404</v>
      </c>
      <c r="Y570" t="s">
        <v>10405</v>
      </c>
      <c r="Z570" t="s">
        <v>10406</v>
      </c>
      <c r="AA570" t="s">
        <v>74</v>
      </c>
      <c r="AB570" t="s">
        <v>10407</v>
      </c>
      <c r="AC570" t="s">
        <v>10408</v>
      </c>
      <c r="AD570" t="s">
        <v>10408</v>
      </c>
      <c r="AE570" t="s">
        <v>10409</v>
      </c>
      <c r="AF570" t="s">
        <v>74</v>
      </c>
      <c r="AG570">
        <v>72</v>
      </c>
      <c r="AH570">
        <v>0</v>
      </c>
      <c r="AI570">
        <v>0</v>
      </c>
      <c r="AJ570">
        <v>3</v>
      </c>
      <c r="AK570">
        <v>3</v>
      </c>
      <c r="AL570" t="s">
        <v>8072</v>
      </c>
      <c r="AM570" t="s">
        <v>148</v>
      </c>
      <c r="AN570" t="s">
        <v>8073</v>
      </c>
      <c r="AO570" t="s">
        <v>8074</v>
      </c>
      <c r="AP570" t="s">
        <v>8075</v>
      </c>
      <c r="AQ570" t="s">
        <v>74</v>
      </c>
      <c r="AR570" t="s">
        <v>8076</v>
      </c>
      <c r="AS570" t="s">
        <v>8077</v>
      </c>
      <c r="AT570" t="s">
        <v>6618</v>
      </c>
      <c r="AU570">
        <v>2023</v>
      </c>
      <c r="AV570">
        <v>48</v>
      </c>
      <c r="AW570">
        <v>11</v>
      </c>
      <c r="AX570" t="s">
        <v>74</v>
      </c>
      <c r="AY570" t="s">
        <v>74</v>
      </c>
      <c r="AZ570" t="s">
        <v>74</v>
      </c>
      <c r="BA570" t="s">
        <v>74</v>
      </c>
      <c r="BB570" t="s">
        <v>74</v>
      </c>
      <c r="BC570" t="s">
        <v>74</v>
      </c>
      <c r="BD570">
        <v>101922</v>
      </c>
      <c r="BE570" t="s">
        <v>10410</v>
      </c>
      <c r="BF570" t="str">
        <f>HYPERLINK("http://dx.doi.org/10.1016/j.cpcardiol.2023.101922","http://dx.doi.org/10.1016/j.cpcardiol.2023.101922")</f>
        <v>http://dx.doi.org/10.1016/j.cpcardiol.2023.101922</v>
      </c>
      <c r="BG570" t="s">
        <v>74</v>
      </c>
      <c r="BH570" t="s">
        <v>74</v>
      </c>
      <c r="BI570">
        <v>29</v>
      </c>
      <c r="BJ570" t="s">
        <v>8079</v>
      </c>
      <c r="BK570" t="s">
        <v>100</v>
      </c>
      <c r="BL570" t="s">
        <v>8080</v>
      </c>
      <c r="BM570" t="s">
        <v>10411</v>
      </c>
      <c r="BN570">
        <v>37437703</v>
      </c>
      <c r="BO570" t="s">
        <v>74</v>
      </c>
      <c r="BP570" t="s">
        <v>74</v>
      </c>
      <c r="BQ570" t="s">
        <v>74</v>
      </c>
      <c r="BR570" t="s">
        <v>104</v>
      </c>
      <c r="BS570" t="s">
        <v>10412</v>
      </c>
      <c r="BT570" t="str">
        <f>HYPERLINK("https%3A%2F%2Fwww.webofscience.com%2Fwos%2Fwoscc%2Ffull-record%2FWOS:001053231700001","View Full Record in Web of Science")</f>
        <v>View Full Record in Web of Science</v>
      </c>
    </row>
    <row r="571" spans="1:72" x14ac:dyDescent="0.15">
      <c r="A571" t="s">
        <v>72</v>
      </c>
      <c r="B571" t="s">
        <v>10413</v>
      </c>
      <c r="C571" t="s">
        <v>74</v>
      </c>
      <c r="D571" t="s">
        <v>74</v>
      </c>
      <c r="E571" t="s">
        <v>74</v>
      </c>
      <c r="F571" t="s">
        <v>10414</v>
      </c>
      <c r="G571" t="s">
        <v>74</v>
      </c>
      <c r="H571" t="s">
        <v>74</v>
      </c>
      <c r="I571" t="s">
        <v>10415</v>
      </c>
      <c r="J571" t="s">
        <v>8290</v>
      </c>
      <c r="K571" t="s">
        <v>74</v>
      </c>
      <c r="L571" t="s">
        <v>74</v>
      </c>
      <c r="M571" t="s">
        <v>78</v>
      </c>
      <c r="N571" t="s">
        <v>241</v>
      </c>
      <c r="O571" t="s">
        <v>74</v>
      </c>
      <c r="P571" t="s">
        <v>74</v>
      </c>
      <c r="Q571" t="s">
        <v>74</v>
      </c>
      <c r="R571" t="s">
        <v>74</v>
      </c>
      <c r="S571" t="s">
        <v>74</v>
      </c>
      <c r="T571" t="s">
        <v>10416</v>
      </c>
      <c r="U571" t="s">
        <v>10417</v>
      </c>
      <c r="V571" t="s">
        <v>10418</v>
      </c>
      <c r="W571" t="s">
        <v>10419</v>
      </c>
      <c r="X571" t="s">
        <v>10420</v>
      </c>
      <c r="Y571" t="s">
        <v>10421</v>
      </c>
      <c r="Z571" t="s">
        <v>10422</v>
      </c>
      <c r="AA571" t="s">
        <v>74</v>
      </c>
      <c r="AB571" t="s">
        <v>74</v>
      </c>
      <c r="AC571" t="s">
        <v>74</v>
      </c>
      <c r="AD571" t="s">
        <v>74</v>
      </c>
      <c r="AE571" t="s">
        <v>74</v>
      </c>
      <c r="AF571" t="s">
        <v>74</v>
      </c>
      <c r="AG571">
        <v>151</v>
      </c>
      <c r="AH571">
        <v>0</v>
      </c>
      <c r="AI571">
        <v>0</v>
      </c>
      <c r="AJ571">
        <v>0</v>
      </c>
      <c r="AK571">
        <v>0</v>
      </c>
      <c r="AL571" t="s">
        <v>147</v>
      </c>
      <c r="AM571" t="s">
        <v>148</v>
      </c>
      <c r="AN571" t="s">
        <v>149</v>
      </c>
      <c r="AO571" t="s">
        <v>8300</v>
      </c>
      <c r="AP571" t="s">
        <v>8301</v>
      </c>
      <c r="AQ571" t="s">
        <v>74</v>
      </c>
      <c r="AR571" t="s">
        <v>8302</v>
      </c>
      <c r="AS571" t="s">
        <v>8303</v>
      </c>
      <c r="AT571" t="s">
        <v>6618</v>
      </c>
      <c r="AU571">
        <v>2023</v>
      </c>
      <c r="AV571">
        <v>168</v>
      </c>
      <c r="AW571" t="s">
        <v>74</v>
      </c>
      <c r="AX571" t="s">
        <v>74</v>
      </c>
      <c r="AY571" t="s">
        <v>74</v>
      </c>
      <c r="AZ571" t="s">
        <v>74</v>
      </c>
      <c r="BA571" t="s">
        <v>74</v>
      </c>
      <c r="BB571" t="s">
        <v>74</v>
      </c>
      <c r="BC571" t="s">
        <v>74</v>
      </c>
      <c r="BD571">
        <v>114239</v>
      </c>
      <c r="BE571" t="s">
        <v>10423</v>
      </c>
      <c r="BF571" t="str">
        <f>HYPERLINK("http://dx.doi.org/10.1016/j.jbusres.2023.114239","http://dx.doi.org/10.1016/j.jbusres.2023.114239")</f>
        <v>http://dx.doi.org/10.1016/j.jbusres.2023.114239</v>
      </c>
      <c r="BG571" t="s">
        <v>74</v>
      </c>
      <c r="BH571" t="s">
        <v>74</v>
      </c>
      <c r="BI571">
        <v>14</v>
      </c>
      <c r="BJ571" t="s">
        <v>8305</v>
      </c>
      <c r="BK571" t="s">
        <v>627</v>
      </c>
      <c r="BL571" t="s">
        <v>628</v>
      </c>
      <c r="BM571" t="s">
        <v>10424</v>
      </c>
      <c r="BN571" t="s">
        <v>74</v>
      </c>
      <c r="BO571" t="s">
        <v>74</v>
      </c>
      <c r="BP571" t="s">
        <v>74</v>
      </c>
      <c r="BQ571" t="s">
        <v>74</v>
      </c>
      <c r="BR571" t="s">
        <v>104</v>
      </c>
      <c r="BS571" t="s">
        <v>10425</v>
      </c>
      <c r="BT571" t="str">
        <f>HYPERLINK("https%3A%2F%2Fwww.webofscience.com%2Fwos%2Fwoscc%2Ffull-record%2FWOS:001071878900001","View Full Record in Web of Science")</f>
        <v>View Full Record in Web of Science</v>
      </c>
    </row>
    <row r="572" spans="1:72" x14ac:dyDescent="0.15">
      <c r="A572" t="s">
        <v>72</v>
      </c>
      <c r="B572" t="s">
        <v>10426</v>
      </c>
      <c r="C572" t="s">
        <v>74</v>
      </c>
      <c r="D572" t="s">
        <v>74</v>
      </c>
      <c r="E572" t="s">
        <v>74</v>
      </c>
      <c r="F572" t="s">
        <v>10427</v>
      </c>
      <c r="G572" t="s">
        <v>74</v>
      </c>
      <c r="H572" t="s">
        <v>74</v>
      </c>
      <c r="I572" t="s">
        <v>10428</v>
      </c>
      <c r="J572" t="s">
        <v>7345</v>
      </c>
      <c r="K572" t="s">
        <v>74</v>
      </c>
      <c r="L572" t="s">
        <v>74</v>
      </c>
      <c r="M572" t="s">
        <v>78</v>
      </c>
      <c r="N572" t="s">
        <v>241</v>
      </c>
      <c r="O572" t="s">
        <v>74</v>
      </c>
      <c r="P572" t="s">
        <v>74</v>
      </c>
      <c r="Q572" t="s">
        <v>74</v>
      </c>
      <c r="R572" t="s">
        <v>74</v>
      </c>
      <c r="S572" t="s">
        <v>74</v>
      </c>
      <c r="T572" t="s">
        <v>10429</v>
      </c>
      <c r="U572" t="s">
        <v>10430</v>
      </c>
      <c r="V572" t="s">
        <v>10431</v>
      </c>
      <c r="W572" t="s">
        <v>10432</v>
      </c>
      <c r="X572" t="s">
        <v>10433</v>
      </c>
      <c r="Y572" t="s">
        <v>10434</v>
      </c>
      <c r="Z572" t="s">
        <v>10435</v>
      </c>
      <c r="AA572" t="s">
        <v>74</v>
      </c>
      <c r="AB572" t="s">
        <v>10436</v>
      </c>
      <c r="AC572" t="s">
        <v>74</v>
      </c>
      <c r="AD572" t="s">
        <v>74</v>
      </c>
      <c r="AE572" t="s">
        <v>74</v>
      </c>
      <c r="AF572" t="s">
        <v>74</v>
      </c>
      <c r="AG572">
        <v>51</v>
      </c>
      <c r="AH572">
        <v>0</v>
      </c>
      <c r="AI572">
        <v>0</v>
      </c>
      <c r="AJ572">
        <v>0</v>
      </c>
      <c r="AK572">
        <v>0</v>
      </c>
      <c r="AL572" t="s">
        <v>475</v>
      </c>
      <c r="AM572" t="s">
        <v>476</v>
      </c>
      <c r="AN572" t="s">
        <v>477</v>
      </c>
      <c r="AO572" t="s">
        <v>7353</v>
      </c>
      <c r="AP572" t="s">
        <v>7354</v>
      </c>
      <c r="AQ572" t="s">
        <v>74</v>
      </c>
      <c r="AR572" t="s">
        <v>7355</v>
      </c>
      <c r="AS572" t="s">
        <v>7356</v>
      </c>
      <c r="AT572" t="s">
        <v>6618</v>
      </c>
      <c r="AU572">
        <v>2023</v>
      </c>
      <c r="AV572">
        <v>291</v>
      </c>
      <c r="AW572" t="s">
        <v>74</v>
      </c>
      <c r="AX572" t="s">
        <v>74</v>
      </c>
      <c r="AY572" t="s">
        <v>74</v>
      </c>
      <c r="AZ572" t="s">
        <v>74</v>
      </c>
      <c r="BA572" t="s">
        <v>74</v>
      </c>
      <c r="BB572">
        <v>734</v>
      </c>
      <c r="BC572">
        <v>741</v>
      </c>
      <c r="BD572" t="s">
        <v>74</v>
      </c>
      <c r="BE572" t="s">
        <v>10437</v>
      </c>
      <c r="BF572" t="str">
        <f>HYPERLINK("http://dx.doi.org/10.1016/j.jss.2023.06.011","http://dx.doi.org/10.1016/j.jss.2023.06.011")</f>
        <v>http://dx.doi.org/10.1016/j.jss.2023.06.011</v>
      </c>
      <c r="BG572" t="s">
        <v>74</v>
      </c>
      <c r="BH572" t="s">
        <v>74</v>
      </c>
      <c r="BI572">
        <v>8</v>
      </c>
      <c r="BJ572" t="s">
        <v>7358</v>
      </c>
      <c r="BK572" t="s">
        <v>100</v>
      </c>
      <c r="BL572" t="s">
        <v>7358</v>
      </c>
      <c r="BM572" t="s">
        <v>10438</v>
      </c>
      <c r="BN572">
        <v>37573638</v>
      </c>
      <c r="BO572" t="s">
        <v>74</v>
      </c>
      <c r="BP572" t="s">
        <v>74</v>
      </c>
      <c r="BQ572" t="s">
        <v>74</v>
      </c>
      <c r="BR572" t="s">
        <v>104</v>
      </c>
      <c r="BS572" t="s">
        <v>10439</v>
      </c>
      <c r="BT572" t="str">
        <f>HYPERLINK("https%3A%2F%2Fwww.webofscience.com%2Fwos%2Fwoscc%2Ffull-record%2FWOS:001057500400001","View Full Record in Web of Science")</f>
        <v>View Full Record in Web of Science</v>
      </c>
    </row>
    <row r="573" spans="1:72" x14ac:dyDescent="0.15">
      <c r="A573" t="s">
        <v>72</v>
      </c>
      <c r="B573" t="s">
        <v>10440</v>
      </c>
      <c r="C573" t="s">
        <v>74</v>
      </c>
      <c r="D573" t="s">
        <v>74</v>
      </c>
      <c r="E573" t="s">
        <v>74</v>
      </c>
      <c r="F573" t="s">
        <v>10441</v>
      </c>
      <c r="G573" t="s">
        <v>74</v>
      </c>
      <c r="H573" t="s">
        <v>74</v>
      </c>
      <c r="I573" t="s">
        <v>10442</v>
      </c>
      <c r="J573" t="s">
        <v>2987</v>
      </c>
      <c r="K573" t="s">
        <v>74</v>
      </c>
      <c r="L573" t="s">
        <v>74</v>
      </c>
      <c r="M573" t="s">
        <v>78</v>
      </c>
      <c r="N573" t="s">
        <v>79</v>
      </c>
      <c r="O573" t="s">
        <v>74</v>
      </c>
      <c r="P573" t="s">
        <v>74</v>
      </c>
      <c r="Q573" t="s">
        <v>74</v>
      </c>
      <c r="R573" t="s">
        <v>74</v>
      </c>
      <c r="S573" t="s">
        <v>74</v>
      </c>
      <c r="T573" t="s">
        <v>10443</v>
      </c>
      <c r="U573" t="s">
        <v>10444</v>
      </c>
      <c r="V573" t="s">
        <v>10445</v>
      </c>
      <c r="W573" t="s">
        <v>10446</v>
      </c>
      <c r="X573" t="s">
        <v>10447</v>
      </c>
      <c r="Y573" t="s">
        <v>10448</v>
      </c>
      <c r="Z573" t="s">
        <v>10449</v>
      </c>
      <c r="AA573" t="s">
        <v>74</v>
      </c>
      <c r="AB573" t="s">
        <v>10450</v>
      </c>
      <c r="AC573" t="s">
        <v>10451</v>
      </c>
      <c r="AD573" t="s">
        <v>10452</v>
      </c>
      <c r="AE573" t="s">
        <v>10453</v>
      </c>
      <c r="AF573" t="s">
        <v>74</v>
      </c>
      <c r="AG573">
        <v>93</v>
      </c>
      <c r="AH573">
        <v>0</v>
      </c>
      <c r="AI573">
        <v>0</v>
      </c>
      <c r="AJ573">
        <v>0</v>
      </c>
      <c r="AK573">
        <v>0</v>
      </c>
      <c r="AL573" t="s">
        <v>90</v>
      </c>
      <c r="AM573" t="s">
        <v>91</v>
      </c>
      <c r="AN573" t="s">
        <v>92</v>
      </c>
      <c r="AO573" t="s">
        <v>2995</v>
      </c>
      <c r="AP573" t="s">
        <v>74</v>
      </c>
      <c r="AQ573" t="s">
        <v>74</v>
      </c>
      <c r="AR573" t="s">
        <v>2996</v>
      </c>
      <c r="AS573" t="s">
        <v>2997</v>
      </c>
      <c r="AT573" t="s">
        <v>6618</v>
      </c>
      <c r="AU573">
        <v>2023</v>
      </c>
      <c r="AV573">
        <v>10</v>
      </c>
      <c r="AW573" t="s">
        <v>74</v>
      </c>
      <c r="AX573" t="s">
        <v>74</v>
      </c>
      <c r="AY573" t="s">
        <v>74</v>
      </c>
      <c r="AZ573" t="s">
        <v>74</v>
      </c>
      <c r="BA573" t="s">
        <v>74</v>
      </c>
      <c r="BB573">
        <v>958</v>
      </c>
      <c r="BC573">
        <v>972</v>
      </c>
      <c r="BD573" t="s">
        <v>74</v>
      </c>
      <c r="BE573" t="s">
        <v>10454</v>
      </c>
      <c r="BF573" t="str">
        <f>HYPERLINK("http://dx.doi.org/10.1016/j.egyr.2023.07.049","http://dx.doi.org/10.1016/j.egyr.2023.07.049")</f>
        <v>http://dx.doi.org/10.1016/j.egyr.2023.07.049</v>
      </c>
      <c r="BG573" t="s">
        <v>74</v>
      </c>
      <c r="BH573" t="s">
        <v>74</v>
      </c>
      <c r="BI573">
        <v>15</v>
      </c>
      <c r="BJ573" t="s">
        <v>2999</v>
      </c>
      <c r="BK573" t="s">
        <v>100</v>
      </c>
      <c r="BL573" t="s">
        <v>2999</v>
      </c>
      <c r="BM573" t="s">
        <v>10455</v>
      </c>
      <c r="BN573" t="s">
        <v>74</v>
      </c>
      <c r="BO573" t="s">
        <v>295</v>
      </c>
      <c r="BP573" t="s">
        <v>74</v>
      </c>
      <c r="BQ573" t="s">
        <v>74</v>
      </c>
      <c r="BR573" t="s">
        <v>104</v>
      </c>
      <c r="BS573" t="s">
        <v>10456</v>
      </c>
      <c r="BT573" t="str">
        <f>HYPERLINK("https%3A%2F%2Fwww.webofscience.com%2Fwos%2Fwoscc%2Ffull-record%2FWOS:001051671200001","View Full Record in Web of Science")</f>
        <v>View Full Record in Web of Science</v>
      </c>
    </row>
    <row r="574" spans="1:72" x14ac:dyDescent="0.15">
      <c r="A574" t="s">
        <v>72</v>
      </c>
      <c r="B574" t="s">
        <v>10457</v>
      </c>
      <c r="C574" t="s">
        <v>74</v>
      </c>
      <c r="D574" t="s">
        <v>74</v>
      </c>
      <c r="E574" t="s">
        <v>74</v>
      </c>
      <c r="F574" t="s">
        <v>10458</v>
      </c>
      <c r="G574" t="s">
        <v>74</v>
      </c>
      <c r="H574" t="s">
        <v>74</v>
      </c>
      <c r="I574" t="s">
        <v>10459</v>
      </c>
      <c r="J574" t="s">
        <v>3740</v>
      </c>
      <c r="K574" t="s">
        <v>74</v>
      </c>
      <c r="L574" t="s">
        <v>74</v>
      </c>
      <c r="M574" t="s">
        <v>78</v>
      </c>
      <c r="N574" t="s">
        <v>79</v>
      </c>
      <c r="O574" t="s">
        <v>74</v>
      </c>
      <c r="P574" t="s">
        <v>74</v>
      </c>
      <c r="Q574" t="s">
        <v>74</v>
      </c>
      <c r="R574" t="s">
        <v>74</v>
      </c>
      <c r="S574" t="s">
        <v>74</v>
      </c>
      <c r="T574" t="s">
        <v>10460</v>
      </c>
      <c r="U574" t="s">
        <v>10461</v>
      </c>
      <c r="V574" t="s">
        <v>10462</v>
      </c>
      <c r="W574" t="s">
        <v>10463</v>
      </c>
      <c r="X574" t="s">
        <v>10464</v>
      </c>
      <c r="Y574" t="s">
        <v>10465</v>
      </c>
      <c r="Z574" t="s">
        <v>10466</v>
      </c>
      <c r="AA574" t="s">
        <v>74</v>
      </c>
      <c r="AB574" t="s">
        <v>74</v>
      </c>
      <c r="AC574" t="s">
        <v>10467</v>
      </c>
      <c r="AD574" t="s">
        <v>10468</v>
      </c>
      <c r="AE574" t="s">
        <v>10469</v>
      </c>
      <c r="AF574" t="s">
        <v>74</v>
      </c>
      <c r="AG574">
        <v>56</v>
      </c>
      <c r="AH574">
        <v>0</v>
      </c>
      <c r="AI574">
        <v>0</v>
      </c>
      <c r="AJ574">
        <v>3</v>
      </c>
      <c r="AK574">
        <v>3</v>
      </c>
      <c r="AL574" t="s">
        <v>90</v>
      </c>
      <c r="AM574" t="s">
        <v>91</v>
      </c>
      <c r="AN574" t="s">
        <v>92</v>
      </c>
      <c r="AO574" t="s">
        <v>3751</v>
      </c>
      <c r="AP574" t="s">
        <v>3752</v>
      </c>
      <c r="AQ574" t="s">
        <v>74</v>
      </c>
      <c r="AR574" t="s">
        <v>3753</v>
      </c>
      <c r="AS574" t="s">
        <v>3754</v>
      </c>
      <c r="AT574" t="s">
        <v>6659</v>
      </c>
      <c r="AU574">
        <v>2023</v>
      </c>
      <c r="AV574">
        <v>251</v>
      </c>
      <c r="AW574" t="s">
        <v>74</v>
      </c>
      <c r="AX574" t="s">
        <v>74</v>
      </c>
      <c r="AY574" t="s">
        <v>74</v>
      </c>
      <c r="AZ574" t="s">
        <v>74</v>
      </c>
      <c r="BA574" t="s">
        <v>74</v>
      </c>
      <c r="BB574" t="s">
        <v>74</v>
      </c>
      <c r="BC574" t="s">
        <v>74</v>
      </c>
      <c r="BD574">
        <v>126293</v>
      </c>
      <c r="BE574" t="s">
        <v>10470</v>
      </c>
      <c r="BF574" t="str">
        <f>HYPERLINK("http://dx.doi.org/10.1016/j.ijbiomac.2023.126293","http://dx.doi.org/10.1016/j.ijbiomac.2023.126293")</f>
        <v>http://dx.doi.org/10.1016/j.ijbiomac.2023.126293</v>
      </c>
      <c r="BG574" t="s">
        <v>74</v>
      </c>
      <c r="BH574" t="s">
        <v>74</v>
      </c>
      <c r="BI574">
        <v>13</v>
      </c>
      <c r="BJ574" t="s">
        <v>3756</v>
      </c>
      <c r="BK574" t="s">
        <v>100</v>
      </c>
      <c r="BL574" t="s">
        <v>3757</v>
      </c>
      <c r="BM574" t="s">
        <v>10471</v>
      </c>
      <c r="BN574">
        <v>37591423</v>
      </c>
      <c r="BO574" t="s">
        <v>74</v>
      </c>
      <c r="BP574" t="s">
        <v>74</v>
      </c>
      <c r="BQ574" t="s">
        <v>74</v>
      </c>
      <c r="BR574" t="s">
        <v>104</v>
      </c>
      <c r="BS574" t="s">
        <v>10472</v>
      </c>
      <c r="BT574" t="str">
        <f>HYPERLINK("https%3A%2F%2Fwww.webofscience.com%2Fwos%2Fwoscc%2Ffull-record%2FWOS:001059306000001","View Full Record in Web of Science")</f>
        <v>View Full Record in Web of Science</v>
      </c>
    </row>
    <row r="575" spans="1:72" x14ac:dyDescent="0.15">
      <c r="A575" t="s">
        <v>72</v>
      </c>
      <c r="B575" t="s">
        <v>10473</v>
      </c>
      <c r="C575" t="s">
        <v>74</v>
      </c>
      <c r="D575" t="s">
        <v>74</v>
      </c>
      <c r="E575" t="s">
        <v>74</v>
      </c>
      <c r="F575" t="s">
        <v>10474</v>
      </c>
      <c r="G575" t="s">
        <v>74</v>
      </c>
      <c r="H575" t="s">
        <v>74</v>
      </c>
      <c r="I575" t="s">
        <v>10475</v>
      </c>
      <c r="J575" t="s">
        <v>5514</v>
      </c>
      <c r="K575" t="s">
        <v>74</v>
      </c>
      <c r="L575" t="s">
        <v>74</v>
      </c>
      <c r="M575" t="s">
        <v>78</v>
      </c>
      <c r="N575" t="s">
        <v>79</v>
      </c>
      <c r="O575" t="s">
        <v>74</v>
      </c>
      <c r="P575" t="s">
        <v>74</v>
      </c>
      <c r="Q575" t="s">
        <v>74</v>
      </c>
      <c r="R575" t="s">
        <v>74</v>
      </c>
      <c r="S575" t="s">
        <v>74</v>
      </c>
      <c r="T575" t="s">
        <v>10476</v>
      </c>
      <c r="U575" t="s">
        <v>10477</v>
      </c>
      <c r="V575" t="s">
        <v>10478</v>
      </c>
      <c r="W575" t="s">
        <v>10479</v>
      </c>
      <c r="X575" t="s">
        <v>10480</v>
      </c>
      <c r="Y575" t="s">
        <v>10481</v>
      </c>
      <c r="Z575" t="s">
        <v>10482</v>
      </c>
      <c r="AA575" t="s">
        <v>74</v>
      </c>
      <c r="AB575" t="s">
        <v>74</v>
      </c>
      <c r="AC575" t="s">
        <v>10483</v>
      </c>
      <c r="AD575" t="s">
        <v>10484</v>
      </c>
      <c r="AE575" t="s">
        <v>10485</v>
      </c>
      <c r="AF575" t="s">
        <v>74</v>
      </c>
      <c r="AG575">
        <v>80</v>
      </c>
      <c r="AH575">
        <v>0</v>
      </c>
      <c r="AI575">
        <v>0</v>
      </c>
      <c r="AJ575">
        <v>0</v>
      </c>
      <c r="AK575">
        <v>0</v>
      </c>
      <c r="AL575" t="s">
        <v>90</v>
      </c>
      <c r="AM575" t="s">
        <v>91</v>
      </c>
      <c r="AN575" t="s">
        <v>92</v>
      </c>
      <c r="AO575" t="s">
        <v>5524</v>
      </c>
      <c r="AP575" t="s">
        <v>5525</v>
      </c>
      <c r="AQ575" t="s">
        <v>74</v>
      </c>
      <c r="AR575" t="s">
        <v>5514</v>
      </c>
      <c r="AS575" t="s">
        <v>5526</v>
      </c>
      <c r="AT575" t="s">
        <v>6659</v>
      </c>
      <c r="AU575">
        <v>2023</v>
      </c>
      <c r="AV575" t="s">
        <v>10486</v>
      </c>
      <c r="AW575" t="s">
        <v>74</v>
      </c>
      <c r="AX575" t="s">
        <v>74</v>
      </c>
      <c r="AY575" t="s">
        <v>74</v>
      </c>
      <c r="AZ575" t="s">
        <v>74</v>
      </c>
      <c r="BA575" t="s">
        <v>74</v>
      </c>
      <c r="BB575" t="s">
        <v>74</v>
      </c>
      <c r="BC575" t="s">
        <v>74</v>
      </c>
      <c r="BD575">
        <v>107315</v>
      </c>
      <c r="BE575" t="s">
        <v>10487</v>
      </c>
      <c r="BF575" t="str">
        <f>HYPERLINK("http://dx.doi.org/10.1016/j.lithos.2023.107315","http://dx.doi.org/10.1016/j.lithos.2023.107315")</f>
        <v>http://dx.doi.org/10.1016/j.lithos.2023.107315</v>
      </c>
      <c r="BG575" t="s">
        <v>74</v>
      </c>
      <c r="BH575" t="s">
        <v>74</v>
      </c>
      <c r="BI575">
        <v>14</v>
      </c>
      <c r="BJ575" t="s">
        <v>5528</v>
      </c>
      <c r="BK575" t="s">
        <v>100</v>
      </c>
      <c r="BL575" t="s">
        <v>5528</v>
      </c>
      <c r="BM575" t="s">
        <v>10488</v>
      </c>
      <c r="BN575" t="s">
        <v>74</v>
      </c>
      <c r="BO575" t="s">
        <v>74</v>
      </c>
      <c r="BP575" t="s">
        <v>74</v>
      </c>
      <c r="BQ575" t="s">
        <v>74</v>
      </c>
      <c r="BR575" t="s">
        <v>104</v>
      </c>
      <c r="BS575" t="s">
        <v>10489</v>
      </c>
      <c r="BT575" t="str">
        <f>HYPERLINK("https%3A%2F%2Fwww.webofscience.com%2Fwos%2Fwoscc%2Ffull-record%2FWOS:001061261300001","View Full Record in Web of Science")</f>
        <v>View Full Record in Web of Science</v>
      </c>
    </row>
    <row r="576" spans="1:72" x14ac:dyDescent="0.15">
      <c r="A576" t="s">
        <v>72</v>
      </c>
      <c r="B576" t="s">
        <v>10490</v>
      </c>
      <c r="C576" t="s">
        <v>74</v>
      </c>
      <c r="D576" t="s">
        <v>74</v>
      </c>
      <c r="E576" t="s">
        <v>74</v>
      </c>
      <c r="F576" t="s">
        <v>10491</v>
      </c>
      <c r="G576" t="s">
        <v>74</v>
      </c>
      <c r="H576" t="s">
        <v>74</v>
      </c>
      <c r="I576" t="s">
        <v>10492</v>
      </c>
      <c r="J576" t="s">
        <v>10493</v>
      </c>
      <c r="K576" t="s">
        <v>74</v>
      </c>
      <c r="L576" t="s">
        <v>74</v>
      </c>
      <c r="M576" t="s">
        <v>78</v>
      </c>
      <c r="N576" t="s">
        <v>79</v>
      </c>
      <c r="O576" t="s">
        <v>74</v>
      </c>
      <c r="P576" t="s">
        <v>74</v>
      </c>
      <c r="Q576" t="s">
        <v>74</v>
      </c>
      <c r="R576" t="s">
        <v>74</v>
      </c>
      <c r="S576" t="s">
        <v>74</v>
      </c>
      <c r="T576" t="s">
        <v>10494</v>
      </c>
      <c r="U576" t="s">
        <v>10495</v>
      </c>
      <c r="V576" t="s">
        <v>10496</v>
      </c>
      <c r="W576" t="s">
        <v>10497</v>
      </c>
      <c r="X576" t="s">
        <v>10498</v>
      </c>
      <c r="Y576" t="s">
        <v>10499</v>
      </c>
      <c r="Z576" t="s">
        <v>10500</v>
      </c>
      <c r="AA576" t="s">
        <v>74</v>
      </c>
      <c r="AB576" t="s">
        <v>10501</v>
      </c>
      <c r="AC576" t="s">
        <v>10502</v>
      </c>
      <c r="AD576" t="s">
        <v>10503</v>
      </c>
      <c r="AE576" t="s">
        <v>10504</v>
      </c>
      <c r="AF576" t="s">
        <v>74</v>
      </c>
      <c r="AG576">
        <v>31</v>
      </c>
      <c r="AH576">
        <v>0</v>
      </c>
      <c r="AI576">
        <v>0</v>
      </c>
      <c r="AJ576">
        <v>5</v>
      </c>
      <c r="AK576">
        <v>5</v>
      </c>
      <c r="AL576" t="s">
        <v>147</v>
      </c>
      <c r="AM576" t="s">
        <v>148</v>
      </c>
      <c r="AN576" t="s">
        <v>149</v>
      </c>
      <c r="AO576" t="s">
        <v>10505</v>
      </c>
      <c r="AP576" t="s">
        <v>10506</v>
      </c>
      <c r="AQ576" t="s">
        <v>74</v>
      </c>
      <c r="AR576" t="s">
        <v>10493</v>
      </c>
      <c r="AS576" t="s">
        <v>10507</v>
      </c>
      <c r="AT576" t="s">
        <v>6618</v>
      </c>
      <c r="AU576">
        <v>2023</v>
      </c>
      <c r="AV576">
        <v>211</v>
      </c>
      <c r="AW576" t="s">
        <v>74</v>
      </c>
      <c r="AX576" t="s">
        <v>74</v>
      </c>
      <c r="AY576" t="s">
        <v>74</v>
      </c>
      <c r="AZ576" t="s">
        <v>74</v>
      </c>
      <c r="BA576" t="s">
        <v>74</v>
      </c>
      <c r="BB576">
        <v>49</v>
      </c>
      <c r="BC576">
        <v>55</v>
      </c>
      <c r="BD576" t="s">
        <v>74</v>
      </c>
      <c r="BE576" t="s">
        <v>10508</v>
      </c>
      <c r="BF576" t="str">
        <f>HYPERLINK("http://dx.doi.org/10.1016/j.theriogenology.2023.08.004","http://dx.doi.org/10.1016/j.theriogenology.2023.08.004")</f>
        <v>http://dx.doi.org/10.1016/j.theriogenology.2023.08.004</v>
      </c>
      <c r="BG576" t="s">
        <v>74</v>
      </c>
      <c r="BH576" t="s">
        <v>74</v>
      </c>
      <c r="BI576">
        <v>7</v>
      </c>
      <c r="BJ576" t="s">
        <v>10509</v>
      </c>
      <c r="BK576" t="s">
        <v>100</v>
      </c>
      <c r="BL576" t="s">
        <v>10509</v>
      </c>
      <c r="BM576" t="s">
        <v>10510</v>
      </c>
      <c r="BN576">
        <v>37572600</v>
      </c>
      <c r="BO576" t="s">
        <v>74</v>
      </c>
      <c r="BP576" t="s">
        <v>74</v>
      </c>
      <c r="BQ576" t="s">
        <v>74</v>
      </c>
      <c r="BR576" t="s">
        <v>104</v>
      </c>
      <c r="BS576" t="s">
        <v>10511</v>
      </c>
      <c r="BT576" t="str">
        <f>HYPERLINK("https%3A%2F%2Fwww.webofscience.com%2Fwos%2Fwoscc%2Ffull-record%2FWOS:001058081000001","View Full Record in Web of Science")</f>
        <v>View Full Record in Web of Science</v>
      </c>
    </row>
    <row r="577" spans="1:72" x14ac:dyDescent="0.15">
      <c r="A577" t="s">
        <v>72</v>
      </c>
      <c r="B577" t="s">
        <v>10512</v>
      </c>
      <c r="C577" t="s">
        <v>74</v>
      </c>
      <c r="D577" t="s">
        <v>74</v>
      </c>
      <c r="E577" t="s">
        <v>74</v>
      </c>
      <c r="F577" t="s">
        <v>10513</v>
      </c>
      <c r="G577" t="s">
        <v>74</v>
      </c>
      <c r="H577" t="s">
        <v>74</v>
      </c>
      <c r="I577" t="s">
        <v>10514</v>
      </c>
      <c r="J577" t="s">
        <v>1950</v>
      </c>
      <c r="K577" t="s">
        <v>74</v>
      </c>
      <c r="L577" t="s">
        <v>74</v>
      </c>
      <c r="M577" t="s">
        <v>78</v>
      </c>
      <c r="N577" t="s">
        <v>79</v>
      </c>
      <c r="O577" t="s">
        <v>74</v>
      </c>
      <c r="P577" t="s">
        <v>74</v>
      </c>
      <c r="Q577" t="s">
        <v>74</v>
      </c>
      <c r="R577" t="s">
        <v>74</v>
      </c>
      <c r="S577" t="s">
        <v>74</v>
      </c>
      <c r="T577" t="s">
        <v>10515</v>
      </c>
      <c r="U577" t="s">
        <v>10516</v>
      </c>
      <c r="V577" t="s">
        <v>10517</v>
      </c>
      <c r="W577" t="s">
        <v>10518</v>
      </c>
      <c r="X577" t="s">
        <v>3659</v>
      </c>
      <c r="Y577" t="s">
        <v>10519</v>
      </c>
      <c r="Z577" t="s">
        <v>10520</v>
      </c>
      <c r="AA577" t="s">
        <v>74</v>
      </c>
      <c r="AB577" t="s">
        <v>74</v>
      </c>
      <c r="AC577" t="s">
        <v>10521</v>
      </c>
      <c r="AD577" t="s">
        <v>10522</v>
      </c>
      <c r="AE577" t="s">
        <v>10523</v>
      </c>
      <c r="AF577" t="s">
        <v>74</v>
      </c>
      <c r="AG577">
        <v>46</v>
      </c>
      <c r="AH577">
        <v>0</v>
      </c>
      <c r="AI577">
        <v>0</v>
      </c>
      <c r="AJ577">
        <v>5</v>
      </c>
      <c r="AK577">
        <v>5</v>
      </c>
      <c r="AL577" t="s">
        <v>173</v>
      </c>
      <c r="AM577" t="s">
        <v>121</v>
      </c>
      <c r="AN577" t="s">
        <v>174</v>
      </c>
      <c r="AO577" t="s">
        <v>1963</v>
      </c>
      <c r="AP577" t="s">
        <v>1964</v>
      </c>
      <c r="AQ577" t="s">
        <v>74</v>
      </c>
      <c r="AR577" t="s">
        <v>1950</v>
      </c>
      <c r="AS577" t="s">
        <v>1965</v>
      </c>
      <c r="AT577" t="s">
        <v>6659</v>
      </c>
      <c r="AU577">
        <v>2023</v>
      </c>
      <c r="AV577">
        <v>282</v>
      </c>
      <c r="AW577" t="s">
        <v>74</v>
      </c>
      <c r="AX577" t="s">
        <v>74</v>
      </c>
      <c r="AY577" t="s">
        <v>74</v>
      </c>
      <c r="AZ577" t="s">
        <v>74</v>
      </c>
      <c r="BA577" t="s">
        <v>74</v>
      </c>
      <c r="BB577" t="s">
        <v>74</v>
      </c>
      <c r="BC577" t="s">
        <v>74</v>
      </c>
      <c r="BD577">
        <v>128334</v>
      </c>
      <c r="BE577" t="s">
        <v>10524</v>
      </c>
      <c r="BF577" t="str">
        <f>HYPERLINK("http://dx.doi.org/10.1016/j.energy.2023.128334","http://dx.doi.org/10.1016/j.energy.2023.128334")</f>
        <v>http://dx.doi.org/10.1016/j.energy.2023.128334</v>
      </c>
      <c r="BG577" t="s">
        <v>74</v>
      </c>
      <c r="BH577" t="s">
        <v>74</v>
      </c>
      <c r="BI577">
        <v>11</v>
      </c>
      <c r="BJ577" t="s">
        <v>1967</v>
      </c>
      <c r="BK577" t="s">
        <v>100</v>
      </c>
      <c r="BL577" t="s">
        <v>1967</v>
      </c>
      <c r="BM577" t="s">
        <v>10525</v>
      </c>
      <c r="BN577" t="s">
        <v>74</v>
      </c>
      <c r="BO577" t="s">
        <v>74</v>
      </c>
      <c r="BP577" t="s">
        <v>74</v>
      </c>
      <c r="BQ577" t="s">
        <v>74</v>
      </c>
      <c r="BR577" t="s">
        <v>104</v>
      </c>
      <c r="BS577" t="s">
        <v>10526</v>
      </c>
      <c r="BT577" t="str">
        <f>HYPERLINK("https%3A%2F%2Fwww.webofscience.com%2Fwos%2Fwoscc%2Ffull-record%2FWOS:001047119200001","View Full Record in Web of Science")</f>
        <v>View Full Record in Web of Science</v>
      </c>
    </row>
    <row r="578" spans="1:72" x14ac:dyDescent="0.15">
      <c r="A578" t="s">
        <v>72</v>
      </c>
      <c r="B578" t="s">
        <v>10527</v>
      </c>
      <c r="C578" t="s">
        <v>74</v>
      </c>
      <c r="D578" t="s">
        <v>74</v>
      </c>
      <c r="E578" t="s">
        <v>74</v>
      </c>
      <c r="F578" t="s">
        <v>10528</v>
      </c>
      <c r="G578" t="s">
        <v>74</v>
      </c>
      <c r="H578" t="s">
        <v>74</v>
      </c>
      <c r="I578" t="s">
        <v>10529</v>
      </c>
      <c r="J578" t="s">
        <v>10530</v>
      </c>
      <c r="K578" t="s">
        <v>74</v>
      </c>
      <c r="L578" t="s">
        <v>74</v>
      </c>
      <c r="M578" t="s">
        <v>78</v>
      </c>
      <c r="N578" t="s">
        <v>79</v>
      </c>
      <c r="O578" t="s">
        <v>74</v>
      </c>
      <c r="P578" t="s">
        <v>74</v>
      </c>
      <c r="Q578" t="s">
        <v>74</v>
      </c>
      <c r="R578" t="s">
        <v>74</v>
      </c>
      <c r="S578" t="s">
        <v>74</v>
      </c>
      <c r="T578" t="s">
        <v>10531</v>
      </c>
      <c r="U578" t="s">
        <v>10532</v>
      </c>
      <c r="V578" t="s">
        <v>10533</v>
      </c>
      <c r="W578" t="s">
        <v>10534</v>
      </c>
      <c r="X578" t="s">
        <v>10535</v>
      </c>
      <c r="Y578" t="s">
        <v>10536</v>
      </c>
      <c r="Z578" t="s">
        <v>10537</v>
      </c>
      <c r="AA578" t="s">
        <v>74</v>
      </c>
      <c r="AB578" t="s">
        <v>74</v>
      </c>
      <c r="AC578" t="s">
        <v>10538</v>
      </c>
      <c r="AD578" t="s">
        <v>10539</v>
      </c>
      <c r="AE578" t="s">
        <v>10540</v>
      </c>
      <c r="AF578" t="s">
        <v>74</v>
      </c>
      <c r="AG578">
        <v>44</v>
      </c>
      <c r="AH578">
        <v>0</v>
      </c>
      <c r="AI578">
        <v>0</v>
      </c>
      <c r="AJ578">
        <v>2</v>
      </c>
      <c r="AK578">
        <v>2</v>
      </c>
      <c r="AL578" t="s">
        <v>173</v>
      </c>
      <c r="AM578" t="s">
        <v>121</v>
      </c>
      <c r="AN578" t="s">
        <v>174</v>
      </c>
      <c r="AO578" t="s">
        <v>10541</v>
      </c>
      <c r="AP578" t="s">
        <v>10542</v>
      </c>
      <c r="AQ578" t="s">
        <v>74</v>
      </c>
      <c r="AR578" t="s">
        <v>10543</v>
      </c>
      <c r="AS578" t="s">
        <v>10544</v>
      </c>
      <c r="AT578" t="s">
        <v>6618</v>
      </c>
      <c r="AU578">
        <v>2023</v>
      </c>
      <c r="AV578">
        <v>156</v>
      </c>
      <c r="AW578" t="s">
        <v>74</v>
      </c>
      <c r="AX578" t="s">
        <v>74</v>
      </c>
      <c r="AY578" t="s">
        <v>74</v>
      </c>
      <c r="AZ578" t="s">
        <v>74</v>
      </c>
      <c r="BA578" t="s">
        <v>74</v>
      </c>
      <c r="BB578" t="s">
        <v>74</v>
      </c>
      <c r="BC578" t="s">
        <v>74</v>
      </c>
      <c r="BD578">
        <v>104508</v>
      </c>
      <c r="BE578" t="s">
        <v>10545</v>
      </c>
      <c r="BF578" t="str">
        <f>HYPERLINK("http://dx.doi.org/10.1016/j.ijnonlinmec.2023.104508","http://dx.doi.org/10.1016/j.ijnonlinmec.2023.104508")</f>
        <v>http://dx.doi.org/10.1016/j.ijnonlinmec.2023.104508</v>
      </c>
      <c r="BG578" t="s">
        <v>74</v>
      </c>
      <c r="BH578" t="s">
        <v>74</v>
      </c>
      <c r="BI578">
        <v>16</v>
      </c>
      <c r="BJ578" t="s">
        <v>10546</v>
      </c>
      <c r="BK578" t="s">
        <v>100</v>
      </c>
      <c r="BL578" t="s">
        <v>10546</v>
      </c>
      <c r="BM578" t="s">
        <v>10547</v>
      </c>
      <c r="BN578" t="s">
        <v>74</v>
      </c>
      <c r="BO578" t="s">
        <v>74</v>
      </c>
      <c r="BP578" t="s">
        <v>74</v>
      </c>
      <c r="BQ578" t="s">
        <v>74</v>
      </c>
      <c r="BR578" t="s">
        <v>104</v>
      </c>
      <c r="BS578" t="s">
        <v>10548</v>
      </c>
      <c r="BT578" t="str">
        <f>HYPERLINK("https%3A%2F%2Fwww.webofscience.com%2Fwos%2Fwoscc%2Ffull-record%2FWOS:001052397400001","View Full Record in Web of Science")</f>
        <v>View Full Record in Web of Science</v>
      </c>
    </row>
    <row r="579" spans="1:72" x14ac:dyDescent="0.15">
      <c r="A579" t="s">
        <v>72</v>
      </c>
      <c r="B579" t="s">
        <v>10549</v>
      </c>
      <c r="C579" t="s">
        <v>74</v>
      </c>
      <c r="D579" t="s">
        <v>74</v>
      </c>
      <c r="E579" t="s">
        <v>74</v>
      </c>
      <c r="F579" t="s">
        <v>10550</v>
      </c>
      <c r="G579" t="s">
        <v>74</v>
      </c>
      <c r="H579" t="s">
        <v>74</v>
      </c>
      <c r="I579" t="s">
        <v>10551</v>
      </c>
      <c r="J579" t="s">
        <v>5534</v>
      </c>
      <c r="K579" t="s">
        <v>74</v>
      </c>
      <c r="L579" t="s">
        <v>74</v>
      </c>
      <c r="M579" t="s">
        <v>78</v>
      </c>
      <c r="N579" t="s">
        <v>79</v>
      </c>
      <c r="O579" t="s">
        <v>74</v>
      </c>
      <c r="P579" t="s">
        <v>74</v>
      </c>
      <c r="Q579" t="s">
        <v>74</v>
      </c>
      <c r="R579" t="s">
        <v>74</v>
      </c>
      <c r="S579" t="s">
        <v>74</v>
      </c>
      <c r="T579" t="s">
        <v>10552</v>
      </c>
      <c r="U579" t="s">
        <v>10553</v>
      </c>
      <c r="V579" t="s">
        <v>10554</v>
      </c>
      <c r="W579" t="s">
        <v>10555</v>
      </c>
      <c r="X579" t="s">
        <v>10556</v>
      </c>
      <c r="Y579" t="s">
        <v>10557</v>
      </c>
      <c r="Z579" t="s">
        <v>10558</v>
      </c>
      <c r="AA579" t="s">
        <v>10559</v>
      </c>
      <c r="AB579" t="s">
        <v>10560</v>
      </c>
      <c r="AC579" t="s">
        <v>10561</v>
      </c>
      <c r="AD579" t="s">
        <v>10562</v>
      </c>
      <c r="AE579" t="s">
        <v>10563</v>
      </c>
      <c r="AF579" t="s">
        <v>74</v>
      </c>
      <c r="AG579">
        <v>48</v>
      </c>
      <c r="AH579">
        <v>0</v>
      </c>
      <c r="AI579">
        <v>0</v>
      </c>
      <c r="AJ579">
        <v>5</v>
      </c>
      <c r="AK579">
        <v>5</v>
      </c>
      <c r="AL579" t="s">
        <v>120</v>
      </c>
      <c r="AM579" t="s">
        <v>121</v>
      </c>
      <c r="AN579" t="s">
        <v>122</v>
      </c>
      <c r="AO579" t="s">
        <v>5542</v>
      </c>
      <c r="AP579" t="s">
        <v>5543</v>
      </c>
      <c r="AQ579" t="s">
        <v>74</v>
      </c>
      <c r="AR579" t="s">
        <v>5544</v>
      </c>
      <c r="AS579" t="s">
        <v>5545</v>
      </c>
      <c r="AT579" t="s">
        <v>6659</v>
      </c>
      <c r="AU579">
        <v>2023</v>
      </c>
      <c r="AV579">
        <v>294</v>
      </c>
      <c r="AW579" t="s">
        <v>74</v>
      </c>
      <c r="AX579" t="s">
        <v>74</v>
      </c>
      <c r="AY579" t="s">
        <v>74</v>
      </c>
      <c r="AZ579" t="s">
        <v>74</v>
      </c>
      <c r="BA579" t="s">
        <v>74</v>
      </c>
      <c r="BB579" t="s">
        <v>74</v>
      </c>
      <c r="BC579" t="s">
        <v>74</v>
      </c>
      <c r="BD579">
        <v>116741</v>
      </c>
      <c r="BE579" t="s">
        <v>10564</v>
      </c>
      <c r="BF579" t="str">
        <f>HYPERLINK("http://dx.doi.org/10.1016/j.engstruct.2023.116741","http://dx.doi.org/10.1016/j.engstruct.2023.116741")</f>
        <v>http://dx.doi.org/10.1016/j.engstruct.2023.116741</v>
      </c>
      <c r="BG579" t="s">
        <v>74</v>
      </c>
      <c r="BH579" t="s">
        <v>74</v>
      </c>
      <c r="BI579">
        <v>17</v>
      </c>
      <c r="BJ579" t="s">
        <v>5547</v>
      </c>
      <c r="BK579" t="s">
        <v>100</v>
      </c>
      <c r="BL579" t="s">
        <v>873</v>
      </c>
      <c r="BM579" t="s">
        <v>10565</v>
      </c>
      <c r="BN579" t="s">
        <v>74</v>
      </c>
      <c r="BO579" t="s">
        <v>74</v>
      </c>
      <c r="BP579" t="s">
        <v>74</v>
      </c>
      <c r="BQ579" t="s">
        <v>74</v>
      </c>
      <c r="BR579" t="s">
        <v>104</v>
      </c>
      <c r="BS579" t="s">
        <v>10566</v>
      </c>
      <c r="BT579" t="str">
        <f>HYPERLINK("https%3A%2F%2Fwww.webofscience.com%2Fwos%2Fwoscc%2Ffull-record%2FWOS:001055244900001","View Full Record in Web of Science")</f>
        <v>View Full Record in Web of Science</v>
      </c>
    </row>
    <row r="580" spans="1:72" x14ac:dyDescent="0.15">
      <c r="A580" t="s">
        <v>72</v>
      </c>
      <c r="B580" t="s">
        <v>10567</v>
      </c>
      <c r="C580" t="s">
        <v>74</v>
      </c>
      <c r="D580" t="s">
        <v>74</v>
      </c>
      <c r="E580" t="s">
        <v>74</v>
      </c>
      <c r="F580" t="s">
        <v>10568</v>
      </c>
      <c r="G580" t="s">
        <v>74</v>
      </c>
      <c r="H580" t="s">
        <v>74</v>
      </c>
      <c r="I580" t="s">
        <v>10569</v>
      </c>
      <c r="J580" t="s">
        <v>6645</v>
      </c>
      <c r="K580" t="s">
        <v>74</v>
      </c>
      <c r="L580" t="s">
        <v>74</v>
      </c>
      <c r="M580" t="s">
        <v>78</v>
      </c>
      <c r="N580" t="s">
        <v>79</v>
      </c>
      <c r="O580" t="s">
        <v>74</v>
      </c>
      <c r="P580" t="s">
        <v>74</v>
      </c>
      <c r="Q580" t="s">
        <v>74</v>
      </c>
      <c r="R580" t="s">
        <v>74</v>
      </c>
      <c r="S580" t="s">
        <v>74</v>
      </c>
      <c r="T580" t="s">
        <v>10570</v>
      </c>
      <c r="U580" t="s">
        <v>74</v>
      </c>
      <c r="V580" t="s">
        <v>10571</v>
      </c>
      <c r="W580" t="s">
        <v>10572</v>
      </c>
      <c r="X580" t="s">
        <v>10573</v>
      </c>
      <c r="Y580" t="s">
        <v>10574</v>
      </c>
      <c r="Z580" t="s">
        <v>10575</v>
      </c>
      <c r="AA580" t="s">
        <v>74</v>
      </c>
      <c r="AB580" t="s">
        <v>74</v>
      </c>
      <c r="AC580" t="s">
        <v>74</v>
      </c>
      <c r="AD580" t="s">
        <v>74</v>
      </c>
      <c r="AE580" t="s">
        <v>74</v>
      </c>
      <c r="AF580" t="s">
        <v>74</v>
      </c>
      <c r="AG580">
        <v>30</v>
      </c>
      <c r="AH580">
        <v>0</v>
      </c>
      <c r="AI580">
        <v>0</v>
      </c>
      <c r="AJ580">
        <v>5</v>
      </c>
      <c r="AK580">
        <v>5</v>
      </c>
      <c r="AL580" t="s">
        <v>90</v>
      </c>
      <c r="AM580" t="s">
        <v>91</v>
      </c>
      <c r="AN580" t="s">
        <v>92</v>
      </c>
      <c r="AO580" t="s">
        <v>74</v>
      </c>
      <c r="AP580" t="s">
        <v>6656</v>
      </c>
      <c r="AQ580" t="s">
        <v>74</v>
      </c>
      <c r="AR580" t="s">
        <v>6657</v>
      </c>
      <c r="AS580" t="s">
        <v>6658</v>
      </c>
      <c r="AT580" t="s">
        <v>6659</v>
      </c>
      <c r="AU580">
        <v>2023</v>
      </c>
      <c r="AV580">
        <v>78</v>
      </c>
      <c r="AW580" t="s">
        <v>74</v>
      </c>
      <c r="AX580" t="s">
        <v>74</v>
      </c>
      <c r="AY580" t="s">
        <v>74</v>
      </c>
      <c r="AZ580" t="s">
        <v>74</v>
      </c>
      <c r="BA580" t="s">
        <v>74</v>
      </c>
      <c r="BB580" t="s">
        <v>74</v>
      </c>
      <c r="BC580" t="s">
        <v>74</v>
      </c>
      <c r="BD580">
        <v>107612</v>
      </c>
      <c r="BE580" t="s">
        <v>10576</v>
      </c>
      <c r="BF580" t="str">
        <f>HYPERLINK("http://dx.doi.org/10.1016/j.jobe.2023.107612","http://dx.doi.org/10.1016/j.jobe.2023.107612")</f>
        <v>http://dx.doi.org/10.1016/j.jobe.2023.107612</v>
      </c>
      <c r="BG580" t="s">
        <v>74</v>
      </c>
      <c r="BH580" t="s">
        <v>74</v>
      </c>
      <c r="BI580">
        <v>15</v>
      </c>
      <c r="BJ580" t="s">
        <v>3898</v>
      </c>
      <c r="BK580" t="s">
        <v>100</v>
      </c>
      <c r="BL580" t="s">
        <v>3899</v>
      </c>
      <c r="BM580" t="s">
        <v>10577</v>
      </c>
      <c r="BN580" t="s">
        <v>74</v>
      </c>
      <c r="BO580" t="s">
        <v>74</v>
      </c>
      <c r="BP580" t="s">
        <v>74</v>
      </c>
      <c r="BQ580" t="s">
        <v>74</v>
      </c>
      <c r="BR580" t="s">
        <v>104</v>
      </c>
      <c r="BS580" t="s">
        <v>10578</v>
      </c>
      <c r="BT580" t="str">
        <f>HYPERLINK("https%3A%2F%2Fwww.webofscience.com%2Fwos%2Fwoscc%2Ffull-record%2FWOS:001062752700001","View Full Record in Web of Science")</f>
        <v>View Full Record in Web of Science</v>
      </c>
    </row>
    <row r="581" spans="1:72" x14ac:dyDescent="0.15">
      <c r="A581" t="s">
        <v>72</v>
      </c>
      <c r="B581" t="s">
        <v>10579</v>
      </c>
      <c r="C581" t="s">
        <v>74</v>
      </c>
      <c r="D581" t="s">
        <v>74</v>
      </c>
      <c r="E581" t="s">
        <v>74</v>
      </c>
      <c r="F581" t="s">
        <v>10580</v>
      </c>
      <c r="G581" t="s">
        <v>74</v>
      </c>
      <c r="H581" t="s">
        <v>74</v>
      </c>
      <c r="I581" t="s">
        <v>10581</v>
      </c>
      <c r="J581" t="s">
        <v>10582</v>
      </c>
      <c r="K581" t="s">
        <v>74</v>
      </c>
      <c r="L581" t="s">
        <v>74</v>
      </c>
      <c r="M581" t="s">
        <v>78</v>
      </c>
      <c r="N581" t="s">
        <v>79</v>
      </c>
      <c r="O581" t="s">
        <v>74</v>
      </c>
      <c r="P581" t="s">
        <v>74</v>
      </c>
      <c r="Q581" t="s">
        <v>74</v>
      </c>
      <c r="R581" t="s">
        <v>74</v>
      </c>
      <c r="S581" t="s">
        <v>74</v>
      </c>
      <c r="T581" t="s">
        <v>10583</v>
      </c>
      <c r="U581" t="s">
        <v>10584</v>
      </c>
      <c r="V581" t="s">
        <v>10585</v>
      </c>
      <c r="W581" t="s">
        <v>10586</v>
      </c>
      <c r="X581" t="s">
        <v>10587</v>
      </c>
      <c r="Y581" t="s">
        <v>10588</v>
      </c>
      <c r="Z581" t="s">
        <v>10589</v>
      </c>
      <c r="AA581" t="s">
        <v>74</v>
      </c>
      <c r="AB581" t="s">
        <v>74</v>
      </c>
      <c r="AC581" t="s">
        <v>10590</v>
      </c>
      <c r="AD581" t="s">
        <v>10591</v>
      </c>
      <c r="AE581" t="s">
        <v>10592</v>
      </c>
      <c r="AF581" t="s">
        <v>74</v>
      </c>
      <c r="AG581">
        <v>44</v>
      </c>
      <c r="AH581">
        <v>0</v>
      </c>
      <c r="AI581">
        <v>0</v>
      </c>
      <c r="AJ581">
        <v>0</v>
      </c>
      <c r="AK581">
        <v>0</v>
      </c>
      <c r="AL581" t="s">
        <v>90</v>
      </c>
      <c r="AM581" t="s">
        <v>91</v>
      </c>
      <c r="AN581" t="s">
        <v>92</v>
      </c>
      <c r="AO581" t="s">
        <v>10593</v>
      </c>
      <c r="AP581" t="s">
        <v>10594</v>
      </c>
      <c r="AQ581" t="s">
        <v>74</v>
      </c>
      <c r="AR581" t="s">
        <v>10595</v>
      </c>
      <c r="AS581" t="s">
        <v>10596</v>
      </c>
      <c r="AT581" t="s">
        <v>6618</v>
      </c>
      <c r="AU581">
        <v>2023</v>
      </c>
      <c r="AV581">
        <v>17</v>
      </c>
      <c r="AW581">
        <v>4</v>
      </c>
      <c r="AX581" t="s">
        <v>74</v>
      </c>
      <c r="AY581" t="s">
        <v>74</v>
      </c>
      <c r="AZ581" t="s">
        <v>74</v>
      </c>
      <c r="BA581" t="s">
        <v>74</v>
      </c>
      <c r="BB581" t="s">
        <v>74</v>
      </c>
      <c r="BC581" t="s">
        <v>74</v>
      </c>
      <c r="BD581">
        <v>101453</v>
      </c>
      <c r="BE581" t="s">
        <v>10597</v>
      </c>
      <c r="BF581" t="str">
        <f>HYPERLINK("http://dx.doi.org/10.1016/j.joi.2023.101453","http://dx.doi.org/10.1016/j.joi.2023.101453")</f>
        <v>http://dx.doi.org/10.1016/j.joi.2023.101453</v>
      </c>
      <c r="BG581" t="s">
        <v>74</v>
      </c>
      <c r="BH581" t="s">
        <v>74</v>
      </c>
      <c r="BI581">
        <v>27</v>
      </c>
      <c r="BJ581" t="s">
        <v>10598</v>
      </c>
      <c r="BK581" t="s">
        <v>666</v>
      </c>
      <c r="BL581" t="s">
        <v>10599</v>
      </c>
      <c r="BM581" t="s">
        <v>10600</v>
      </c>
      <c r="BN581" t="s">
        <v>74</v>
      </c>
      <c r="BO581" t="s">
        <v>74</v>
      </c>
      <c r="BP581" t="s">
        <v>74</v>
      </c>
      <c r="BQ581" t="s">
        <v>74</v>
      </c>
      <c r="BR581" t="s">
        <v>104</v>
      </c>
      <c r="BS581" t="s">
        <v>10601</v>
      </c>
      <c r="BT581" t="str">
        <f>HYPERLINK("https%3A%2F%2Fwww.webofscience.com%2Fwos%2Fwoscc%2Ffull-record%2FWOS:001070580900001","View Full Record in Web of Science")</f>
        <v>View Full Record in Web of Science</v>
      </c>
    </row>
    <row r="582" spans="1:72" x14ac:dyDescent="0.15">
      <c r="A582" t="s">
        <v>72</v>
      </c>
      <c r="B582" t="s">
        <v>10602</v>
      </c>
      <c r="C582" t="s">
        <v>74</v>
      </c>
      <c r="D582" t="s">
        <v>74</v>
      </c>
      <c r="E582" t="s">
        <v>74</v>
      </c>
      <c r="F582" t="s">
        <v>10603</v>
      </c>
      <c r="G582" t="s">
        <v>74</v>
      </c>
      <c r="H582" t="s">
        <v>74</v>
      </c>
      <c r="I582" t="s">
        <v>10604</v>
      </c>
      <c r="J582" t="s">
        <v>1950</v>
      </c>
      <c r="K582" t="s">
        <v>74</v>
      </c>
      <c r="L582" t="s">
        <v>74</v>
      </c>
      <c r="M582" t="s">
        <v>78</v>
      </c>
      <c r="N582" t="s">
        <v>79</v>
      </c>
      <c r="O582" t="s">
        <v>74</v>
      </c>
      <c r="P582" t="s">
        <v>74</v>
      </c>
      <c r="Q582" t="s">
        <v>74</v>
      </c>
      <c r="R582" t="s">
        <v>74</v>
      </c>
      <c r="S582" t="s">
        <v>74</v>
      </c>
      <c r="T582" t="s">
        <v>10605</v>
      </c>
      <c r="U582" t="s">
        <v>10606</v>
      </c>
      <c r="V582" t="s">
        <v>10607</v>
      </c>
      <c r="W582" t="s">
        <v>10608</v>
      </c>
      <c r="X582" t="s">
        <v>10609</v>
      </c>
      <c r="Y582" t="s">
        <v>10610</v>
      </c>
      <c r="Z582" t="s">
        <v>10611</v>
      </c>
      <c r="AA582" t="s">
        <v>74</v>
      </c>
      <c r="AB582" t="s">
        <v>10612</v>
      </c>
      <c r="AC582" t="s">
        <v>10613</v>
      </c>
      <c r="AD582" t="s">
        <v>10614</v>
      </c>
      <c r="AE582" t="s">
        <v>10615</v>
      </c>
      <c r="AF582" t="s">
        <v>74</v>
      </c>
      <c r="AG582">
        <v>43</v>
      </c>
      <c r="AH582">
        <v>0</v>
      </c>
      <c r="AI582">
        <v>0</v>
      </c>
      <c r="AJ582">
        <v>8</v>
      </c>
      <c r="AK582">
        <v>8</v>
      </c>
      <c r="AL582" t="s">
        <v>173</v>
      </c>
      <c r="AM582" t="s">
        <v>121</v>
      </c>
      <c r="AN582" t="s">
        <v>174</v>
      </c>
      <c r="AO582" t="s">
        <v>1963</v>
      </c>
      <c r="AP582" t="s">
        <v>1964</v>
      </c>
      <c r="AQ582" t="s">
        <v>74</v>
      </c>
      <c r="AR582" t="s">
        <v>1950</v>
      </c>
      <c r="AS582" t="s">
        <v>1965</v>
      </c>
      <c r="AT582" t="s">
        <v>6659</v>
      </c>
      <c r="AU582">
        <v>2023</v>
      </c>
      <c r="AV582">
        <v>282</v>
      </c>
      <c r="AW582" t="s">
        <v>74</v>
      </c>
      <c r="AX582" t="s">
        <v>74</v>
      </c>
      <c r="AY582" t="s">
        <v>74</v>
      </c>
      <c r="AZ582" t="s">
        <v>74</v>
      </c>
      <c r="BA582" t="s">
        <v>74</v>
      </c>
      <c r="BB582" t="s">
        <v>74</v>
      </c>
      <c r="BC582" t="s">
        <v>74</v>
      </c>
      <c r="BD582">
        <v>128383</v>
      </c>
      <c r="BE582" t="s">
        <v>10616</v>
      </c>
      <c r="BF582" t="str">
        <f>HYPERLINK("http://dx.doi.org/10.1016/j.energy.2023.128383","http://dx.doi.org/10.1016/j.energy.2023.128383")</f>
        <v>http://dx.doi.org/10.1016/j.energy.2023.128383</v>
      </c>
      <c r="BG582" t="s">
        <v>74</v>
      </c>
      <c r="BH582" t="s">
        <v>74</v>
      </c>
      <c r="BI582">
        <v>20</v>
      </c>
      <c r="BJ582" t="s">
        <v>1967</v>
      </c>
      <c r="BK582" t="s">
        <v>100</v>
      </c>
      <c r="BL582" t="s">
        <v>1967</v>
      </c>
      <c r="BM582" t="s">
        <v>10617</v>
      </c>
      <c r="BN582" t="s">
        <v>74</v>
      </c>
      <c r="BO582" t="s">
        <v>74</v>
      </c>
      <c r="BP582" t="s">
        <v>74</v>
      </c>
      <c r="BQ582" t="s">
        <v>74</v>
      </c>
      <c r="BR582" t="s">
        <v>104</v>
      </c>
      <c r="BS582" t="s">
        <v>10618</v>
      </c>
      <c r="BT582" t="str">
        <f>HYPERLINK("https%3A%2F%2Fwww.webofscience.com%2Fwos%2Fwoscc%2Ffull-record%2FWOS:001046455600001","View Full Record in Web of Science")</f>
        <v>View Full Record in Web of Science</v>
      </c>
    </row>
    <row r="583" spans="1:72" x14ac:dyDescent="0.15">
      <c r="A583" t="s">
        <v>72</v>
      </c>
      <c r="B583" t="s">
        <v>10619</v>
      </c>
      <c r="C583" t="s">
        <v>74</v>
      </c>
      <c r="D583" t="s">
        <v>74</v>
      </c>
      <c r="E583" t="s">
        <v>74</v>
      </c>
      <c r="F583" t="s">
        <v>10620</v>
      </c>
      <c r="G583" t="s">
        <v>74</v>
      </c>
      <c r="H583" t="s">
        <v>74</v>
      </c>
      <c r="I583" t="s">
        <v>10621</v>
      </c>
      <c r="J583" t="s">
        <v>4371</v>
      </c>
      <c r="K583" t="s">
        <v>74</v>
      </c>
      <c r="L583" t="s">
        <v>74</v>
      </c>
      <c r="M583" t="s">
        <v>78</v>
      </c>
      <c r="N583" t="s">
        <v>79</v>
      </c>
      <c r="O583" t="s">
        <v>74</v>
      </c>
      <c r="P583" t="s">
        <v>74</v>
      </c>
      <c r="Q583" t="s">
        <v>74</v>
      </c>
      <c r="R583" t="s">
        <v>74</v>
      </c>
      <c r="S583" t="s">
        <v>74</v>
      </c>
      <c r="T583" t="s">
        <v>10622</v>
      </c>
      <c r="U583" t="s">
        <v>10623</v>
      </c>
      <c r="V583" t="s">
        <v>10624</v>
      </c>
      <c r="W583" t="s">
        <v>10625</v>
      </c>
      <c r="X583" t="s">
        <v>10626</v>
      </c>
      <c r="Y583" t="s">
        <v>10627</v>
      </c>
      <c r="Z583" t="s">
        <v>10628</v>
      </c>
      <c r="AA583" t="s">
        <v>74</v>
      </c>
      <c r="AB583" t="s">
        <v>10629</v>
      </c>
      <c r="AC583" t="s">
        <v>10630</v>
      </c>
      <c r="AD583" t="s">
        <v>10631</v>
      </c>
      <c r="AE583" t="s">
        <v>10632</v>
      </c>
      <c r="AF583" t="s">
        <v>74</v>
      </c>
      <c r="AG583">
        <v>54</v>
      </c>
      <c r="AH583">
        <v>0</v>
      </c>
      <c r="AI583">
        <v>0</v>
      </c>
      <c r="AJ583">
        <v>0</v>
      </c>
      <c r="AK583">
        <v>0</v>
      </c>
      <c r="AL583" t="s">
        <v>90</v>
      </c>
      <c r="AM583" t="s">
        <v>91</v>
      </c>
      <c r="AN583" t="s">
        <v>92</v>
      </c>
      <c r="AO583" t="s">
        <v>4381</v>
      </c>
      <c r="AP583" t="s">
        <v>4382</v>
      </c>
      <c r="AQ583" t="s">
        <v>74</v>
      </c>
      <c r="AR583" t="s">
        <v>4383</v>
      </c>
      <c r="AS583" t="s">
        <v>4384</v>
      </c>
      <c r="AT583" t="s">
        <v>6618</v>
      </c>
      <c r="AU583">
        <v>2023</v>
      </c>
      <c r="AV583">
        <v>585</v>
      </c>
      <c r="AW583" t="s">
        <v>74</v>
      </c>
      <c r="AX583" t="s">
        <v>74</v>
      </c>
      <c r="AY583" t="s">
        <v>74</v>
      </c>
      <c r="AZ583" t="s">
        <v>74</v>
      </c>
      <c r="BA583" t="s">
        <v>74</v>
      </c>
      <c r="BB583" t="s">
        <v>74</v>
      </c>
      <c r="BC583" t="s">
        <v>74</v>
      </c>
      <c r="BD583">
        <v>154644</v>
      </c>
      <c r="BE583" t="s">
        <v>10633</v>
      </c>
      <c r="BF583" t="str">
        <f>HYPERLINK("http://dx.doi.org/10.1016/j.jnucmat.2023.154644","http://dx.doi.org/10.1016/j.jnucmat.2023.154644")</f>
        <v>http://dx.doi.org/10.1016/j.jnucmat.2023.154644</v>
      </c>
      <c r="BG583" t="s">
        <v>74</v>
      </c>
      <c r="BH583" t="s">
        <v>74</v>
      </c>
      <c r="BI583">
        <v>12</v>
      </c>
      <c r="BJ583" t="s">
        <v>4386</v>
      </c>
      <c r="BK583" t="s">
        <v>100</v>
      </c>
      <c r="BL583" t="s">
        <v>4387</v>
      </c>
      <c r="BM583" t="s">
        <v>10634</v>
      </c>
      <c r="BN583" t="s">
        <v>74</v>
      </c>
      <c r="BO583" t="s">
        <v>74</v>
      </c>
      <c r="BP583" t="s">
        <v>74</v>
      </c>
      <c r="BQ583" t="s">
        <v>74</v>
      </c>
      <c r="BR583" t="s">
        <v>104</v>
      </c>
      <c r="BS583" t="s">
        <v>10635</v>
      </c>
      <c r="BT583" t="str">
        <f>HYPERLINK("https%3A%2F%2Fwww.webofscience.com%2Fwos%2Fwoscc%2Ffull-record%2FWOS:001047767800001","View Full Record in Web of Science")</f>
        <v>View Full Record in Web of Science</v>
      </c>
    </row>
    <row r="584" spans="1:72" x14ac:dyDescent="0.15">
      <c r="A584" t="s">
        <v>72</v>
      </c>
      <c r="B584" t="s">
        <v>10636</v>
      </c>
      <c r="C584" t="s">
        <v>74</v>
      </c>
      <c r="D584" t="s">
        <v>74</v>
      </c>
      <c r="E584" t="s">
        <v>74</v>
      </c>
      <c r="F584" t="s">
        <v>10637</v>
      </c>
      <c r="G584" t="s">
        <v>74</v>
      </c>
      <c r="H584" t="s">
        <v>74</v>
      </c>
      <c r="I584" t="s">
        <v>10638</v>
      </c>
      <c r="J584" t="s">
        <v>10639</v>
      </c>
      <c r="K584" t="s">
        <v>74</v>
      </c>
      <c r="L584" t="s">
        <v>74</v>
      </c>
      <c r="M584" t="s">
        <v>78</v>
      </c>
      <c r="N584" t="s">
        <v>79</v>
      </c>
      <c r="O584" t="s">
        <v>74</v>
      </c>
      <c r="P584" t="s">
        <v>74</v>
      </c>
      <c r="Q584" t="s">
        <v>74</v>
      </c>
      <c r="R584" t="s">
        <v>74</v>
      </c>
      <c r="S584" t="s">
        <v>74</v>
      </c>
      <c r="T584" t="s">
        <v>10640</v>
      </c>
      <c r="U584" t="s">
        <v>10641</v>
      </c>
      <c r="V584" t="s">
        <v>10642</v>
      </c>
      <c r="W584" t="s">
        <v>10643</v>
      </c>
      <c r="X584" t="s">
        <v>4650</v>
      </c>
      <c r="Y584" t="s">
        <v>10644</v>
      </c>
      <c r="Z584" t="s">
        <v>10645</v>
      </c>
      <c r="AA584" t="s">
        <v>74</v>
      </c>
      <c r="AB584" t="s">
        <v>74</v>
      </c>
      <c r="AC584" t="s">
        <v>10646</v>
      </c>
      <c r="AD584" t="s">
        <v>7859</v>
      </c>
      <c r="AE584" t="s">
        <v>10647</v>
      </c>
      <c r="AF584" t="s">
        <v>74</v>
      </c>
      <c r="AG584">
        <v>51</v>
      </c>
      <c r="AH584">
        <v>0</v>
      </c>
      <c r="AI584">
        <v>0</v>
      </c>
      <c r="AJ584">
        <v>17</v>
      </c>
      <c r="AK584">
        <v>17</v>
      </c>
      <c r="AL584" t="s">
        <v>120</v>
      </c>
      <c r="AM584" t="s">
        <v>121</v>
      </c>
      <c r="AN584" t="s">
        <v>122</v>
      </c>
      <c r="AO584" t="s">
        <v>10648</v>
      </c>
      <c r="AP584" t="s">
        <v>10649</v>
      </c>
      <c r="AQ584" t="s">
        <v>74</v>
      </c>
      <c r="AR584" t="s">
        <v>10650</v>
      </c>
      <c r="AS584" t="s">
        <v>10651</v>
      </c>
      <c r="AT584" t="s">
        <v>6618</v>
      </c>
      <c r="AU584">
        <v>2023</v>
      </c>
      <c r="AV584">
        <v>357</v>
      </c>
      <c r="AW584" t="s">
        <v>74</v>
      </c>
      <c r="AX584" t="s">
        <v>74</v>
      </c>
      <c r="AY584" t="s">
        <v>74</v>
      </c>
      <c r="AZ584" t="s">
        <v>74</v>
      </c>
      <c r="BA584" t="s">
        <v>74</v>
      </c>
      <c r="BB584" t="s">
        <v>74</v>
      </c>
      <c r="BC584" t="s">
        <v>74</v>
      </c>
      <c r="BD584">
        <v>111657</v>
      </c>
      <c r="BE584" t="s">
        <v>10652</v>
      </c>
      <c r="BF584" t="str">
        <f>HYPERLINK("http://dx.doi.org/10.1016/j.jfoodeng.2023.111657","http://dx.doi.org/10.1016/j.jfoodeng.2023.111657")</f>
        <v>http://dx.doi.org/10.1016/j.jfoodeng.2023.111657</v>
      </c>
      <c r="BG584" t="s">
        <v>74</v>
      </c>
      <c r="BH584" t="s">
        <v>74</v>
      </c>
      <c r="BI584">
        <v>11</v>
      </c>
      <c r="BJ584" t="s">
        <v>10653</v>
      </c>
      <c r="BK584" t="s">
        <v>100</v>
      </c>
      <c r="BL584" t="s">
        <v>10654</v>
      </c>
      <c r="BM584" t="s">
        <v>10655</v>
      </c>
      <c r="BN584" t="s">
        <v>74</v>
      </c>
      <c r="BO584" t="s">
        <v>74</v>
      </c>
      <c r="BP584" t="s">
        <v>74</v>
      </c>
      <c r="BQ584" t="s">
        <v>74</v>
      </c>
      <c r="BR584" t="s">
        <v>104</v>
      </c>
      <c r="BS584" t="s">
        <v>10656</v>
      </c>
      <c r="BT584" t="str">
        <f>HYPERLINK("https%3A%2F%2Fwww.webofscience.com%2Fwos%2Fwoscc%2Ffull-record%2FWOS:001043635100001","View Full Record in Web of Science")</f>
        <v>View Full Record in Web of Science</v>
      </c>
    </row>
    <row r="585" spans="1:72" x14ac:dyDescent="0.15">
      <c r="A585" t="s">
        <v>72</v>
      </c>
      <c r="B585" t="s">
        <v>10657</v>
      </c>
      <c r="C585" t="s">
        <v>74</v>
      </c>
      <c r="D585" t="s">
        <v>74</v>
      </c>
      <c r="E585" t="s">
        <v>74</v>
      </c>
      <c r="F585" t="s">
        <v>10658</v>
      </c>
      <c r="G585" t="s">
        <v>74</v>
      </c>
      <c r="H585" t="s">
        <v>74</v>
      </c>
      <c r="I585" t="s">
        <v>10659</v>
      </c>
      <c r="J585" t="s">
        <v>9127</v>
      </c>
      <c r="K585" t="s">
        <v>74</v>
      </c>
      <c r="L585" t="s">
        <v>74</v>
      </c>
      <c r="M585" t="s">
        <v>78</v>
      </c>
      <c r="N585" t="s">
        <v>79</v>
      </c>
      <c r="O585" t="s">
        <v>74</v>
      </c>
      <c r="P585" t="s">
        <v>74</v>
      </c>
      <c r="Q585" t="s">
        <v>74</v>
      </c>
      <c r="R585" t="s">
        <v>74</v>
      </c>
      <c r="S585" t="s">
        <v>74</v>
      </c>
      <c r="T585" t="s">
        <v>74</v>
      </c>
      <c r="U585" t="s">
        <v>10660</v>
      </c>
      <c r="V585" t="s">
        <v>10661</v>
      </c>
      <c r="W585" t="s">
        <v>10662</v>
      </c>
      <c r="X585" t="s">
        <v>10663</v>
      </c>
      <c r="Y585" t="s">
        <v>10664</v>
      </c>
      <c r="Z585" t="s">
        <v>10665</v>
      </c>
      <c r="AA585" t="s">
        <v>74</v>
      </c>
      <c r="AB585" t="s">
        <v>10666</v>
      </c>
      <c r="AC585" t="s">
        <v>10667</v>
      </c>
      <c r="AD585" t="s">
        <v>10668</v>
      </c>
      <c r="AE585" t="s">
        <v>10669</v>
      </c>
      <c r="AF585" t="s">
        <v>74</v>
      </c>
      <c r="AG585">
        <v>30</v>
      </c>
      <c r="AH585">
        <v>0</v>
      </c>
      <c r="AI585">
        <v>0</v>
      </c>
      <c r="AJ585">
        <v>0</v>
      </c>
      <c r="AK585">
        <v>0</v>
      </c>
      <c r="AL585" t="s">
        <v>9135</v>
      </c>
      <c r="AM585" t="s">
        <v>476</v>
      </c>
      <c r="AN585" t="s">
        <v>9136</v>
      </c>
      <c r="AO585" t="s">
        <v>74</v>
      </c>
      <c r="AP585" t="s">
        <v>9137</v>
      </c>
      <c r="AQ585" t="s">
        <v>74</v>
      </c>
      <c r="AR585" t="s">
        <v>9138</v>
      </c>
      <c r="AS585" t="s">
        <v>9139</v>
      </c>
      <c r="AT585" t="s">
        <v>9140</v>
      </c>
      <c r="AU585">
        <v>2023</v>
      </c>
      <c r="AV585">
        <v>8</v>
      </c>
      <c r="AW585">
        <v>6</v>
      </c>
      <c r="AX585" t="s">
        <v>74</v>
      </c>
      <c r="AY585" t="s">
        <v>74</v>
      </c>
      <c r="AZ585" t="s">
        <v>74</v>
      </c>
      <c r="BA585" t="s">
        <v>74</v>
      </c>
      <c r="BB585" t="s">
        <v>74</v>
      </c>
      <c r="BC585" t="s">
        <v>74</v>
      </c>
      <c r="BD585">
        <v>101279</v>
      </c>
      <c r="BE585" t="s">
        <v>10670</v>
      </c>
      <c r="BF585" t="str">
        <f>HYPERLINK("http://dx.doi.org/10.1016/j.adro.2023.101279","http://dx.doi.org/10.1016/j.adro.2023.101279")</f>
        <v>http://dx.doi.org/10.1016/j.adro.2023.101279</v>
      </c>
      <c r="BG585" t="s">
        <v>74</v>
      </c>
      <c r="BH585" t="s">
        <v>74</v>
      </c>
      <c r="BI585">
        <v>5</v>
      </c>
      <c r="BJ585" t="s">
        <v>9142</v>
      </c>
      <c r="BK585" t="s">
        <v>1850</v>
      </c>
      <c r="BL585" t="s">
        <v>9142</v>
      </c>
      <c r="BM585" t="s">
        <v>10671</v>
      </c>
      <c r="BN585">
        <v>37448588</v>
      </c>
      <c r="BO585" t="s">
        <v>2583</v>
      </c>
      <c r="BP585" t="s">
        <v>74</v>
      </c>
      <c r="BQ585" t="s">
        <v>74</v>
      </c>
      <c r="BR585" t="s">
        <v>104</v>
      </c>
      <c r="BS585" t="s">
        <v>10672</v>
      </c>
      <c r="BT585" t="str">
        <f>HYPERLINK("https%3A%2F%2Fwww.webofscience.com%2Fwos%2Fwoscc%2Ffull-record%2FWOS:001053836400001","View Full Record in Web of Science")</f>
        <v>View Full Record in Web of Science</v>
      </c>
    </row>
    <row r="586" spans="1:72" x14ac:dyDescent="0.15">
      <c r="A586" t="s">
        <v>72</v>
      </c>
      <c r="B586" t="s">
        <v>10673</v>
      </c>
      <c r="C586" t="s">
        <v>74</v>
      </c>
      <c r="D586" t="s">
        <v>74</v>
      </c>
      <c r="E586" t="s">
        <v>74</v>
      </c>
      <c r="F586" t="s">
        <v>10674</v>
      </c>
      <c r="G586" t="s">
        <v>74</v>
      </c>
      <c r="H586" t="s">
        <v>74</v>
      </c>
      <c r="I586" t="s">
        <v>10675</v>
      </c>
      <c r="J586" t="s">
        <v>8290</v>
      </c>
      <c r="K586" t="s">
        <v>74</v>
      </c>
      <c r="L586" t="s">
        <v>74</v>
      </c>
      <c r="M586" t="s">
        <v>78</v>
      </c>
      <c r="N586" t="s">
        <v>79</v>
      </c>
      <c r="O586" t="s">
        <v>74</v>
      </c>
      <c r="P586" t="s">
        <v>74</v>
      </c>
      <c r="Q586" t="s">
        <v>74</v>
      </c>
      <c r="R586" t="s">
        <v>74</v>
      </c>
      <c r="S586" t="s">
        <v>74</v>
      </c>
      <c r="T586" t="s">
        <v>10676</v>
      </c>
      <c r="U586" t="s">
        <v>10677</v>
      </c>
      <c r="V586" t="s">
        <v>10678</v>
      </c>
      <c r="W586" t="s">
        <v>10679</v>
      </c>
      <c r="X586" t="s">
        <v>10680</v>
      </c>
      <c r="Y586" t="s">
        <v>10681</v>
      </c>
      <c r="Z586" t="s">
        <v>10682</v>
      </c>
      <c r="AA586" t="s">
        <v>10683</v>
      </c>
      <c r="AB586" t="s">
        <v>10684</v>
      </c>
      <c r="AC586" t="s">
        <v>10685</v>
      </c>
      <c r="AD586" t="s">
        <v>10686</v>
      </c>
      <c r="AE586" t="s">
        <v>10687</v>
      </c>
      <c r="AF586" t="s">
        <v>74</v>
      </c>
      <c r="AG586">
        <v>101</v>
      </c>
      <c r="AH586">
        <v>0</v>
      </c>
      <c r="AI586">
        <v>0</v>
      </c>
      <c r="AJ586">
        <v>14</v>
      </c>
      <c r="AK586">
        <v>14</v>
      </c>
      <c r="AL586" t="s">
        <v>147</v>
      </c>
      <c r="AM586" t="s">
        <v>148</v>
      </c>
      <c r="AN586" t="s">
        <v>149</v>
      </c>
      <c r="AO586" t="s">
        <v>8300</v>
      </c>
      <c r="AP586" t="s">
        <v>8301</v>
      </c>
      <c r="AQ586" t="s">
        <v>74</v>
      </c>
      <c r="AR586" t="s">
        <v>8302</v>
      </c>
      <c r="AS586" t="s">
        <v>8303</v>
      </c>
      <c r="AT586" t="s">
        <v>6618</v>
      </c>
      <c r="AU586">
        <v>2023</v>
      </c>
      <c r="AV586">
        <v>167</v>
      </c>
      <c r="AW586" t="s">
        <v>74</v>
      </c>
      <c r="AX586" t="s">
        <v>74</v>
      </c>
      <c r="AY586" t="s">
        <v>74</v>
      </c>
      <c r="AZ586" t="s">
        <v>74</v>
      </c>
      <c r="BA586" t="s">
        <v>74</v>
      </c>
      <c r="BB586" t="s">
        <v>74</v>
      </c>
      <c r="BC586" t="s">
        <v>74</v>
      </c>
      <c r="BD586">
        <v>114183</v>
      </c>
      <c r="BE586" t="s">
        <v>10688</v>
      </c>
      <c r="BF586" t="str">
        <f>HYPERLINK("http://dx.doi.org/10.1016/j.jbusres.2023.114183","http://dx.doi.org/10.1016/j.jbusres.2023.114183")</f>
        <v>http://dx.doi.org/10.1016/j.jbusres.2023.114183</v>
      </c>
      <c r="BG586" t="s">
        <v>74</v>
      </c>
      <c r="BH586" t="s">
        <v>74</v>
      </c>
      <c r="BI586">
        <v>11</v>
      </c>
      <c r="BJ586" t="s">
        <v>8305</v>
      </c>
      <c r="BK586" t="s">
        <v>627</v>
      </c>
      <c r="BL586" t="s">
        <v>628</v>
      </c>
      <c r="BM586" t="s">
        <v>10689</v>
      </c>
      <c r="BN586" t="s">
        <v>74</v>
      </c>
      <c r="BO586" t="s">
        <v>74</v>
      </c>
      <c r="BP586" t="s">
        <v>74</v>
      </c>
      <c r="BQ586" t="s">
        <v>74</v>
      </c>
      <c r="BR586" t="s">
        <v>104</v>
      </c>
      <c r="BS586" t="s">
        <v>10690</v>
      </c>
      <c r="BT586" t="str">
        <f>HYPERLINK("https%3A%2F%2Fwww.webofscience.com%2Fwos%2Fwoscc%2Ffull-record%2FWOS:001050500100001","View Full Record in Web of Science")</f>
        <v>View Full Record in Web of Science</v>
      </c>
    </row>
    <row r="587" spans="1:72" x14ac:dyDescent="0.15">
      <c r="A587" t="s">
        <v>72</v>
      </c>
      <c r="B587" t="s">
        <v>10691</v>
      </c>
      <c r="C587" t="s">
        <v>74</v>
      </c>
      <c r="D587" t="s">
        <v>74</v>
      </c>
      <c r="E587" t="s">
        <v>74</v>
      </c>
      <c r="F587" t="s">
        <v>10692</v>
      </c>
      <c r="G587" t="s">
        <v>74</v>
      </c>
      <c r="H587" t="s">
        <v>74</v>
      </c>
      <c r="I587" t="s">
        <v>10693</v>
      </c>
      <c r="J587" t="s">
        <v>10694</v>
      </c>
      <c r="K587" t="s">
        <v>74</v>
      </c>
      <c r="L587" t="s">
        <v>74</v>
      </c>
      <c r="M587" t="s">
        <v>78</v>
      </c>
      <c r="N587" t="s">
        <v>79</v>
      </c>
      <c r="O587" t="s">
        <v>74</v>
      </c>
      <c r="P587" t="s">
        <v>74</v>
      </c>
      <c r="Q587" t="s">
        <v>74</v>
      </c>
      <c r="R587" t="s">
        <v>74</v>
      </c>
      <c r="S587" t="s">
        <v>74</v>
      </c>
      <c r="T587" t="s">
        <v>10695</v>
      </c>
      <c r="U587" t="s">
        <v>74</v>
      </c>
      <c r="V587" t="s">
        <v>10696</v>
      </c>
      <c r="W587" t="s">
        <v>10697</v>
      </c>
      <c r="X587" t="s">
        <v>10698</v>
      </c>
      <c r="Y587" t="s">
        <v>10699</v>
      </c>
      <c r="Z587" t="s">
        <v>10700</v>
      </c>
      <c r="AA587" t="s">
        <v>74</v>
      </c>
      <c r="AB587" t="s">
        <v>74</v>
      </c>
      <c r="AC587" t="s">
        <v>10701</v>
      </c>
      <c r="AD587" t="s">
        <v>10702</v>
      </c>
      <c r="AE587" t="s">
        <v>10703</v>
      </c>
      <c r="AF587" t="s">
        <v>74</v>
      </c>
      <c r="AG587">
        <v>50</v>
      </c>
      <c r="AH587">
        <v>0</v>
      </c>
      <c r="AI587">
        <v>0</v>
      </c>
      <c r="AJ587">
        <v>0</v>
      </c>
      <c r="AK587">
        <v>0</v>
      </c>
      <c r="AL587" t="s">
        <v>147</v>
      </c>
      <c r="AM587" t="s">
        <v>148</v>
      </c>
      <c r="AN587" t="s">
        <v>149</v>
      </c>
      <c r="AO587" t="s">
        <v>10704</v>
      </c>
      <c r="AP587" t="s">
        <v>10705</v>
      </c>
      <c r="AQ587" t="s">
        <v>74</v>
      </c>
      <c r="AR587" t="s">
        <v>10706</v>
      </c>
      <c r="AS587" t="s">
        <v>10707</v>
      </c>
      <c r="AT587" t="s">
        <v>6618</v>
      </c>
      <c r="AU587">
        <v>2023</v>
      </c>
      <c r="AV587">
        <v>647</v>
      </c>
      <c r="AW587" t="s">
        <v>74</v>
      </c>
      <c r="AX587" t="s">
        <v>74</v>
      </c>
      <c r="AY587" t="s">
        <v>74</v>
      </c>
      <c r="AZ587" t="s">
        <v>74</v>
      </c>
      <c r="BA587" t="s">
        <v>74</v>
      </c>
      <c r="BB587" t="s">
        <v>74</v>
      </c>
      <c r="BC587" t="s">
        <v>74</v>
      </c>
      <c r="BD587">
        <v>119473</v>
      </c>
      <c r="BE587" t="s">
        <v>10708</v>
      </c>
      <c r="BF587" t="str">
        <f>HYPERLINK("http://dx.doi.org/10.1016/j.ins.2023.119473","http://dx.doi.org/10.1016/j.ins.2023.119473")</f>
        <v>http://dx.doi.org/10.1016/j.ins.2023.119473</v>
      </c>
      <c r="BG587" t="s">
        <v>74</v>
      </c>
      <c r="BH587" t="s">
        <v>74</v>
      </c>
      <c r="BI587">
        <v>33</v>
      </c>
      <c r="BJ587" t="s">
        <v>7029</v>
      </c>
      <c r="BK587" t="s">
        <v>100</v>
      </c>
      <c r="BL587" t="s">
        <v>563</v>
      </c>
      <c r="BM587" t="s">
        <v>10709</v>
      </c>
      <c r="BN587" t="s">
        <v>74</v>
      </c>
      <c r="BO587" t="s">
        <v>74</v>
      </c>
      <c r="BP587" t="s">
        <v>74</v>
      </c>
      <c r="BQ587" t="s">
        <v>74</v>
      </c>
      <c r="BR587" t="s">
        <v>104</v>
      </c>
      <c r="BS587" t="s">
        <v>10710</v>
      </c>
      <c r="BT587" t="str">
        <f>HYPERLINK("https%3A%2F%2Fwww.webofscience.com%2Fwos%2Fwoscc%2Ffull-record%2FWOS:001066357600001","View Full Record in Web of Science")</f>
        <v>View Full Record in Web of Science</v>
      </c>
    </row>
    <row r="588" spans="1:72" x14ac:dyDescent="0.15">
      <c r="A588" t="s">
        <v>72</v>
      </c>
      <c r="B588" t="s">
        <v>10711</v>
      </c>
      <c r="C588" t="s">
        <v>74</v>
      </c>
      <c r="D588" t="s">
        <v>74</v>
      </c>
      <c r="E588" t="s">
        <v>74</v>
      </c>
      <c r="F588" t="s">
        <v>10712</v>
      </c>
      <c r="G588" t="s">
        <v>74</v>
      </c>
      <c r="H588" t="s">
        <v>74</v>
      </c>
      <c r="I588" t="s">
        <v>10713</v>
      </c>
      <c r="J588" t="s">
        <v>10714</v>
      </c>
      <c r="K588" t="s">
        <v>74</v>
      </c>
      <c r="L588" t="s">
        <v>74</v>
      </c>
      <c r="M588" t="s">
        <v>78</v>
      </c>
      <c r="N588" t="s">
        <v>79</v>
      </c>
      <c r="O588" t="s">
        <v>74</v>
      </c>
      <c r="P588" t="s">
        <v>74</v>
      </c>
      <c r="Q588" t="s">
        <v>74</v>
      </c>
      <c r="R588" t="s">
        <v>74</v>
      </c>
      <c r="S588" t="s">
        <v>74</v>
      </c>
      <c r="T588" t="s">
        <v>10715</v>
      </c>
      <c r="U588" t="s">
        <v>10716</v>
      </c>
      <c r="V588" t="s">
        <v>10717</v>
      </c>
      <c r="W588" t="s">
        <v>10718</v>
      </c>
      <c r="X588" t="s">
        <v>10719</v>
      </c>
      <c r="Y588" t="s">
        <v>10720</v>
      </c>
      <c r="Z588" t="s">
        <v>10721</v>
      </c>
      <c r="AA588" t="s">
        <v>74</v>
      </c>
      <c r="AB588" t="s">
        <v>74</v>
      </c>
      <c r="AC588" t="s">
        <v>10722</v>
      </c>
      <c r="AD588" t="s">
        <v>10723</v>
      </c>
      <c r="AE588" t="s">
        <v>10724</v>
      </c>
      <c r="AF588" t="s">
        <v>74</v>
      </c>
      <c r="AG588">
        <v>66</v>
      </c>
      <c r="AH588">
        <v>1</v>
      </c>
      <c r="AI588">
        <v>1</v>
      </c>
      <c r="AJ588">
        <v>11</v>
      </c>
      <c r="AK588">
        <v>11</v>
      </c>
      <c r="AL588" t="s">
        <v>90</v>
      </c>
      <c r="AM588" t="s">
        <v>91</v>
      </c>
      <c r="AN588" t="s">
        <v>92</v>
      </c>
      <c r="AO588" t="s">
        <v>10725</v>
      </c>
      <c r="AP588" t="s">
        <v>10726</v>
      </c>
      <c r="AQ588" t="s">
        <v>74</v>
      </c>
      <c r="AR588" t="s">
        <v>10727</v>
      </c>
      <c r="AS588" t="s">
        <v>10728</v>
      </c>
      <c r="AT588" t="s">
        <v>6618</v>
      </c>
      <c r="AU588">
        <v>2023</v>
      </c>
      <c r="AV588">
        <v>98</v>
      </c>
      <c r="AW588" t="s">
        <v>74</v>
      </c>
      <c r="AX588" t="s">
        <v>74</v>
      </c>
      <c r="AY588" t="s">
        <v>74</v>
      </c>
      <c r="AZ588" t="s">
        <v>74</v>
      </c>
      <c r="BA588" t="s">
        <v>74</v>
      </c>
      <c r="BB588" t="s">
        <v>74</v>
      </c>
      <c r="BC588" t="s">
        <v>74</v>
      </c>
      <c r="BD588">
        <v>104817</v>
      </c>
      <c r="BE588" t="s">
        <v>10729</v>
      </c>
      <c r="BF588" t="str">
        <f>HYPERLINK("http://dx.doi.org/10.1016/j.scs.2023.104817","http://dx.doi.org/10.1016/j.scs.2023.104817")</f>
        <v>http://dx.doi.org/10.1016/j.scs.2023.104817</v>
      </c>
      <c r="BG588" t="s">
        <v>74</v>
      </c>
      <c r="BH588" t="s">
        <v>74</v>
      </c>
      <c r="BI588">
        <v>12</v>
      </c>
      <c r="BJ588" t="s">
        <v>10730</v>
      </c>
      <c r="BK588" t="s">
        <v>100</v>
      </c>
      <c r="BL588" t="s">
        <v>10731</v>
      </c>
      <c r="BM588" t="s">
        <v>10732</v>
      </c>
      <c r="BN588" t="s">
        <v>74</v>
      </c>
      <c r="BO588" t="s">
        <v>74</v>
      </c>
      <c r="BP588" t="s">
        <v>74</v>
      </c>
      <c r="BQ588" t="s">
        <v>74</v>
      </c>
      <c r="BR588" t="s">
        <v>104</v>
      </c>
      <c r="BS588" t="s">
        <v>10733</v>
      </c>
      <c r="BT588" t="str">
        <f>HYPERLINK("https%3A%2F%2Fwww.webofscience.com%2Fwos%2Fwoscc%2Ffull-record%2FWOS:001047340200001","View Full Record in Web of Science")</f>
        <v>View Full Record in Web of Science</v>
      </c>
    </row>
    <row r="589" spans="1:72" x14ac:dyDescent="0.15">
      <c r="A589" t="s">
        <v>72</v>
      </c>
      <c r="B589" t="s">
        <v>10734</v>
      </c>
      <c r="C589" t="s">
        <v>74</v>
      </c>
      <c r="D589" t="s">
        <v>74</v>
      </c>
      <c r="E589" t="s">
        <v>74</v>
      </c>
      <c r="F589" t="s">
        <v>10735</v>
      </c>
      <c r="G589" t="s">
        <v>74</v>
      </c>
      <c r="H589" t="s">
        <v>74</v>
      </c>
      <c r="I589" t="s">
        <v>10736</v>
      </c>
      <c r="J589" t="s">
        <v>10737</v>
      </c>
      <c r="K589" t="s">
        <v>74</v>
      </c>
      <c r="L589" t="s">
        <v>74</v>
      </c>
      <c r="M589" t="s">
        <v>78</v>
      </c>
      <c r="N589" t="s">
        <v>79</v>
      </c>
      <c r="O589" t="s">
        <v>74</v>
      </c>
      <c r="P589" t="s">
        <v>74</v>
      </c>
      <c r="Q589" t="s">
        <v>74</v>
      </c>
      <c r="R589" t="s">
        <v>74</v>
      </c>
      <c r="S589" t="s">
        <v>74</v>
      </c>
      <c r="T589" t="s">
        <v>10738</v>
      </c>
      <c r="U589" t="s">
        <v>74</v>
      </c>
      <c r="V589" t="s">
        <v>10739</v>
      </c>
      <c r="W589" t="s">
        <v>10740</v>
      </c>
      <c r="X589" t="s">
        <v>10741</v>
      </c>
      <c r="Y589" t="s">
        <v>10742</v>
      </c>
      <c r="Z589" t="s">
        <v>10743</v>
      </c>
      <c r="AA589" t="s">
        <v>74</v>
      </c>
      <c r="AB589" t="s">
        <v>74</v>
      </c>
      <c r="AC589" t="s">
        <v>10744</v>
      </c>
      <c r="AD589" t="s">
        <v>10745</v>
      </c>
      <c r="AE589" t="s">
        <v>10746</v>
      </c>
      <c r="AF589" t="s">
        <v>74</v>
      </c>
      <c r="AG589">
        <v>46</v>
      </c>
      <c r="AH589">
        <v>0</v>
      </c>
      <c r="AI589">
        <v>0</v>
      </c>
      <c r="AJ589">
        <v>12</v>
      </c>
      <c r="AK589">
        <v>12</v>
      </c>
      <c r="AL589" t="s">
        <v>90</v>
      </c>
      <c r="AM589" t="s">
        <v>91</v>
      </c>
      <c r="AN589" t="s">
        <v>92</v>
      </c>
      <c r="AO589" t="s">
        <v>10747</v>
      </c>
      <c r="AP589" t="s">
        <v>10748</v>
      </c>
      <c r="AQ589" t="s">
        <v>74</v>
      </c>
      <c r="AR589" t="s">
        <v>10737</v>
      </c>
      <c r="AS589" t="s">
        <v>10749</v>
      </c>
      <c r="AT589" t="s">
        <v>6618</v>
      </c>
      <c r="AU589">
        <v>2023</v>
      </c>
      <c r="AV589">
        <v>116</v>
      </c>
      <c r="AW589" t="s">
        <v>74</v>
      </c>
      <c r="AX589" t="s">
        <v>74</v>
      </c>
      <c r="AY589" t="s">
        <v>74</v>
      </c>
      <c r="AZ589" t="s">
        <v>74</v>
      </c>
      <c r="BA589" t="s">
        <v>74</v>
      </c>
      <c r="BB589" t="s">
        <v>74</v>
      </c>
      <c r="BC589" t="s">
        <v>74</v>
      </c>
      <c r="BD589">
        <v>108758</v>
      </c>
      <c r="BE589" t="s">
        <v>10750</v>
      </c>
      <c r="BF589" t="str">
        <f>HYPERLINK("http://dx.doi.org/10.1016/j.nanoen.2023.108758","http://dx.doi.org/10.1016/j.nanoen.2023.108758")</f>
        <v>http://dx.doi.org/10.1016/j.nanoen.2023.108758</v>
      </c>
      <c r="BG589" t="s">
        <v>74</v>
      </c>
      <c r="BH589" t="s">
        <v>74</v>
      </c>
      <c r="BI589">
        <v>9</v>
      </c>
      <c r="BJ589" t="s">
        <v>10751</v>
      </c>
      <c r="BK589" t="s">
        <v>100</v>
      </c>
      <c r="BL589" t="s">
        <v>10752</v>
      </c>
      <c r="BM589" t="s">
        <v>10753</v>
      </c>
      <c r="BN589" t="s">
        <v>74</v>
      </c>
      <c r="BO589" t="s">
        <v>74</v>
      </c>
      <c r="BP589" t="s">
        <v>74</v>
      </c>
      <c r="BQ589" t="s">
        <v>74</v>
      </c>
      <c r="BR589" t="s">
        <v>104</v>
      </c>
      <c r="BS589" t="s">
        <v>10754</v>
      </c>
      <c r="BT589" t="str">
        <f>HYPERLINK("https%3A%2F%2Fwww.webofscience.com%2Fwos%2Fwoscc%2Ffull-record%2FWOS:001059078900001","View Full Record in Web of Science")</f>
        <v>View Full Record in Web of Science</v>
      </c>
    </row>
    <row r="590" spans="1:72" x14ac:dyDescent="0.15">
      <c r="A590" t="s">
        <v>72</v>
      </c>
      <c r="B590" t="s">
        <v>10755</v>
      </c>
      <c r="C590" t="s">
        <v>74</v>
      </c>
      <c r="D590" t="s">
        <v>74</v>
      </c>
      <c r="E590" t="s">
        <v>74</v>
      </c>
      <c r="F590" t="s">
        <v>10756</v>
      </c>
      <c r="G590" t="s">
        <v>74</v>
      </c>
      <c r="H590" t="s">
        <v>74</v>
      </c>
      <c r="I590" t="s">
        <v>10757</v>
      </c>
      <c r="J590" t="s">
        <v>7809</v>
      </c>
      <c r="K590" t="s">
        <v>74</v>
      </c>
      <c r="L590" t="s">
        <v>74</v>
      </c>
      <c r="M590" t="s">
        <v>78</v>
      </c>
      <c r="N590" t="s">
        <v>79</v>
      </c>
      <c r="O590" t="s">
        <v>74</v>
      </c>
      <c r="P590" t="s">
        <v>74</v>
      </c>
      <c r="Q590" t="s">
        <v>74</v>
      </c>
      <c r="R590" t="s">
        <v>74</v>
      </c>
      <c r="S590" t="s">
        <v>74</v>
      </c>
      <c r="T590" t="s">
        <v>10758</v>
      </c>
      <c r="U590" t="s">
        <v>10759</v>
      </c>
      <c r="V590" t="s">
        <v>10760</v>
      </c>
      <c r="W590" t="s">
        <v>10761</v>
      </c>
      <c r="X590" t="s">
        <v>10762</v>
      </c>
      <c r="Y590" t="s">
        <v>10763</v>
      </c>
      <c r="Z590" t="s">
        <v>10764</v>
      </c>
      <c r="AA590" t="s">
        <v>74</v>
      </c>
      <c r="AB590" t="s">
        <v>10765</v>
      </c>
      <c r="AC590" t="s">
        <v>10766</v>
      </c>
      <c r="AD590" t="s">
        <v>10767</v>
      </c>
      <c r="AE590" t="s">
        <v>10768</v>
      </c>
      <c r="AF590" t="s">
        <v>74</v>
      </c>
      <c r="AG590">
        <v>57</v>
      </c>
      <c r="AH590">
        <v>0</v>
      </c>
      <c r="AI590">
        <v>0</v>
      </c>
      <c r="AJ590">
        <v>38</v>
      </c>
      <c r="AK590">
        <v>38</v>
      </c>
      <c r="AL590" t="s">
        <v>90</v>
      </c>
      <c r="AM590" t="s">
        <v>91</v>
      </c>
      <c r="AN590" t="s">
        <v>92</v>
      </c>
      <c r="AO590" t="s">
        <v>7822</v>
      </c>
      <c r="AP590" t="s">
        <v>7823</v>
      </c>
      <c r="AQ590" t="s">
        <v>74</v>
      </c>
      <c r="AR590" t="s">
        <v>7809</v>
      </c>
      <c r="AS590" t="s">
        <v>7824</v>
      </c>
      <c r="AT590" t="s">
        <v>6618</v>
      </c>
      <c r="AU590">
        <v>2023</v>
      </c>
      <c r="AV590">
        <v>232</v>
      </c>
      <c r="AW590" t="s">
        <v>74</v>
      </c>
      <c r="AX590" t="s">
        <v>74</v>
      </c>
      <c r="AY590" t="s">
        <v>74</v>
      </c>
      <c r="AZ590" t="s">
        <v>74</v>
      </c>
      <c r="BA590" t="s">
        <v>74</v>
      </c>
      <c r="BB590" t="s">
        <v>74</v>
      </c>
      <c r="BC590" t="s">
        <v>74</v>
      </c>
      <c r="BD590">
        <v>107419</v>
      </c>
      <c r="BE590" t="s">
        <v>10769</v>
      </c>
      <c r="BF590" t="str">
        <f>HYPERLINK("http://dx.doi.org/10.1016/j.catena.2023.107419","http://dx.doi.org/10.1016/j.catena.2023.107419")</f>
        <v>http://dx.doi.org/10.1016/j.catena.2023.107419</v>
      </c>
      <c r="BG590" t="s">
        <v>74</v>
      </c>
      <c r="BH590" t="s">
        <v>74</v>
      </c>
      <c r="BI590">
        <v>9</v>
      </c>
      <c r="BJ590" t="s">
        <v>7826</v>
      </c>
      <c r="BK590" t="s">
        <v>100</v>
      </c>
      <c r="BL590" t="s">
        <v>7827</v>
      </c>
      <c r="BM590" t="s">
        <v>10770</v>
      </c>
      <c r="BN590" t="s">
        <v>74</v>
      </c>
      <c r="BO590" t="s">
        <v>74</v>
      </c>
      <c r="BP590" t="s">
        <v>74</v>
      </c>
      <c r="BQ590" t="s">
        <v>74</v>
      </c>
      <c r="BR590" t="s">
        <v>104</v>
      </c>
      <c r="BS590" t="s">
        <v>10771</v>
      </c>
      <c r="BT590" t="str">
        <f>HYPERLINK("https%3A%2F%2Fwww.webofscience.com%2Fwos%2Fwoscc%2Ffull-record%2FWOS:001047357800001","View Full Record in Web of Science")</f>
        <v>View Full Record in Web of Science</v>
      </c>
    </row>
    <row r="591" spans="1:72" x14ac:dyDescent="0.15">
      <c r="A591" t="s">
        <v>72</v>
      </c>
      <c r="B591" t="s">
        <v>10772</v>
      </c>
      <c r="C591" t="s">
        <v>74</v>
      </c>
      <c r="D591" t="s">
        <v>74</v>
      </c>
      <c r="E591" t="s">
        <v>74</v>
      </c>
      <c r="F591" t="s">
        <v>10773</v>
      </c>
      <c r="G591" t="s">
        <v>74</v>
      </c>
      <c r="H591" t="s">
        <v>74</v>
      </c>
      <c r="I591" t="s">
        <v>10774</v>
      </c>
      <c r="J591" t="s">
        <v>7689</v>
      </c>
      <c r="K591" t="s">
        <v>74</v>
      </c>
      <c r="L591" t="s">
        <v>74</v>
      </c>
      <c r="M591" t="s">
        <v>78</v>
      </c>
      <c r="N591" t="s">
        <v>79</v>
      </c>
      <c r="O591" t="s">
        <v>74</v>
      </c>
      <c r="P591" t="s">
        <v>74</v>
      </c>
      <c r="Q591" t="s">
        <v>74</v>
      </c>
      <c r="R591" t="s">
        <v>74</v>
      </c>
      <c r="S591" t="s">
        <v>74</v>
      </c>
      <c r="T591" t="s">
        <v>10775</v>
      </c>
      <c r="U591" t="s">
        <v>10776</v>
      </c>
      <c r="V591" t="s">
        <v>10777</v>
      </c>
      <c r="W591" t="s">
        <v>10778</v>
      </c>
      <c r="X591" t="s">
        <v>10779</v>
      </c>
      <c r="Y591" t="s">
        <v>10780</v>
      </c>
      <c r="Z591" t="s">
        <v>10781</v>
      </c>
      <c r="AA591" t="s">
        <v>74</v>
      </c>
      <c r="AB591" t="s">
        <v>10782</v>
      </c>
      <c r="AC591" t="s">
        <v>10783</v>
      </c>
      <c r="AD591" t="s">
        <v>10784</v>
      </c>
      <c r="AE591" t="s">
        <v>10785</v>
      </c>
      <c r="AF591" t="s">
        <v>74</v>
      </c>
      <c r="AG591">
        <v>75</v>
      </c>
      <c r="AH591">
        <v>0</v>
      </c>
      <c r="AI591">
        <v>0</v>
      </c>
      <c r="AJ591">
        <v>18</v>
      </c>
      <c r="AK591">
        <v>18</v>
      </c>
      <c r="AL591" t="s">
        <v>554</v>
      </c>
      <c r="AM591" t="s">
        <v>555</v>
      </c>
      <c r="AN591" t="s">
        <v>556</v>
      </c>
      <c r="AO591" t="s">
        <v>7697</v>
      </c>
      <c r="AP591" t="s">
        <v>7698</v>
      </c>
      <c r="AQ591" t="s">
        <v>74</v>
      </c>
      <c r="AR591" t="s">
        <v>7699</v>
      </c>
      <c r="AS591" t="s">
        <v>7700</v>
      </c>
      <c r="AT591" t="s">
        <v>6659</v>
      </c>
      <c r="AU591">
        <v>2023</v>
      </c>
      <c r="AV591">
        <v>345</v>
      </c>
      <c r="AW591" t="s">
        <v>74</v>
      </c>
      <c r="AX591" t="s">
        <v>74</v>
      </c>
      <c r="AY591" t="s">
        <v>74</v>
      </c>
      <c r="AZ591" t="s">
        <v>74</v>
      </c>
      <c r="BA591" t="s">
        <v>74</v>
      </c>
      <c r="BB591" t="s">
        <v>74</v>
      </c>
      <c r="BC591" t="s">
        <v>74</v>
      </c>
      <c r="BD591">
        <v>118710</v>
      </c>
      <c r="BE591" t="s">
        <v>10786</v>
      </c>
      <c r="BF591" t="str">
        <f>HYPERLINK("http://dx.doi.org/10.1016/j.jenvman.2023.118710","http://dx.doi.org/10.1016/j.jenvman.2023.118710")</f>
        <v>http://dx.doi.org/10.1016/j.jenvman.2023.118710</v>
      </c>
      <c r="BG591" t="s">
        <v>74</v>
      </c>
      <c r="BH591" t="s">
        <v>74</v>
      </c>
      <c r="BI591">
        <v>11</v>
      </c>
      <c r="BJ591" t="s">
        <v>1539</v>
      </c>
      <c r="BK591" t="s">
        <v>100</v>
      </c>
      <c r="BL591" t="s">
        <v>1540</v>
      </c>
      <c r="BM591" t="s">
        <v>10787</v>
      </c>
      <c r="BN591">
        <v>37536136</v>
      </c>
      <c r="BO591" t="s">
        <v>74</v>
      </c>
      <c r="BP591" t="s">
        <v>74</v>
      </c>
      <c r="BQ591" t="s">
        <v>74</v>
      </c>
      <c r="BR591" t="s">
        <v>104</v>
      </c>
      <c r="BS591" t="s">
        <v>10788</v>
      </c>
      <c r="BT591" t="str">
        <f>HYPERLINK("https%3A%2F%2Fwww.webofscience.com%2Fwos%2Fwoscc%2Ffull-record%2FWOS:001052598000001","View Full Record in Web of Science")</f>
        <v>View Full Record in Web of Science</v>
      </c>
    </row>
    <row r="592" spans="1:72" x14ac:dyDescent="0.15">
      <c r="A592" t="s">
        <v>72</v>
      </c>
      <c r="B592" t="s">
        <v>10789</v>
      </c>
      <c r="C592" t="s">
        <v>74</v>
      </c>
      <c r="D592" t="s">
        <v>74</v>
      </c>
      <c r="E592" t="s">
        <v>74</v>
      </c>
      <c r="F592" t="s">
        <v>10790</v>
      </c>
      <c r="G592" t="s">
        <v>74</v>
      </c>
      <c r="H592" t="s">
        <v>74</v>
      </c>
      <c r="I592" t="s">
        <v>10791</v>
      </c>
      <c r="J592" t="s">
        <v>3348</v>
      </c>
      <c r="K592" t="s">
        <v>74</v>
      </c>
      <c r="L592" t="s">
        <v>74</v>
      </c>
      <c r="M592" t="s">
        <v>78</v>
      </c>
      <c r="N592" t="s">
        <v>79</v>
      </c>
      <c r="O592" t="s">
        <v>74</v>
      </c>
      <c r="P592" t="s">
        <v>74</v>
      </c>
      <c r="Q592" t="s">
        <v>74</v>
      </c>
      <c r="R592" t="s">
        <v>74</v>
      </c>
      <c r="S592" t="s">
        <v>74</v>
      </c>
      <c r="T592" t="s">
        <v>10792</v>
      </c>
      <c r="U592" t="s">
        <v>10793</v>
      </c>
      <c r="V592" t="s">
        <v>10794</v>
      </c>
      <c r="W592" t="s">
        <v>10795</v>
      </c>
      <c r="X592" t="s">
        <v>10796</v>
      </c>
      <c r="Y592" t="s">
        <v>10797</v>
      </c>
      <c r="Z592" t="s">
        <v>10798</v>
      </c>
      <c r="AA592" t="s">
        <v>10799</v>
      </c>
      <c r="AB592" t="s">
        <v>10800</v>
      </c>
      <c r="AC592" t="s">
        <v>10801</v>
      </c>
      <c r="AD592" t="s">
        <v>10802</v>
      </c>
      <c r="AE592" t="s">
        <v>10803</v>
      </c>
      <c r="AF592" t="s">
        <v>74</v>
      </c>
      <c r="AG592">
        <v>50</v>
      </c>
      <c r="AH592">
        <v>0</v>
      </c>
      <c r="AI592">
        <v>0</v>
      </c>
      <c r="AJ592">
        <v>13</v>
      </c>
      <c r="AK592">
        <v>13</v>
      </c>
      <c r="AL592" t="s">
        <v>120</v>
      </c>
      <c r="AM592" t="s">
        <v>121</v>
      </c>
      <c r="AN592" t="s">
        <v>122</v>
      </c>
      <c r="AO592" t="s">
        <v>3358</v>
      </c>
      <c r="AP592" t="s">
        <v>3359</v>
      </c>
      <c r="AQ592" t="s">
        <v>74</v>
      </c>
      <c r="AR592" t="s">
        <v>3360</v>
      </c>
      <c r="AS592" t="s">
        <v>3361</v>
      </c>
      <c r="AT592" t="s">
        <v>6618</v>
      </c>
      <c r="AU592">
        <v>2023</v>
      </c>
      <c r="AV592">
        <v>43</v>
      </c>
      <c r="AW592">
        <v>14</v>
      </c>
      <c r="AX592" t="s">
        <v>74</v>
      </c>
      <c r="AY592" t="s">
        <v>74</v>
      </c>
      <c r="AZ592" t="s">
        <v>74</v>
      </c>
      <c r="BA592" t="s">
        <v>74</v>
      </c>
      <c r="BB592">
        <v>6170</v>
      </c>
      <c r="BC592">
        <v>6179</v>
      </c>
      <c r="BD592" t="s">
        <v>74</v>
      </c>
      <c r="BE592" t="s">
        <v>10804</v>
      </c>
      <c r="BF592" t="str">
        <f>HYPERLINK("http://dx.doi.org/10.1016/j.jeurceramsoc.2023.06.057","http://dx.doi.org/10.1016/j.jeurceramsoc.2023.06.057")</f>
        <v>http://dx.doi.org/10.1016/j.jeurceramsoc.2023.06.057</v>
      </c>
      <c r="BG592" t="s">
        <v>74</v>
      </c>
      <c r="BH592" t="s">
        <v>74</v>
      </c>
      <c r="BI592">
        <v>10</v>
      </c>
      <c r="BJ592" t="s">
        <v>3363</v>
      </c>
      <c r="BK592" t="s">
        <v>100</v>
      </c>
      <c r="BL592" t="s">
        <v>1112</v>
      </c>
      <c r="BM592" t="s">
        <v>10805</v>
      </c>
      <c r="BN592" t="s">
        <v>74</v>
      </c>
      <c r="BO592" t="s">
        <v>504</v>
      </c>
      <c r="BP592" t="s">
        <v>74</v>
      </c>
      <c r="BQ592" t="s">
        <v>74</v>
      </c>
      <c r="BR592" t="s">
        <v>104</v>
      </c>
      <c r="BS592" t="s">
        <v>10806</v>
      </c>
      <c r="BT592" t="str">
        <f>HYPERLINK("https%3A%2F%2Fwww.webofscience.com%2Fwos%2Fwoscc%2Ffull-record%2FWOS:001044469300001","View Full Record in Web of Science")</f>
        <v>View Full Record in Web of Science</v>
      </c>
    </row>
    <row r="593" spans="1:72" x14ac:dyDescent="0.15">
      <c r="A593" t="s">
        <v>72</v>
      </c>
      <c r="B593" t="s">
        <v>10807</v>
      </c>
      <c r="C593" t="s">
        <v>74</v>
      </c>
      <c r="D593" t="s">
        <v>74</v>
      </c>
      <c r="E593" t="s">
        <v>74</v>
      </c>
      <c r="F593" t="s">
        <v>10808</v>
      </c>
      <c r="G593" t="s">
        <v>74</v>
      </c>
      <c r="H593" t="s">
        <v>74</v>
      </c>
      <c r="I593" t="s">
        <v>10809</v>
      </c>
      <c r="J593" t="s">
        <v>8042</v>
      </c>
      <c r="K593" t="s">
        <v>74</v>
      </c>
      <c r="L593" t="s">
        <v>74</v>
      </c>
      <c r="M593" t="s">
        <v>78</v>
      </c>
      <c r="N593" t="s">
        <v>79</v>
      </c>
      <c r="O593" t="s">
        <v>74</v>
      </c>
      <c r="P593" t="s">
        <v>74</v>
      </c>
      <c r="Q593" t="s">
        <v>74</v>
      </c>
      <c r="R593" t="s">
        <v>74</v>
      </c>
      <c r="S593" t="s">
        <v>74</v>
      </c>
      <c r="T593" t="s">
        <v>10810</v>
      </c>
      <c r="U593" t="s">
        <v>10811</v>
      </c>
      <c r="V593" t="s">
        <v>10812</v>
      </c>
      <c r="W593" t="s">
        <v>10813</v>
      </c>
      <c r="X593" t="s">
        <v>10814</v>
      </c>
      <c r="Y593" t="s">
        <v>10815</v>
      </c>
      <c r="Z593" t="s">
        <v>10816</v>
      </c>
      <c r="AA593" t="s">
        <v>74</v>
      </c>
      <c r="AB593" t="s">
        <v>74</v>
      </c>
      <c r="AC593" t="s">
        <v>10817</v>
      </c>
      <c r="AD593" t="s">
        <v>10818</v>
      </c>
      <c r="AE593" t="s">
        <v>10819</v>
      </c>
      <c r="AF593" t="s">
        <v>74</v>
      </c>
      <c r="AG593">
        <v>63</v>
      </c>
      <c r="AH593">
        <v>0</v>
      </c>
      <c r="AI593">
        <v>0</v>
      </c>
      <c r="AJ593">
        <v>2</v>
      </c>
      <c r="AK593">
        <v>2</v>
      </c>
      <c r="AL593" t="s">
        <v>90</v>
      </c>
      <c r="AM593" t="s">
        <v>91</v>
      </c>
      <c r="AN593" t="s">
        <v>92</v>
      </c>
      <c r="AO593" t="s">
        <v>8054</v>
      </c>
      <c r="AP593" t="s">
        <v>8055</v>
      </c>
      <c r="AQ593" t="s">
        <v>74</v>
      </c>
      <c r="AR593" t="s">
        <v>8056</v>
      </c>
      <c r="AS593" t="s">
        <v>8057</v>
      </c>
      <c r="AT593" t="s">
        <v>6659</v>
      </c>
      <c r="AU593">
        <v>2023</v>
      </c>
      <c r="AV593">
        <v>340</v>
      </c>
      <c r="AW593" t="s">
        <v>74</v>
      </c>
      <c r="AX593" t="s">
        <v>74</v>
      </c>
      <c r="AY593" t="s">
        <v>74</v>
      </c>
      <c r="AZ593" t="s">
        <v>74</v>
      </c>
      <c r="BA593" t="s">
        <v>74</v>
      </c>
      <c r="BB593">
        <v>667</v>
      </c>
      <c r="BC593">
        <v>674</v>
      </c>
      <c r="BD593" t="s">
        <v>74</v>
      </c>
      <c r="BE593" t="s">
        <v>10820</v>
      </c>
      <c r="BF593" t="str">
        <f>HYPERLINK("http://dx.doi.org/10.1016/j.jad.2023.07.112","http://dx.doi.org/10.1016/j.jad.2023.07.112")</f>
        <v>http://dx.doi.org/10.1016/j.jad.2023.07.112</v>
      </c>
      <c r="BG593" t="s">
        <v>74</v>
      </c>
      <c r="BH593" t="s">
        <v>74</v>
      </c>
      <c r="BI593">
        <v>8</v>
      </c>
      <c r="BJ593" t="s">
        <v>8059</v>
      </c>
      <c r="BK593" t="s">
        <v>666</v>
      </c>
      <c r="BL593" t="s">
        <v>8060</v>
      </c>
      <c r="BM593" t="s">
        <v>10821</v>
      </c>
      <c r="BN593">
        <v>37543114</v>
      </c>
      <c r="BO593" t="s">
        <v>74</v>
      </c>
      <c r="BP593" t="s">
        <v>74</v>
      </c>
      <c r="BQ593" t="s">
        <v>74</v>
      </c>
      <c r="BR593" t="s">
        <v>104</v>
      </c>
      <c r="BS593" t="s">
        <v>10822</v>
      </c>
      <c r="BT593" t="str">
        <f>HYPERLINK("https%3A%2F%2Fwww.webofscience.com%2Fwos%2Fwoscc%2Ffull-record%2FWOS:001066920000001","View Full Record in Web of Science")</f>
        <v>View Full Record in Web of Science</v>
      </c>
    </row>
    <row r="594" spans="1:72" x14ac:dyDescent="0.15">
      <c r="A594" t="s">
        <v>72</v>
      </c>
      <c r="B594" t="s">
        <v>10823</v>
      </c>
      <c r="C594" t="s">
        <v>74</v>
      </c>
      <c r="D594" t="s">
        <v>74</v>
      </c>
      <c r="E594" t="s">
        <v>74</v>
      </c>
      <c r="F594" t="s">
        <v>10824</v>
      </c>
      <c r="G594" t="s">
        <v>74</v>
      </c>
      <c r="H594" t="s">
        <v>74</v>
      </c>
      <c r="I594" t="s">
        <v>10825</v>
      </c>
      <c r="J594" t="s">
        <v>8246</v>
      </c>
      <c r="K594" t="s">
        <v>74</v>
      </c>
      <c r="L594" t="s">
        <v>74</v>
      </c>
      <c r="M594" t="s">
        <v>78</v>
      </c>
      <c r="N594" t="s">
        <v>79</v>
      </c>
      <c r="O594" t="s">
        <v>74</v>
      </c>
      <c r="P594" t="s">
        <v>74</v>
      </c>
      <c r="Q594" t="s">
        <v>74</v>
      </c>
      <c r="R594" t="s">
        <v>74</v>
      </c>
      <c r="S594" t="s">
        <v>74</v>
      </c>
      <c r="T594" t="s">
        <v>10826</v>
      </c>
      <c r="U594" t="s">
        <v>10827</v>
      </c>
      <c r="V594" t="s">
        <v>10828</v>
      </c>
      <c r="W594" t="s">
        <v>10829</v>
      </c>
      <c r="X594" t="s">
        <v>10830</v>
      </c>
      <c r="Y594" t="s">
        <v>10831</v>
      </c>
      <c r="Z594" t="s">
        <v>10832</v>
      </c>
      <c r="AA594" t="s">
        <v>74</v>
      </c>
      <c r="AB594" t="s">
        <v>74</v>
      </c>
      <c r="AC594" t="s">
        <v>10833</v>
      </c>
      <c r="AD594" t="s">
        <v>171</v>
      </c>
      <c r="AE594" t="s">
        <v>10834</v>
      </c>
      <c r="AF594" t="s">
        <v>74</v>
      </c>
      <c r="AG594">
        <v>43</v>
      </c>
      <c r="AH594">
        <v>0</v>
      </c>
      <c r="AI594">
        <v>0</v>
      </c>
      <c r="AJ594">
        <v>0</v>
      </c>
      <c r="AK594">
        <v>0</v>
      </c>
      <c r="AL594" t="s">
        <v>173</v>
      </c>
      <c r="AM594" t="s">
        <v>121</v>
      </c>
      <c r="AN594" t="s">
        <v>174</v>
      </c>
      <c r="AO594" t="s">
        <v>8256</v>
      </c>
      <c r="AP594" t="s">
        <v>8257</v>
      </c>
      <c r="AQ594" t="s">
        <v>74</v>
      </c>
      <c r="AR594" t="s">
        <v>8258</v>
      </c>
      <c r="AS594" t="s">
        <v>8259</v>
      </c>
      <c r="AT594" t="s">
        <v>6618</v>
      </c>
      <c r="AU594">
        <v>2023</v>
      </c>
      <c r="AV594">
        <v>217</v>
      </c>
      <c r="AW594" t="s">
        <v>74</v>
      </c>
      <c r="AX594" t="s">
        <v>74</v>
      </c>
      <c r="AY594" t="s">
        <v>74</v>
      </c>
      <c r="AZ594" t="s">
        <v>74</v>
      </c>
      <c r="BA594" t="s">
        <v>74</v>
      </c>
      <c r="BB594" t="s">
        <v>74</v>
      </c>
      <c r="BC594" t="s">
        <v>74</v>
      </c>
      <c r="BD594">
        <v>119135</v>
      </c>
      <c r="BE594" t="s">
        <v>10835</v>
      </c>
      <c r="BF594" t="str">
        <f>HYPERLINK("http://dx.doi.org/10.1016/j.renene.2023.119135","http://dx.doi.org/10.1016/j.renene.2023.119135")</f>
        <v>http://dx.doi.org/10.1016/j.renene.2023.119135</v>
      </c>
      <c r="BG594" t="s">
        <v>74</v>
      </c>
      <c r="BH594" t="s">
        <v>74</v>
      </c>
      <c r="BI594">
        <v>11</v>
      </c>
      <c r="BJ594" t="s">
        <v>8261</v>
      </c>
      <c r="BK594" t="s">
        <v>100</v>
      </c>
      <c r="BL594" t="s">
        <v>8262</v>
      </c>
      <c r="BM594" t="s">
        <v>10836</v>
      </c>
      <c r="BN594" t="s">
        <v>74</v>
      </c>
      <c r="BO594" t="s">
        <v>74</v>
      </c>
      <c r="BP594" t="s">
        <v>74</v>
      </c>
      <c r="BQ594" t="s">
        <v>74</v>
      </c>
      <c r="BR594" t="s">
        <v>104</v>
      </c>
      <c r="BS594" t="s">
        <v>10837</v>
      </c>
      <c r="BT594" t="str">
        <f>HYPERLINK("https%3A%2F%2Fwww.webofscience.com%2Fwos%2Fwoscc%2Ffull-record%2FWOS:001065504700001","View Full Record in Web of Science")</f>
        <v>View Full Record in Web of Science</v>
      </c>
    </row>
    <row r="595" spans="1:72" x14ac:dyDescent="0.15">
      <c r="A595" t="s">
        <v>72</v>
      </c>
      <c r="B595" t="s">
        <v>10838</v>
      </c>
      <c r="C595" t="s">
        <v>74</v>
      </c>
      <c r="D595" t="s">
        <v>74</v>
      </c>
      <c r="E595" t="s">
        <v>74</v>
      </c>
      <c r="F595" t="s">
        <v>10839</v>
      </c>
      <c r="G595" t="s">
        <v>74</v>
      </c>
      <c r="H595" t="s">
        <v>74</v>
      </c>
      <c r="I595" t="s">
        <v>10840</v>
      </c>
      <c r="J595" t="s">
        <v>8946</v>
      </c>
      <c r="K595" t="s">
        <v>74</v>
      </c>
      <c r="L595" t="s">
        <v>74</v>
      </c>
      <c r="M595" t="s">
        <v>78</v>
      </c>
      <c r="N595" t="s">
        <v>79</v>
      </c>
      <c r="O595" t="s">
        <v>74</v>
      </c>
      <c r="P595" t="s">
        <v>74</v>
      </c>
      <c r="Q595" t="s">
        <v>74</v>
      </c>
      <c r="R595" t="s">
        <v>74</v>
      </c>
      <c r="S595" t="s">
        <v>74</v>
      </c>
      <c r="T595" t="s">
        <v>10841</v>
      </c>
      <c r="U595" t="s">
        <v>10842</v>
      </c>
      <c r="V595" t="s">
        <v>10843</v>
      </c>
      <c r="W595" t="s">
        <v>10844</v>
      </c>
      <c r="X595" t="s">
        <v>10845</v>
      </c>
      <c r="Y595" t="s">
        <v>10846</v>
      </c>
      <c r="Z595" t="s">
        <v>10847</v>
      </c>
      <c r="AA595" t="s">
        <v>74</v>
      </c>
      <c r="AB595" t="s">
        <v>74</v>
      </c>
      <c r="AC595" t="s">
        <v>10848</v>
      </c>
      <c r="AD595" t="s">
        <v>10849</v>
      </c>
      <c r="AE595" t="s">
        <v>10850</v>
      </c>
      <c r="AF595" t="s">
        <v>74</v>
      </c>
      <c r="AG595">
        <v>30</v>
      </c>
      <c r="AH595">
        <v>0</v>
      </c>
      <c r="AI595">
        <v>0</v>
      </c>
      <c r="AJ595">
        <v>0</v>
      </c>
      <c r="AK595">
        <v>0</v>
      </c>
      <c r="AL595" t="s">
        <v>120</v>
      </c>
      <c r="AM595" t="s">
        <v>121</v>
      </c>
      <c r="AN595" t="s">
        <v>122</v>
      </c>
      <c r="AO595" t="s">
        <v>8954</v>
      </c>
      <c r="AP595" t="s">
        <v>8955</v>
      </c>
      <c r="AQ595" t="s">
        <v>74</v>
      </c>
      <c r="AR595" t="s">
        <v>8956</v>
      </c>
      <c r="AS595" t="s">
        <v>8957</v>
      </c>
      <c r="AT595" t="s">
        <v>6618</v>
      </c>
      <c r="AU595">
        <v>2023</v>
      </c>
      <c r="AV595">
        <v>219</v>
      </c>
      <c r="AW595" t="s">
        <v>74</v>
      </c>
      <c r="AX595" t="s">
        <v>74</v>
      </c>
      <c r="AY595" t="s">
        <v>74</v>
      </c>
      <c r="AZ595" t="s">
        <v>74</v>
      </c>
      <c r="BA595" t="s">
        <v>74</v>
      </c>
      <c r="BB595" t="s">
        <v>74</v>
      </c>
      <c r="BC595" t="s">
        <v>74</v>
      </c>
      <c r="BD595">
        <v>111652</v>
      </c>
      <c r="BE595" t="s">
        <v>10851</v>
      </c>
      <c r="BF595" t="str">
        <f>HYPERLINK("http://dx.doi.org/10.1016/jdyepig.2023.111652","http://dx.doi.org/10.1016/jdyepig.2023.111652")</f>
        <v>http://dx.doi.org/10.1016/jdyepig.2023.111652</v>
      </c>
      <c r="BG595" t="s">
        <v>74</v>
      </c>
      <c r="BH595" t="s">
        <v>74</v>
      </c>
      <c r="BI595">
        <v>7</v>
      </c>
      <c r="BJ595" t="s">
        <v>8959</v>
      </c>
      <c r="BK595" t="s">
        <v>100</v>
      </c>
      <c r="BL595" t="s">
        <v>8960</v>
      </c>
      <c r="BM595" t="s">
        <v>10852</v>
      </c>
      <c r="BN595" t="s">
        <v>74</v>
      </c>
      <c r="BO595" t="s">
        <v>74</v>
      </c>
      <c r="BP595" t="s">
        <v>74</v>
      </c>
      <c r="BQ595" t="s">
        <v>74</v>
      </c>
      <c r="BR595" t="s">
        <v>104</v>
      </c>
      <c r="BS595" t="s">
        <v>10853</v>
      </c>
      <c r="BT595" t="str">
        <f>HYPERLINK("https%3A%2F%2Fwww.webofscience.com%2Fwos%2Fwoscc%2Ffull-record%2FWOS:001069926700001","View Full Record in Web of Science")</f>
        <v>View Full Record in Web of Science</v>
      </c>
    </row>
    <row r="596" spans="1:72" x14ac:dyDescent="0.15">
      <c r="A596" t="s">
        <v>72</v>
      </c>
      <c r="B596" t="s">
        <v>10854</v>
      </c>
      <c r="C596" t="s">
        <v>74</v>
      </c>
      <c r="D596" t="s">
        <v>74</v>
      </c>
      <c r="E596" t="s">
        <v>74</v>
      </c>
      <c r="F596" t="s">
        <v>10855</v>
      </c>
      <c r="G596" t="s">
        <v>74</v>
      </c>
      <c r="H596" t="s">
        <v>74</v>
      </c>
      <c r="I596" t="s">
        <v>10856</v>
      </c>
      <c r="J596" t="s">
        <v>10857</v>
      </c>
      <c r="K596" t="s">
        <v>74</v>
      </c>
      <c r="L596" t="s">
        <v>74</v>
      </c>
      <c r="M596" t="s">
        <v>78</v>
      </c>
      <c r="N596" t="s">
        <v>79</v>
      </c>
      <c r="O596" t="s">
        <v>74</v>
      </c>
      <c r="P596" t="s">
        <v>74</v>
      </c>
      <c r="Q596" t="s">
        <v>74</v>
      </c>
      <c r="R596" t="s">
        <v>74</v>
      </c>
      <c r="S596" t="s">
        <v>74</v>
      </c>
      <c r="T596" t="s">
        <v>10858</v>
      </c>
      <c r="U596" t="s">
        <v>10859</v>
      </c>
      <c r="V596" t="s">
        <v>10860</v>
      </c>
      <c r="W596" t="s">
        <v>10861</v>
      </c>
      <c r="X596" t="s">
        <v>10862</v>
      </c>
      <c r="Y596" t="s">
        <v>10863</v>
      </c>
      <c r="Z596" t="s">
        <v>10864</v>
      </c>
      <c r="AA596" t="s">
        <v>74</v>
      </c>
      <c r="AB596" t="s">
        <v>74</v>
      </c>
      <c r="AC596" t="s">
        <v>74</v>
      </c>
      <c r="AD596" t="s">
        <v>74</v>
      </c>
      <c r="AE596" t="s">
        <v>74</v>
      </c>
      <c r="AF596" t="s">
        <v>74</v>
      </c>
      <c r="AG596">
        <v>64</v>
      </c>
      <c r="AH596">
        <v>0</v>
      </c>
      <c r="AI596">
        <v>0</v>
      </c>
      <c r="AJ596">
        <v>3</v>
      </c>
      <c r="AK596">
        <v>3</v>
      </c>
      <c r="AL596" t="s">
        <v>90</v>
      </c>
      <c r="AM596" t="s">
        <v>91</v>
      </c>
      <c r="AN596" t="s">
        <v>92</v>
      </c>
      <c r="AO596" t="s">
        <v>10865</v>
      </c>
      <c r="AP596" t="s">
        <v>10866</v>
      </c>
      <c r="AQ596" t="s">
        <v>74</v>
      </c>
      <c r="AR596" t="s">
        <v>10867</v>
      </c>
      <c r="AS596" t="s">
        <v>10868</v>
      </c>
      <c r="AT596" t="s">
        <v>6618</v>
      </c>
      <c r="AU596">
        <v>2023</v>
      </c>
      <c r="AV596">
        <v>265</v>
      </c>
      <c r="AW596" t="s">
        <v>74</v>
      </c>
      <c r="AX596" t="s">
        <v>74</v>
      </c>
      <c r="AY596" t="s">
        <v>74</v>
      </c>
      <c r="AZ596" t="s">
        <v>74</v>
      </c>
      <c r="BA596" t="s">
        <v>74</v>
      </c>
      <c r="BB596" t="s">
        <v>74</v>
      </c>
      <c r="BC596" t="s">
        <v>74</v>
      </c>
      <c r="BD596">
        <v>108986</v>
      </c>
      <c r="BE596" t="s">
        <v>10869</v>
      </c>
      <c r="BF596" t="str">
        <f>HYPERLINK("http://dx.doi.org/10.1016/j.ijpe.2023.108986","http://dx.doi.org/10.1016/j.ijpe.2023.108986")</f>
        <v>http://dx.doi.org/10.1016/j.ijpe.2023.108986</v>
      </c>
      <c r="BG596" t="s">
        <v>74</v>
      </c>
      <c r="BH596" t="s">
        <v>74</v>
      </c>
      <c r="BI596">
        <v>21</v>
      </c>
      <c r="BJ596" t="s">
        <v>10870</v>
      </c>
      <c r="BK596" t="s">
        <v>100</v>
      </c>
      <c r="BL596" t="s">
        <v>3320</v>
      </c>
      <c r="BM596" t="s">
        <v>10871</v>
      </c>
      <c r="BN596" t="s">
        <v>74</v>
      </c>
      <c r="BO596" t="s">
        <v>74</v>
      </c>
      <c r="BP596" t="s">
        <v>74</v>
      </c>
      <c r="BQ596" t="s">
        <v>74</v>
      </c>
      <c r="BR596" t="s">
        <v>104</v>
      </c>
      <c r="BS596" t="s">
        <v>10872</v>
      </c>
      <c r="BT596" t="str">
        <f>HYPERLINK("https%3A%2F%2Fwww.webofscience.com%2Fwos%2Fwoscc%2Ffull-record%2FWOS:001065927800001","View Full Record in Web of Science")</f>
        <v>View Full Record in Web of Science</v>
      </c>
    </row>
    <row r="597" spans="1:72" x14ac:dyDescent="0.15">
      <c r="A597" t="s">
        <v>72</v>
      </c>
      <c r="B597" t="s">
        <v>10873</v>
      </c>
      <c r="C597" t="s">
        <v>74</v>
      </c>
      <c r="D597" t="s">
        <v>74</v>
      </c>
      <c r="E597" t="s">
        <v>74</v>
      </c>
      <c r="F597" t="s">
        <v>10874</v>
      </c>
      <c r="G597" t="s">
        <v>74</v>
      </c>
      <c r="H597" t="s">
        <v>74</v>
      </c>
      <c r="I597" t="s">
        <v>10875</v>
      </c>
      <c r="J597" t="s">
        <v>10182</v>
      </c>
      <c r="K597" t="s">
        <v>74</v>
      </c>
      <c r="L597" t="s">
        <v>74</v>
      </c>
      <c r="M597" t="s">
        <v>78</v>
      </c>
      <c r="N597" t="s">
        <v>79</v>
      </c>
      <c r="O597" t="s">
        <v>74</v>
      </c>
      <c r="P597" t="s">
        <v>74</v>
      </c>
      <c r="Q597" t="s">
        <v>74</v>
      </c>
      <c r="R597" t="s">
        <v>74</v>
      </c>
      <c r="S597" t="s">
        <v>74</v>
      </c>
      <c r="T597" t="s">
        <v>10876</v>
      </c>
      <c r="U597" t="s">
        <v>10877</v>
      </c>
      <c r="V597" t="s">
        <v>10878</v>
      </c>
      <c r="W597" t="s">
        <v>10879</v>
      </c>
      <c r="X597" t="s">
        <v>10880</v>
      </c>
      <c r="Y597" t="s">
        <v>10881</v>
      </c>
      <c r="Z597" t="s">
        <v>10882</v>
      </c>
      <c r="AA597" t="s">
        <v>10883</v>
      </c>
      <c r="AB597" t="s">
        <v>10884</v>
      </c>
      <c r="AC597" t="s">
        <v>10885</v>
      </c>
      <c r="AD597" t="s">
        <v>10886</v>
      </c>
      <c r="AE597" t="s">
        <v>10887</v>
      </c>
      <c r="AF597" t="s">
        <v>74</v>
      </c>
      <c r="AG597">
        <v>25</v>
      </c>
      <c r="AH597">
        <v>0</v>
      </c>
      <c r="AI597">
        <v>0</v>
      </c>
      <c r="AJ597">
        <v>0</v>
      </c>
      <c r="AK597">
        <v>0</v>
      </c>
      <c r="AL597" t="s">
        <v>120</v>
      </c>
      <c r="AM597" t="s">
        <v>121</v>
      </c>
      <c r="AN597" t="s">
        <v>122</v>
      </c>
      <c r="AO597" t="s">
        <v>10193</v>
      </c>
      <c r="AP597" t="s">
        <v>10194</v>
      </c>
      <c r="AQ597" t="s">
        <v>74</v>
      </c>
      <c r="AR597" t="s">
        <v>10182</v>
      </c>
      <c r="AS597" t="s">
        <v>10195</v>
      </c>
      <c r="AT597" t="s">
        <v>6618</v>
      </c>
      <c r="AU597">
        <v>2023</v>
      </c>
      <c r="AV597">
        <v>162</v>
      </c>
      <c r="AW597" t="s">
        <v>74</v>
      </c>
      <c r="AX597" t="s">
        <v>74</v>
      </c>
      <c r="AY597" t="s">
        <v>74</v>
      </c>
      <c r="AZ597" t="s">
        <v>74</v>
      </c>
      <c r="BA597" t="s">
        <v>74</v>
      </c>
      <c r="BB597" t="s">
        <v>74</v>
      </c>
      <c r="BC597" t="s">
        <v>74</v>
      </c>
      <c r="BD597">
        <v>108001</v>
      </c>
      <c r="BE597" t="s">
        <v>10888</v>
      </c>
      <c r="BF597" t="str">
        <f>HYPERLINK("http://dx.doi.org/10.1016/j.intermet.2023.108001","http://dx.doi.org/10.1016/j.intermet.2023.108001")</f>
        <v>http://dx.doi.org/10.1016/j.intermet.2023.108001</v>
      </c>
      <c r="BG597" t="s">
        <v>74</v>
      </c>
      <c r="BH597" t="s">
        <v>74</v>
      </c>
      <c r="BI597">
        <v>5</v>
      </c>
      <c r="BJ597" t="s">
        <v>2118</v>
      </c>
      <c r="BK597" t="s">
        <v>100</v>
      </c>
      <c r="BL597" t="s">
        <v>2119</v>
      </c>
      <c r="BM597" t="s">
        <v>10889</v>
      </c>
      <c r="BN597" t="s">
        <v>74</v>
      </c>
      <c r="BO597" t="s">
        <v>74</v>
      </c>
      <c r="BP597" t="s">
        <v>74</v>
      </c>
      <c r="BQ597" t="s">
        <v>74</v>
      </c>
      <c r="BR597" t="s">
        <v>104</v>
      </c>
      <c r="BS597" t="s">
        <v>10890</v>
      </c>
      <c r="BT597" t="str">
        <f>HYPERLINK("https%3A%2F%2Fwww.webofscience.com%2Fwos%2Fwoscc%2Ffull-record%2FWOS:001059792400001","View Full Record in Web of Science")</f>
        <v>View Full Record in Web of Science</v>
      </c>
    </row>
    <row r="598" spans="1:72" x14ac:dyDescent="0.15">
      <c r="A598" t="s">
        <v>72</v>
      </c>
      <c r="B598" t="s">
        <v>10891</v>
      </c>
      <c r="C598" t="s">
        <v>74</v>
      </c>
      <c r="D598" t="s">
        <v>74</v>
      </c>
      <c r="E598" t="s">
        <v>74</v>
      </c>
      <c r="F598" t="s">
        <v>10892</v>
      </c>
      <c r="G598" t="s">
        <v>74</v>
      </c>
      <c r="H598" t="s">
        <v>74</v>
      </c>
      <c r="I598" t="s">
        <v>10893</v>
      </c>
      <c r="J598" t="s">
        <v>8268</v>
      </c>
      <c r="K598" t="s">
        <v>74</v>
      </c>
      <c r="L598" t="s">
        <v>74</v>
      </c>
      <c r="M598" t="s">
        <v>78</v>
      </c>
      <c r="N598" t="s">
        <v>79</v>
      </c>
      <c r="O598" t="s">
        <v>74</v>
      </c>
      <c r="P598" t="s">
        <v>74</v>
      </c>
      <c r="Q598" t="s">
        <v>74</v>
      </c>
      <c r="R598" t="s">
        <v>74</v>
      </c>
      <c r="S598" t="s">
        <v>74</v>
      </c>
      <c r="T598" t="s">
        <v>10894</v>
      </c>
      <c r="U598" t="s">
        <v>10895</v>
      </c>
      <c r="V598" t="s">
        <v>10896</v>
      </c>
      <c r="W598" t="s">
        <v>10897</v>
      </c>
      <c r="X598" t="s">
        <v>10898</v>
      </c>
      <c r="Y598" t="s">
        <v>10899</v>
      </c>
      <c r="Z598" t="s">
        <v>10900</v>
      </c>
      <c r="AA598" t="s">
        <v>74</v>
      </c>
      <c r="AB598" t="s">
        <v>74</v>
      </c>
      <c r="AC598" t="s">
        <v>10901</v>
      </c>
      <c r="AD598" t="s">
        <v>10902</v>
      </c>
      <c r="AE598" t="s">
        <v>10903</v>
      </c>
      <c r="AF598" t="s">
        <v>74</v>
      </c>
      <c r="AG598">
        <v>41</v>
      </c>
      <c r="AH598">
        <v>0</v>
      </c>
      <c r="AI598">
        <v>0</v>
      </c>
      <c r="AJ598">
        <v>6</v>
      </c>
      <c r="AK598">
        <v>6</v>
      </c>
      <c r="AL598" t="s">
        <v>90</v>
      </c>
      <c r="AM598" t="s">
        <v>91</v>
      </c>
      <c r="AN598" t="s">
        <v>92</v>
      </c>
      <c r="AO598" t="s">
        <v>8279</v>
      </c>
      <c r="AP598" t="s">
        <v>8280</v>
      </c>
      <c r="AQ598" t="s">
        <v>74</v>
      </c>
      <c r="AR598" t="s">
        <v>8281</v>
      </c>
      <c r="AS598" t="s">
        <v>8282</v>
      </c>
      <c r="AT598" t="s">
        <v>6659</v>
      </c>
      <c r="AU598">
        <v>2023</v>
      </c>
      <c r="AV598">
        <v>321</v>
      </c>
      <c r="AW598" t="s">
        <v>74</v>
      </c>
      <c r="AX598" t="s">
        <v>74</v>
      </c>
      <c r="AY598" t="s">
        <v>74</v>
      </c>
      <c r="AZ598" t="s">
        <v>74</v>
      </c>
      <c r="BA598" t="s">
        <v>74</v>
      </c>
      <c r="BB598" t="s">
        <v>74</v>
      </c>
      <c r="BC598" t="s">
        <v>74</v>
      </c>
      <c r="BD598">
        <v>112376</v>
      </c>
      <c r="BE598" t="s">
        <v>10904</v>
      </c>
      <c r="BF598" t="str">
        <f>HYPERLINK("http://dx.doi.org/10.1016/j.scienta.2023.112376","http://dx.doi.org/10.1016/j.scienta.2023.112376")</f>
        <v>http://dx.doi.org/10.1016/j.scienta.2023.112376</v>
      </c>
      <c r="BG598" t="s">
        <v>74</v>
      </c>
      <c r="BH598" t="s">
        <v>74</v>
      </c>
      <c r="BI598">
        <v>13</v>
      </c>
      <c r="BJ598" t="s">
        <v>8284</v>
      </c>
      <c r="BK598" t="s">
        <v>100</v>
      </c>
      <c r="BL598" t="s">
        <v>3447</v>
      </c>
      <c r="BM598" t="s">
        <v>10905</v>
      </c>
      <c r="BN598" t="s">
        <v>74</v>
      </c>
      <c r="BO598" t="s">
        <v>74</v>
      </c>
      <c r="BP598" t="s">
        <v>74</v>
      </c>
      <c r="BQ598" t="s">
        <v>74</v>
      </c>
      <c r="BR598" t="s">
        <v>104</v>
      </c>
      <c r="BS598" t="s">
        <v>10906</v>
      </c>
      <c r="BT598" t="str">
        <f>HYPERLINK("https%3A%2F%2Fwww.webofscience.com%2Fwos%2Fwoscc%2Ffull-record%2FWOS:001051952600001","View Full Record in Web of Science")</f>
        <v>View Full Record in Web of Science</v>
      </c>
    </row>
    <row r="599" spans="1:72" x14ac:dyDescent="0.15">
      <c r="A599" t="s">
        <v>72</v>
      </c>
      <c r="B599" t="s">
        <v>10907</v>
      </c>
      <c r="C599" t="s">
        <v>74</v>
      </c>
      <c r="D599" t="s">
        <v>74</v>
      </c>
      <c r="E599" t="s">
        <v>74</v>
      </c>
      <c r="F599" t="s">
        <v>10908</v>
      </c>
      <c r="G599" t="s">
        <v>74</v>
      </c>
      <c r="H599" t="s">
        <v>74</v>
      </c>
      <c r="I599" t="s">
        <v>10909</v>
      </c>
      <c r="J599" t="s">
        <v>4371</v>
      </c>
      <c r="K599" t="s">
        <v>74</v>
      </c>
      <c r="L599" t="s">
        <v>74</v>
      </c>
      <c r="M599" t="s">
        <v>78</v>
      </c>
      <c r="N599" t="s">
        <v>79</v>
      </c>
      <c r="O599" t="s">
        <v>74</v>
      </c>
      <c r="P599" t="s">
        <v>74</v>
      </c>
      <c r="Q599" t="s">
        <v>74</v>
      </c>
      <c r="R599" t="s">
        <v>74</v>
      </c>
      <c r="S599" t="s">
        <v>74</v>
      </c>
      <c r="T599" t="s">
        <v>10910</v>
      </c>
      <c r="U599" t="s">
        <v>10911</v>
      </c>
      <c r="V599" t="s">
        <v>10912</v>
      </c>
      <c r="W599" t="s">
        <v>10913</v>
      </c>
      <c r="X599" t="s">
        <v>10914</v>
      </c>
      <c r="Y599" t="s">
        <v>10915</v>
      </c>
      <c r="Z599" t="s">
        <v>10916</v>
      </c>
      <c r="AA599" t="s">
        <v>74</v>
      </c>
      <c r="AB599" t="s">
        <v>74</v>
      </c>
      <c r="AC599" t="s">
        <v>10917</v>
      </c>
      <c r="AD599" t="s">
        <v>10918</v>
      </c>
      <c r="AE599" t="s">
        <v>10919</v>
      </c>
      <c r="AF599" t="s">
        <v>74</v>
      </c>
      <c r="AG599">
        <v>54</v>
      </c>
      <c r="AH599">
        <v>0</v>
      </c>
      <c r="AI599">
        <v>0</v>
      </c>
      <c r="AJ599">
        <v>1</v>
      </c>
      <c r="AK599">
        <v>1</v>
      </c>
      <c r="AL599" t="s">
        <v>90</v>
      </c>
      <c r="AM599" t="s">
        <v>91</v>
      </c>
      <c r="AN599" t="s">
        <v>92</v>
      </c>
      <c r="AO599" t="s">
        <v>4381</v>
      </c>
      <c r="AP599" t="s">
        <v>4382</v>
      </c>
      <c r="AQ599" t="s">
        <v>74</v>
      </c>
      <c r="AR599" t="s">
        <v>4383</v>
      </c>
      <c r="AS599" t="s">
        <v>4384</v>
      </c>
      <c r="AT599" t="s">
        <v>6618</v>
      </c>
      <c r="AU599">
        <v>2023</v>
      </c>
      <c r="AV599">
        <v>585</v>
      </c>
      <c r="AW599" t="s">
        <v>74</v>
      </c>
      <c r="AX599" t="s">
        <v>74</v>
      </c>
      <c r="AY599" t="s">
        <v>74</v>
      </c>
      <c r="AZ599" t="s">
        <v>74</v>
      </c>
      <c r="BA599" t="s">
        <v>74</v>
      </c>
      <c r="BB599" t="s">
        <v>74</v>
      </c>
      <c r="BC599" t="s">
        <v>74</v>
      </c>
      <c r="BD599">
        <v>154655</v>
      </c>
      <c r="BE599" t="s">
        <v>10920</v>
      </c>
      <c r="BF599" t="str">
        <f>HYPERLINK("http://dx.doi.org/10.1016/j.jnucmat.2023.154655","http://dx.doi.org/10.1016/j.jnucmat.2023.154655")</f>
        <v>http://dx.doi.org/10.1016/j.jnucmat.2023.154655</v>
      </c>
      <c r="BG599" t="s">
        <v>74</v>
      </c>
      <c r="BH599" t="s">
        <v>74</v>
      </c>
      <c r="BI599">
        <v>12</v>
      </c>
      <c r="BJ599" t="s">
        <v>4386</v>
      </c>
      <c r="BK599" t="s">
        <v>100</v>
      </c>
      <c r="BL599" t="s">
        <v>4387</v>
      </c>
      <c r="BM599" t="s">
        <v>10921</v>
      </c>
      <c r="BN599" t="s">
        <v>74</v>
      </c>
      <c r="BO599" t="s">
        <v>295</v>
      </c>
      <c r="BP599" t="s">
        <v>74</v>
      </c>
      <c r="BQ599" t="s">
        <v>74</v>
      </c>
      <c r="BR599" t="s">
        <v>104</v>
      </c>
      <c r="BS599" t="s">
        <v>10922</v>
      </c>
      <c r="BT599" t="str">
        <f>HYPERLINK("https%3A%2F%2Fwww.webofscience.com%2Fwos%2Fwoscc%2Ffull-record%2FWOS:001049541300001","View Full Record in Web of Science")</f>
        <v>View Full Record in Web of Science</v>
      </c>
    </row>
    <row r="600" spans="1:72" x14ac:dyDescent="0.15">
      <c r="A600" t="s">
        <v>72</v>
      </c>
      <c r="B600" t="s">
        <v>10923</v>
      </c>
      <c r="C600" t="s">
        <v>74</v>
      </c>
      <c r="D600" t="s">
        <v>74</v>
      </c>
      <c r="E600" t="s">
        <v>74</v>
      </c>
      <c r="F600" t="s">
        <v>10924</v>
      </c>
      <c r="G600" t="s">
        <v>74</v>
      </c>
      <c r="H600" t="s">
        <v>74</v>
      </c>
      <c r="I600" t="s">
        <v>10925</v>
      </c>
      <c r="J600" t="s">
        <v>10926</v>
      </c>
      <c r="K600" t="s">
        <v>74</v>
      </c>
      <c r="L600" t="s">
        <v>74</v>
      </c>
      <c r="M600" t="s">
        <v>78</v>
      </c>
      <c r="N600" t="s">
        <v>79</v>
      </c>
      <c r="O600" t="s">
        <v>74</v>
      </c>
      <c r="P600" t="s">
        <v>74</v>
      </c>
      <c r="Q600" t="s">
        <v>74</v>
      </c>
      <c r="R600" t="s">
        <v>74</v>
      </c>
      <c r="S600" t="s">
        <v>74</v>
      </c>
      <c r="T600" t="s">
        <v>10927</v>
      </c>
      <c r="U600" t="s">
        <v>10928</v>
      </c>
      <c r="V600" t="s">
        <v>10929</v>
      </c>
      <c r="W600" t="s">
        <v>10930</v>
      </c>
      <c r="X600" t="s">
        <v>1406</v>
      </c>
      <c r="Y600" t="s">
        <v>10931</v>
      </c>
      <c r="Z600" t="s">
        <v>10932</v>
      </c>
      <c r="AA600" t="s">
        <v>74</v>
      </c>
      <c r="AB600" t="s">
        <v>74</v>
      </c>
      <c r="AC600" t="s">
        <v>10933</v>
      </c>
      <c r="AD600" t="s">
        <v>10934</v>
      </c>
      <c r="AE600" t="s">
        <v>10935</v>
      </c>
      <c r="AF600" t="s">
        <v>74</v>
      </c>
      <c r="AG600">
        <v>51</v>
      </c>
      <c r="AH600">
        <v>0</v>
      </c>
      <c r="AI600">
        <v>0</v>
      </c>
      <c r="AJ600">
        <v>2</v>
      </c>
      <c r="AK600">
        <v>2</v>
      </c>
      <c r="AL600" t="s">
        <v>90</v>
      </c>
      <c r="AM600" t="s">
        <v>91</v>
      </c>
      <c r="AN600" t="s">
        <v>92</v>
      </c>
      <c r="AO600" t="s">
        <v>10936</v>
      </c>
      <c r="AP600" t="s">
        <v>10937</v>
      </c>
      <c r="AQ600" t="s">
        <v>74</v>
      </c>
      <c r="AR600" t="s">
        <v>10938</v>
      </c>
      <c r="AS600" t="s">
        <v>10939</v>
      </c>
      <c r="AT600" t="s">
        <v>6659</v>
      </c>
      <c r="AU600">
        <v>2023</v>
      </c>
      <c r="AV600">
        <v>150</v>
      </c>
      <c r="AW600" t="s">
        <v>74</v>
      </c>
      <c r="AX600" t="s">
        <v>74</v>
      </c>
      <c r="AY600" t="s">
        <v>74</v>
      </c>
      <c r="AZ600" t="s">
        <v>74</v>
      </c>
      <c r="BA600" t="s">
        <v>74</v>
      </c>
      <c r="BB600" t="s">
        <v>74</v>
      </c>
      <c r="BC600" t="s">
        <v>74</v>
      </c>
      <c r="BD600">
        <v>103267</v>
      </c>
      <c r="BE600" t="s">
        <v>10940</v>
      </c>
      <c r="BF600" t="str">
        <f>HYPERLINK("http://dx.doi.org/10.1016/j.adhoc.2023.103267","http://dx.doi.org/10.1016/j.adhoc.2023.103267")</f>
        <v>http://dx.doi.org/10.1016/j.adhoc.2023.103267</v>
      </c>
      <c r="BG600" t="s">
        <v>74</v>
      </c>
      <c r="BH600" t="s">
        <v>74</v>
      </c>
      <c r="BI600">
        <v>12</v>
      </c>
      <c r="BJ600" t="s">
        <v>10941</v>
      </c>
      <c r="BK600" t="s">
        <v>100</v>
      </c>
      <c r="BL600" t="s">
        <v>10942</v>
      </c>
      <c r="BM600" t="s">
        <v>10943</v>
      </c>
      <c r="BN600" t="s">
        <v>74</v>
      </c>
      <c r="BO600" t="s">
        <v>295</v>
      </c>
      <c r="BP600" t="s">
        <v>74</v>
      </c>
      <c r="BQ600" t="s">
        <v>74</v>
      </c>
      <c r="BR600" t="s">
        <v>104</v>
      </c>
      <c r="BS600" t="s">
        <v>10944</v>
      </c>
      <c r="BT600" t="str">
        <f>HYPERLINK("https%3A%2F%2Fwww.webofscience.com%2Fwos%2Fwoscc%2Ffull-record%2FWOS:001061601700001","View Full Record in Web of Science")</f>
        <v>View Full Record in Web of Science</v>
      </c>
    </row>
    <row r="601" spans="1:72" x14ac:dyDescent="0.15">
      <c r="A601" t="s">
        <v>72</v>
      </c>
      <c r="B601" t="s">
        <v>10945</v>
      </c>
      <c r="C601" t="s">
        <v>74</v>
      </c>
      <c r="D601" t="s">
        <v>74</v>
      </c>
      <c r="E601" t="s">
        <v>74</v>
      </c>
      <c r="F601" t="s">
        <v>10946</v>
      </c>
      <c r="G601" t="s">
        <v>74</v>
      </c>
      <c r="H601" t="s">
        <v>74</v>
      </c>
      <c r="I601" t="s">
        <v>10947</v>
      </c>
      <c r="J601" t="s">
        <v>3786</v>
      </c>
      <c r="K601" t="s">
        <v>74</v>
      </c>
      <c r="L601" t="s">
        <v>74</v>
      </c>
      <c r="M601" t="s">
        <v>78</v>
      </c>
      <c r="N601" t="s">
        <v>79</v>
      </c>
      <c r="O601" t="s">
        <v>74</v>
      </c>
      <c r="P601" t="s">
        <v>74</v>
      </c>
      <c r="Q601" t="s">
        <v>74</v>
      </c>
      <c r="R601" t="s">
        <v>74</v>
      </c>
      <c r="S601" t="s">
        <v>74</v>
      </c>
      <c r="T601" t="s">
        <v>10948</v>
      </c>
      <c r="U601" t="s">
        <v>10949</v>
      </c>
      <c r="V601" t="s">
        <v>10950</v>
      </c>
      <c r="W601" t="s">
        <v>10951</v>
      </c>
      <c r="X601" t="s">
        <v>10952</v>
      </c>
      <c r="Y601" t="s">
        <v>10953</v>
      </c>
      <c r="Z601" t="s">
        <v>10954</v>
      </c>
      <c r="AA601" t="s">
        <v>10955</v>
      </c>
      <c r="AB601" t="s">
        <v>10956</v>
      </c>
      <c r="AC601" t="s">
        <v>10957</v>
      </c>
      <c r="AD601" t="s">
        <v>10958</v>
      </c>
      <c r="AE601" t="s">
        <v>10959</v>
      </c>
      <c r="AF601" t="s">
        <v>74</v>
      </c>
      <c r="AG601">
        <v>82</v>
      </c>
      <c r="AH601">
        <v>0</v>
      </c>
      <c r="AI601">
        <v>0</v>
      </c>
      <c r="AJ601">
        <v>4</v>
      </c>
      <c r="AK601">
        <v>4</v>
      </c>
      <c r="AL601" t="s">
        <v>90</v>
      </c>
      <c r="AM601" t="s">
        <v>91</v>
      </c>
      <c r="AN601" t="s">
        <v>92</v>
      </c>
      <c r="AO601" t="s">
        <v>3794</v>
      </c>
      <c r="AP601" t="s">
        <v>3795</v>
      </c>
      <c r="AQ601" t="s">
        <v>74</v>
      </c>
      <c r="AR601" t="s">
        <v>3796</v>
      </c>
      <c r="AS601" t="s">
        <v>3797</v>
      </c>
      <c r="AT601" t="s">
        <v>6659</v>
      </c>
      <c r="AU601">
        <v>2023</v>
      </c>
      <c r="AV601">
        <v>636</v>
      </c>
      <c r="AW601" t="s">
        <v>74</v>
      </c>
      <c r="AX601" t="s">
        <v>74</v>
      </c>
      <c r="AY601" t="s">
        <v>74</v>
      </c>
      <c r="AZ601" t="s">
        <v>74</v>
      </c>
      <c r="BA601" t="s">
        <v>74</v>
      </c>
      <c r="BB601" t="s">
        <v>74</v>
      </c>
      <c r="BC601" t="s">
        <v>74</v>
      </c>
      <c r="BD601">
        <v>157814</v>
      </c>
      <c r="BE601" t="s">
        <v>10960</v>
      </c>
      <c r="BF601" t="str">
        <f>HYPERLINK("http://dx.doi.org/10.1016/j.apsusc.2023.157814","http://dx.doi.org/10.1016/j.apsusc.2023.157814")</f>
        <v>http://dx.doi.org/10.1016/j.apsusc.2023.157814</v>
      </c>
      <c r="BG601" t="s">
        <v>74</v>
      </c>
      <c r="BH601" t="s">
        <v>74</v>
      </c>
      <c r="BI601">
        <v>11</v>
      </c>
      <c r="BJ601" t="s">
        <v>3799</v>
      </c>
      <c r="BK601" t="s">
        <v>100</v>
      </c>
      <c r="BL601" t="s">
        <v>3800</v>
      </c>
      <c r="BM601" t="s">
        <v>10961</v>
      </c>
      <c r="BN601" t="s">
        <v>74</v>
      </c>
      <c r="BO601" t="s">
        <v>295</v>
      </c>
      <c r="BP601" t="s">
        <v>74</v>
      </c>
      <c r="BQ601" t="s">
        <v>74</v>
      </c>
      <c r="BR601" t="s">
        <v>104</v>
      </c>
      <c r="BS601" t="s">
        <v>10962</v>
      </c>
      <c r="BT601" t="str">
        <f>HYPERLINK("https%3A%2F%2Fwww.webofscience.com%2Fwos%2Fwoscc%2Ffull-record%2FWOS:001053556900001","View Full Record in Web of Science")</f>
        <v>View Full Record in Web of Science</v>
      </c>
    </row>
    <row r="602" spans="1:72" x14ac:dyDescent="0.15">
      <c r="A602" t="s">
        <v>72</v>
      </c>
      <c r="B602" t="s">
        <v>10963</v>
      </c>
      <c r="C602" t="s">
        <v>74</v>
      </c>
      <c r="D602" t="s">
        <v>74</v>
      </c>
      <c r="E602" t="s">
        <v>74</v>
      </c>
      <c r="F602" t="s">
        <v>10964</v>
      </c>
      <c r="G602" t="s">
        <v>74</v>
      </c>
      <c r="H602" t="s">
        <v>74</v>
      </c>
      <c r="I602" t="s">
        <v>10965</v>
      </c>
      <c r="J602" t="s">
        <v>10966</v>
      </c>
      <c r="K602" t="s">
        <v>74</v>
      </c>
      <c r="L602" t="s">
        <v>74</v>
      </c>
      <c r="M602" t="s">
        <v>78</v>
      </c>
      <c r="N602" t="s">
        <v>79</v>
      </c>
      <c r="O602" t="s">
        <v>74</v>
      </c>
      <c r="P602" t="s">
        <v>74</v>
      </c>
      <c r="Q602" t="s">
        <v>74</v>
      </c>
      <c r="R602" t="s">
        <v>74</v>
      </c>
      <c r="S602" t="s">
        <v>74</v>
      </c>
      <c r="T602" t="s">
        <v>10967</v>
      </c>
      <c r="U602" t="s">
        <v>10968</v>
      </c>
      <c r="V602" t="s">
        <v>10969</v>
      </c>
      <c r="W602" t="s">
        <v>10970</v>
      </c>
      <c r="X602" t="s">
        <v>10971</v>
      </c>
      <c r="Y602" t="s">
        <v>10972</v>
      </c>
      <c r="Z602" t="s">
        <v>10973</v>
      </c>
      <c r="AA602" t="s">
        <v>10974</v>
      </c>
      <c r="AB602" t="s">
        <v>10975</v>
      </c>
      <c r="AC602" t="s">
        <v>74</v>
      </c>
      <c r="AD602" t="s">
        <v>74</v>
      </c>
      <c r="AE602" t="s">
        <v>74</v>
      </c>
      <c r="AF602" t="s">
        <v>74</v>
      </c>
      <c r="AG602">
        <v>63</v>
      </c>
      <c r="AH602">
        <v>0</v>
      </c>
      <c r="AI602">
        <v>0</v>
      </c>
      <c r="AJ602">
        <v>3</v>
      </c>
      <c r="AK602">
        <v>3</v>
      </c>
      <c r="AL602" t="s">
        <v>10976</v>
      </c>
      <c r="AM602" t="s">
        <v>10977</v>
      </c>
      <c r="AN602" t="s">
        <v>10978</v>
      </c>
      <c r="AO602" t="s">
        <v>10979</v>
      </c>
      <c r="AP602" t="s">
        <v>10980</v>
      </c>
      <c r="AQ602" t="s">
        <v>74</v>
      </c>
      <c r="AR602" t="s">
        <v>10981</v>
      </c>
      <c r="AS602" t="s">
        <v>10982</v>
      </c>
      <c r="AT602" t="s">
        <v>6618</v>
      </c>
      <c r="AU602">
        <v>2023</v>
      </c>
      <c r="AV602">
        <v>130</v>
      </c>
      <c r="AW602" t="s">
        <v>74</v>
      </c>
      <c r="AX602" t="s">
        <v>74</v>
      </c>
      <c r="AY602" t="s">
        <v>74</v>
      </c>
      <c r="AZ602" t="s">
        <v>74</v>
      </c>
      <c r="BA602" t="s">
        <v>74</v>
      </c>
      <c r="BB602" t="s">
        <v>74</v>
      </c>
      <c r="BC602" t="s">
        <v>74</v>
      </c>
      <c r="BD602">
        <v>105923</v>
      </c>
      <c r="BE602" t="s">
        <v>10983</v>
      </c>
      <c r="BF602" t="str">
        <f>HYPERLINK("http://dx.doi.org/10.1016/j.nedt.2023.105923","http://dx.doi.org/10.1016/j.nedt.2023.105923")</f>
        <v>http://dx.doi.org/10.1016/j.nedt.2023.105923</v>
      </c>
      <c r="BG602" t="s">
        <v>74</v>
      </c>
      <c r="BH602" t="s">
        <v>74</v>
      </c>
      <c r="BI602">
        <v>9</v>
      </c>
      <c r="BJ602" t="s">
        <v>10984</v>
      </c>
      <c r="BK602" t="s">
        <v>666</v>
      </c>
      <c r="BL602" t="s">
        <v>10985</v>
      </c>
      <c r="BM602" t="s">
        <v>10986</v>
      </c>
      <c r="BN602">
        <v>37549556</v>
      </c>
      <c r="BO602" t="s">
        <v>74</v>
      </c>
      <c r="BP602" t="s">
        <v>74</v>
      </c>
      <c r="BQ602" t="s">
        <v>74</v>
      </c>
      <c r="BR602" t="s">
        <v>104</v>
      </c>
      <c r="BS602" t="s">
        <v>10987</v>
      </c>
      <c r="BT602" t="str">
        <f>HYPERLINK("https%3A%2F%2Fwww.webofscience.com%2Fwos%2Fwoscc%2Ffull-record%2FWOS:001054204500001","View Full Record in Web of Science")</f>
        <v>View Full Record in Web of Science</v>
      </c>
    </row>
    <row r="603" spans="1:72" x14ac:dyDescent="0.15">
      <c r="A603" t="s">
        <v>72</v>
      </c>
      <c r="B603" t="s">
        <v>10988</v>
      </c>
      <c r="C603" t="s">
        <v>74</v>
      </c>
      <c r="D603" t="s">
        <v>74</v>
      </c>
      <c r="E603" t="s">
        <v>74</v>
      </c>
      <c r="F603" t="s">
        <v>10989</v>
      </c>
      <c r="G603" t="s">
        <v>74</v>
      </c>
      <c r="H603" t="s">
        <v>74</v>
      </c>
      <c r="I603" t="s">
        <v>10990</v>
      </c>
      <c r="J603" t="s">
        <v>4796</v>
      </c>
      <c r="K603" t="s">
        <v>74</v>
      </c>
      <c r="L603" t="s">
        <v>74</v>
      </c>
      <c r="M603" t="s">
        <v>78</v>
      </c>
      <c r="N603" t="s">
        <v>79</v>
      </c>
      <c r="O603" t="s">
        <v>74</v>
      </c>
      <c r="P603" t="s">
        <v>74</v>
      </c>
      <c r="Q603" t="s">
        <v>74</v>
      </c>
      <c r="R603" t="s">
        <v>74</v>
      </c>
      <c r="S603" t="s">
        <v>74</v>
      </c>
      <c r="T603" t="s">
        <v>10991</v>
      </c>
      <c r="U603" t="s">
        <v>10992</v>
      </c>
      <c r="V603" t="s">
        <v>10993</v>
      </c>
      <c r="W603" t="s">
        <v>10994</v>
      </c>
      <c r="X603" t="s">
        <v>10995</v>
      </c>
      <c r="Y603" t="s">
        <v>10996</v>
      </c>
      <c r="Z603" t="s">
        <v>10997</v>
      </c>
      <c r="AA603" t="s">
        <v>74</v>
      </c>
      <c r="AB603" t="s">
        <v>10998</v>
      </c>
      <c r="AC603" t="s">
        <v>10999</v>
      </c>
      <c r="AD603" t="s">
        <v>11000</v>
      </c>
      <c r="AE603" t="s">
        <v>11001</v>
      </c>
      <c r="AF603" t="s">
        <v>74</v>
      </c>
      <c r="AG603">
        <v>31</v>
      </c>
      <c r="AH603">
        <v>0</v>
      </c>
      <c r="AI603">
        <v>0</v>
      </c>
      <c r="AJ603">
        <v>13</v>
      </c>
      <c r="AK603">
        <v>13</v>
      </c>
      <c r="AL603" t="s">
        <v>90</v>
      </c>
      <c r="AM603" t="s">
        <v>91</v>
      </c>
      <c r="AN603" t="s">
        <v>92</v>
      </c>
      <c r="AO603" t="s">
        <v>4806</v>
      </c>
      <c r="AP603" t="s">
        <v>4807</v>
      </c>
      <c r="AQ603" t="s">
        <v>74</v>
      </c>
      <c r="AR603" t="s">
        <v>4808</v>
      </c>
      <c r="AS603" t="s">
        <v>4809</v>
      </c>
      <c r="AT603" t="s">
        <v>6659</v>
      </c>
      <c r="AU603">
        <v>2023</v>
      </c>
      <c r="AV603">
        <v>71</v>
      </c>
      <c r="AW603" t="s">
        <v>74</v>
      </c>
      <c r="AX603" t="s">
        <v>74</v>
      </c>
      <c r="AY603" t="s">
        <v>74</v>
      </c>
      <c r="AZ603" t="s">
        <v>74</v>
      </c>
      <c r="BA603" t="s">
        <v>74</v>
      </c>
      <c r="BB603" t="s">
        <v>74</v>
      </c>
      <c r="BC603" t="s">
        <v>74</v>
      </c>
      <c r="BD603">
        <v>108157</v>
      </c>
      <c r="BE603" t="s">
        <v>11002</v>
      </c>
      <c r="BF603" t="str">
        <f>HYPERLINK("http://dx.doi.org/10.1016/j.est.2023.108157","http://dx.doi.org/10.1016/j.est.2023.108157")</f>
        <v>http://dx.doi.org/10.1016/j.est.2023.108157</v>
      </c>
      <c r="BG603" t="s">
        <v>74</v>
      </c>
      <c r="BH603" t="s">
        <v>74</v>
      </c>
      <c r="BI603">
        <v>11</v>
      </c>
      <c r="BJ603" t="s">
        <v>2999</v>
      </c>
      <c r="BK603" t="s">
        <v>100</v>
      </c>
      <c r="BL603" t="s">
        <v>2999</v>
      </c>
      <c r="BM603" t="s">
        <v>11003</v>
      </c>
      <c r="BN603" t="s">
        <v>74</v>
      </c>
      <c r="BO603" t="s">
        <v>74</v>
      </c>
      <c r="BP603" t="s">
        <v>74</v>
      </c>
      <c r="BQ603" t="s">
        <v>74</v>
      </c>
      <c r="BR603" t="s">
        <v>104</v>
      </c>
      <c r="BS603" t="s">
        <v>11004</v>
      </c>
      <c r="BT603" t="str">
        <f>HYPERLINK("https%3A%2F%2Fwww.webofscience.com%2Fwos%2Fwoscc%2Ffull-record%2FWOS:001055443500001","View Full Record in Web of Science")</f>
        <v>View Full Record in Web of Science</v>
      </c>
    </row>
    <row r="604" spans="1:72" x14ac:dyDescent="0.15">
      <c r="A604" t="s">
        <v>72</v>
      </c>
      <c r="B604" t="s">
        <v>11005</v>
      </c>
      <c r="C604" t="s">
        <v>74</v>
      </c>
      <c r="D604" t="s">
        <v>74</v>
      </c>
      <c r="E604" t="s">
        <v>74</v>
      </c>
      <c r="F604" t="s">
        <v>11006</v>
      </c>
      <c r="G604" t="s">
        <v>74</v>
      </c>
      <c r="H604" t="s">
        <v>74</v>
      </c>
      <c r="I604" t="s">
        <v>11007</v>
      </c>
      <c r="J604" t="s">
        <v>11008</v>
      </c>
      <c r="K604" t="s">
        <v>74</v>
      </c>
      <c r="L604" t="s">
        <v>74</v>
      </c>
      <c r="M604" t="s">
        <v>78</v>
      </c>
      <c r="N604" t="s">
        <v>79</v>
      </c>
      <c r="O604" t="s">
        <v>74</v>
      </c>
      <c r="P604" t="s">
        <v>74</v>
      </c>
      <c r="Q604" t="s">
        <v>74</v>
      </c>
      <c r="R604" t="s">
        <v>74</v>
      </c>
      <c r="S604" t="s">
        <v>74</v>
      </c>
      <c r="T604" t="s">
        <v>11009</v>
      </c>
      <c r="U604" t="s">
        <v>11010</v>
      </c>
      <c r="V604" t="s">
        <v>11011</v>
      </c>
      <c r="W604" t="s">
        <v>11012</v>
      </c>
      <c r="X604" t="s">
        <v>11013</v>
      </c>
      <c r="Y604" t="s">
        <v>11014</v>
      </c>
      <c r="Z604" t="s">
        <v>11015</v>
      </c>
      <c r="AA604" t="s">
        <v>74</v>
      </c>
      <c r="AB604" t="s">
        <v>74</v>
      </c>
      <c r="AC604" t="s">
        <v>11016</v>
      </c>
      <c r="AD604" t="s">
        <v>11017</v>
      </c>
      <c r="AE604" t="s">
        <v>11018</v>
      </c>
      <c r="AF604" t="s">
        <v>74</v>
      </c>
      <c r="AG604">
        <v>51</v>
      </c>
      <c r="AH604">
        <v>0</v>
      </c>
      <c r="AI604">
        <v>0</v>
      </c>
      <c r="AJ604">
        <v>0</v>
      </c>
      <c r="AK604">
        <v>0</v>
      </c>
      <c r="AL604" t="s">
        <v>90</v>
      </c>
      <c r="AM604" t="s">
        <v>91</v>
      </c>
      <c r="AN604" t="s">
        <v>92</v>
      </c>
      <c r="AO604" t="s">
        <v>11019</v>
      </c>
      <c r="AP604" t="s">
        <v>74</v>
      </c>
      <c r="AQ604" t="s">
        <v>74</v>
      </c>
      <c r="AR604" t="s">
        <v>11020</v>
      </c>
      <c r="AS604" t="s">
        <v>11021</v>
      </c>
      <c r="AT604" t="s">
        <v>6618</v>
      </c>
      <c r="AU604">
        <v>2023</v>
      </c>
      <c r="AV604">
        <v>38</v>
      </c>
      <c r="AW604" t="s">
        <v>74</v>
      </c>
      <c r="AX604" t="s">
        <v>74</v>
      </c>
      <c r="AY604" t="s">
        <v>74</v>
      </c>
      <c r="AZ604" t="s">
        <v>74</v>
      </c>
      <c r="BA604" t="s">
        <v>74</v>
      </c>
      <c r="BB604" t="s">
        <v>74</v>
      </c>
      <c r="BC604" t="s">
        <v>74</v>
      </c>
      <c r="BD604">
        <v>101216</v>
      </c>
      <c r="BE604" t="s">
        <v>11022</v>
      </c>
      <c r="BF604" t="str">
        <f>HYPERLINK("http://dx.doi.org/10.1016/j.mtphys.2023.101216","http://dx.doi.org/10.1016/j.mtphys.2023.101216")</f>
        <v>http://dx.doi.org/10.1016/j.mtphys.2023.101216</v>
      </c>
      <c r="BG604" t="s">
        <v>74</v>
      </c>
      <c r="BH604" t="s">
        <v>74</v>
      </c>
      <c r="BI604">
        <v>8</v>
      </c>
      <c r="BJ604" t="s">
        <v>3021</v>
      </c>
      <c r="BK604" t="s">
        <v>100</v>
      </c>
      <c r="BL604" t="s">
        <v>3022</v>
      </c>
      <c r="BM604" t="s">
        <v>11023</v>
      </c>
      <c r="BN604" t="s">
        <v>74</v>
      </c>
      <c r="BO604" t="s">
        <v>74</v>
      </c>
      <c r="BP604" t="s">
        <v>74</v>
      </c>
      <c r="BQ604" t="s">
        <v>74</v>
      </c>
      <c r="BR604" t="s">
        <v>104</v>
      </c>
      <c r="BS604" t="s">
        <v>11024</v>
      </c>
      <c r="BT604" t="str">
        <f>HYPERLINK("https%3A%2F%2Fwww.webofscience.com%2Fwos%2Fwoscc%2Ffull-record%2FWOS:001071429400001","View Full Record in Web of Science")</f>
        <v>View Full Record in Web of Science</v>
      </c>
    </row>
    <row r="605" spans="1:72" x14ac:dyDescent="0.15">
      <c r="A605" t="s">
        <v>72</v>
      </c>
      <c r="B605" t="s">
        <v>11025</v>
      </c>
      <c r="C605" t="s">
        <v>74</v>
      </c>
      <c r="D605" t="s">
        <v>74</v>
      </c>
      <c r="E605" t="s">
        <v>74</v>
      </c>
      <c r="F605" t="s">
        <v>11026</v>
      </c>
      <c r="G605" t="s">
        <v>74</v>
      </c>
      <c r="H605" t="s">
        <v>74</v>
      </c>
      <c r="I605" t="s">
        <v>11027</v>
      </c>
      <c r="J605" t="s">
        <v>8672</v>
      </c>
      <c r="K605" t="s">
        <v>74</v>
      </c>
      <c r="L605" t="s">
        <v>74</v>
      </c>
      <c r="M605" t="s">
        <v>78</v>
      </c>
      <c r="N605" t="s">
        <v>79</v>
      </c>
      <c r="O605" t="s">
        <v>74</v>
      </c>
      <c r="P605" t="s">
        <v>74</v>
      </c>
      <c r="Q605" t="s">
        <v>74</v>
      </c>
      <c r="R605" t="s">
        <v>74</v>
      </c>
      <c r="S605" t="s">
        <v>74</v>
      </c>
      <c r="T605" t="s">
        <v>11028</v>
      </c>
      <c r="U605" t="s">
        <v>11029</v>
      </c>
      <c r="V605" t="s">
        <v>11030</v>
      </c>
      <c r="W605" t="s">
        <v>11031</v>
      </c>
      <c r="X605" t="s">
        <v>11032</v>
      </c>
      <c r="Y605" t="s">
        <v>11033</v>
      </c>
      <c r="Z605" t="s">
        <v>11034</v>
      </c>
      <c r="AA605" t="s">
        <v>74</v>
      </c>
      <c r="AB605" t="s">
        <v>74</v>
      </c>
      <c r="AC605" t="s">
        <v>11035</v>
      </c>
      <c r="AD605" t="s">
        <v>11036</v>
      </c>
      <c r="AE605" t="s">
        <v>11037</v>
      </c>
      <c r="AF605" t="s">
        <v>74</v>
      </c>
      <c r="AG605">
        <v>41</v>
      </c>
      <c r="AH605">
        <v>0</v>
      </c>
      <c r="AI605">
        <v>0</v>
      </c>
      <c r="AJ605">
        <v>0</v>
      </c>
      <c r="AK605">
        <v>0</v>
      </c>
      <c r="AL605" t="s">
        <v>90</v>
      </c>
      <c r="AM605" t="s">
        <v>91</v>
      </c>
      <c r="AN605" t="s">
        <v>92</v>
      </c>
      <c r="AO605" t="s">
        <v>8683</v>
      </c>
      <c r="AP605" t="s">
        <v>74</v>
      </c>
      <c r="AQ605" t="s">
        <v>74</v>
      </c>
      <c r="AR605" t="s">
        <v>8684</v>
      </c>
      <c r="AS605" t="s">
        <v>8685</v>
      </c>
      <c r="AT605" t="s">
        <v>6618</v>
      </c>
      <c r="AU605">
        <v>2023</v>
      </c>
      <c r="AV605">
        <v>39</v>
      </c>
      <c r="AW605" t="s">
        <v>74</v>
      </c>
      <c r="AX605" t="s">
        <v>74</v>
      </c>
      <c r="AY605" t="s">
        <v>74</v>
      </c>
      <c r="AZ605" t="s">
        <v>74</v>
      </c>
      <c r="BA605" t="s">
        <v>74</v>
      </c>
      <c r="BB605" t="s">
        <v>74</v>
      </c>
      <c r="BC605" t="s">
        <v>74</v>
      </c>
      <c r="BD605">
        <v>101151</v>
      </c>
      <c r="BE605" t="s">
        <v>11038</v>
      </c>
      <c r="BF605" t="str">
        <f>HYPERLINK("http://dx.doi.org/10.1016/j.fpsl.2023.101151","http://dx.doi.org/10.1016/j.fpsl.2023.101151")</f>
        <v>http://dx.doi.org/10.1016/j.fpsl.2023.101151</v>
      </c>
      <c r="BG605" t="s">
        <v>74</v>
      </c>
      <c r="BH605" t="s">
        <v>74</v>
      </c>
      <c r="BI605">
        <v>9</v>
      </c>
      <c r="BJ605" t="s">
        <v>1033</v>
      </c>
      <c r="BK605" t="s">
        <v>100</v>
      </c>
      <c r="BL605" t="s">
        <v>1033</v>
      </c>
      <c r="BM605" t="s">
        <v>11039</v>
      </c>
      <c r="BN605" t="s">
        <v>74</v>
      </c>
      <c r="BO605" t="s">
        <v>74</v>
      </c>
      <c r="BP605" t="s">
        <v>74</v>
      </c>
      <c r="BQ605" t="s">
        <v>74</v>
      </c>
      <c r="BR605" t="s">
        <v>104</v>
      </c>
      <c r="BS605" t="s">
        <v>11040</v>
      </c>
      <c r="BT605" t="str">
        <f>HYPERLINK("https%3A%2F%2Fwww.webofscience.com%2Fwos%2Fwoscc%2Ffull-record%2FWOS:001069662200001","View Full Record in Web of Science")</f>
        <v>View Full Record in Web of Science</v>
      </c>
    </row>
    <row r="606" spans="1:72" x14ac:dyDescent="0.15">
      <c r="A606" t="s">
        <v>72</v>
      </c>
      <c r="B606" t="s">
        <v>11041</v>
      </c>
      <c r="C606" t="s">
        <v>74</v>
      </c>
      <c r="D606" t="s">
        <v>74</v>
      </c>
      <c r="E606" t="s">
        <v>74</v>
      </c>
      <c r="F606" t="s">
        <v>11042</v>
      </c>
      <c r="G606" t="s">
        <v>74</v>
      </c>
      <c r="H606" t="s">
        <v>74</v>
      </c>
      <c r="I606" t="s">
        <v>11043</v>
      </c>
      <c r="J606" t="s">
        <v>3061</v>
      </c>
      <c r="K606" t="s">
        <v>74</v>
      </c>
      <c r="L606" t="s">
        <v>74</v>
      </c>
      <c r="M606" t="s">
        <v>78</v>
      </c>
      <c r="N606" t="s">
        <v>79</v>
      </c>
      <c r="O606" t="s">
        <v>74</v>
      </c>
      <c r="P606" t="s">
        <v>74</v>
      </c>
      <c r="Q606" t="s">
        <v>74</v>
      </c>
      <c r="R606" t="s">
        <v>74</v>
      </c>
      <c r="S606" t="s">
        <v>74</v>
      </c>
      <c r="T606" t="s">
        <v>11044</v>
      </c>
      <c r="U606" t="s">
        <v>11045</v>
      </c>
      <c r="V606" t="s">
        <v>11046</v>
      </c>
      <c r="W606" t="s">
        <v>11047</v>
      </c>
      <c r="X606" t="s">
        <v>11048</v>
      </c>
      <c r="Y606" t="s">
        <v>11049</v>
      </c>
      <c r="Z606" t="s">
        <v>11050</v>
      </c>
      <c r="AA606" t="s">
        <v>74</v>
      </c>
      <c r="AB606" t="s">
        <v>74</v>
      </c>
      <c r="AC606" t="s">
        <v>11051</v>
      </c>
      <c r="AD606" t="s">
        <v>11052</v>
      </c>
      <c r="AE606" t="s">
        <v>11053</v>
      </c>
      <c r="AF606" t="s">
        <v>74</v>
      </c>
      <c r="AG606">
        <v>145</v>
      </c>
      <c r="AH606">
        <v>1</v>
      </c>
      <c r="AI606">
        <v>1</v>
      </c>
      <c r="AJ606">
        <v>1</v>
      </c>
      <c r="AK606">
        <v>1</v>
      </c>
      <c r="AL606" t="s">
        <v>120</v>
      </c>
      <c r="AM606" t="s">
        <v>121</v>
      </c>
      <c r="AN606" t="s">
        <v>122</v>
      </c>
      <c r="AO606" t="s">
        <v>3072</v>
      </c>
      <c r="AP606" t="s">
        <v>3073</v>
      </c>
      <c r="AQ606" t="s">
        <v>74</v>
      </c>
      <c r="AR606" t="s">
        <v>3074</v>
      </c>
      <c r="AS606" t="s">
        <v>3075</v>
      </c>
      <c r="AT606" t="s">
        <v>6659</v>
      </c>
      <c r="AU606">
        <v>2023</v>
      </c>
      <c r="AV606">
        <v>349</v>
      </c>
      <c r="AW606" t="s">
        <v>74</v>
      </c>
      <c r="AX606" t="s">
        <v>74</v>
      </c>
      <c r="AY606" t="s">
        <v>74</v>
      </c>
      <c r="AZ606" t="s">
        <v>74</v>
      </c>
      <c r="BA606" t="s">
        <v>74</v>
      </c>
      <c r="BB606" t="s">
        <v>74</v>
      </c>
      <c r="BC606" t="s">
        <v>74</v>
      </c>
      <c r="BD606">
        <v>121674</v>
      </c>
      <c r="BE606" t="s">
        <v>11054</v>
      </c>
      <c r="BF606" t="str">
        <f>HYPERLINK("http://dx.doi.org/10.1016/j.apenergy.2023.121674","http://dx.doi.org/10.1016/j.apenergy.2023.121674")</f>
        <v>http://dx.doi.org/10.1016/j.apenergy.2023.121674</v>
      </c>
      <c r="BG606" t="s">
        <v>74</v>
      </c>
      <c r="BH606" t="s">
        <v>74</v>
      </c>
      <c r="BI606">
        <v>28</v>
      </c>
      <c r="BJ606" t="s">
        <v>276</v>
      </c>
      <c r="BK606" t="s">
        <v>100</v>
      </c>
      <c r="BL606" t="s">
        <v>277</v>
      </c>
      <c r="BM606" t="s">
        <v>11055</v>
      </c>
      <c r="BN606" t="s">
        <v>74</v>
      </c>
      <c r="BO606" t="s">
        <v>74</v>
      </c>
      <c r="BP606" t="s">
        <v>74</v>
      </c>
      <c r="BQ606" t="s">
        <v>74</v>
      </c>
      <c r="BR606" t="s">
        <v>104</v>
      </c>
      <c r="BS606" t="s">
        <v>11056</v>
      </c>
      <c r="BT606" t="str">
        <f>HYPERLINK("https%3A%2F%2Fwww.webofscience.com%2Fwos%2Fwoscc%2Ffull-record%2FWOS:001062509900001","View Full Record in Web of Science")</f>
        <v>View Full Record in Web of Science</v>
      </c>
    </row>
    <row r="607" spans="1:72" x14ac:dyDescent="0.15">
      <c r="A607" t="s">
        <v>72</v>
      </c>
      <c r="B607" t="s">
        <v>11057</v>
      </c>
      <c r="C607" t="s">
        <v>74</v>
      </c>
      <c r="D607" t="s">
        <v>74</v>
      </c>
      <c r="E607" t="s">
        <v>74</v>
      </c>
      <c r="F607" t="s">
        <v>11058</v>
      </c>
      <c r="G607" t="s">
        <v>74</v>
      </c>
      <c r="H607" t="s">
        <v>74</v>
      </c>
      <c r="I607" t="s">
        <v>11059</v>
      </c>
      <c r="J607" t="s">
        <v>11060</v>
      </c>
      <c r="K607" t="s">
        <v>74</v>
      </c>
      <c r="L607" t="s">
        <v>74</v>
      </c>
      <c r="M607" t="s">
        <v>78</v>
      </c>
      <c r="N607" t="s">
        <v>79</v>
      </c>
      <c r="O607" t="s">
        <v>74</v>
      </c>
      <c r="P607" t="s">
        <v>74</v>
      </c>
      <c r="Q607" t="s">
        <v>74</v>
      </c>
      <c r="R607" t="s">
        <v>74</v>
      </c>
      <c r="S607" t="s">
        <v>74</v>
      </c>
      <c r="T607" t="s">
        <v>11061</v>
      </c>
      <c r="U607" t="s">
        <v>11062</v>
      </c>
      <c r="V607" t="s">
        <v>11063</v>
      </c>
      <c r="W607" t="s">
        <v>11064</v>
      </c>
      <c r="X607" t="s">
        <v>11065</v>
      </c>
      <c r="Y607" t="s">
        <v>11066</v>
      </c>
      <c r="Z607" t="s">
        <v>11067</v>
      </c>
      <c r="AA607" t="s">
        <v>11068</v>
      </c>
      <c r="AB607" t="s">
        <v>11069</v>
      </c>
      <c r="AC607" t="s">
        <v>11070</v>
      </c>
      <c r="AD607" t="s">
        <v>11070</v>
      </c>
      <c r="AE607" t="s">
        <v>11071</v>
      </c>
      <c r="AF607" t="s">
        <v>74</v>
      </c>
      <c r="AG607">
        <v>147</v>
      </c>
      <c r="AH607">
        <v>0</v>
      </c>
      <c r="AI607">
        <v>0</v>
      </c>
      <c r="AJ607">
        <v>0</v>
      </c>
      <c r="AK607">
        <v>0</v>
      </c>
      <c r="AL607" t="s">
        <v>120</v>
      </c>
      <c r="AM607" t="s">
        <v>121</v>
      </c>
      <c r="AN607" t="s">
        <v>122</v>
      </c>
      <c r="AO607" t="s">
        <v>11072</v>
      </c>
      <c r="AP607" t="s">
        <v>11073</v>
      </c>
      <c r="AQ607" t="s">
        <v>74</v>
      </c>
      <c r="AR607" t="s">
        <v>11074</v>
      </c>
      <c r="AS607" t="s">
        <v>11075</v>
      </c>
      <c r="AT607" t="s">
        <v>6618</v>
      </c>
      <c r="AU607">
        <v>2023</v>
      </c>
      <c r="AV607">
        <v>174</v>
      </c>
      <c r="AW607" t="s">
        <v>74</v>
      </c>
      <c r="AX607" t="s">
        <v>74</v>
      </c>
      <c r="AY607" t="s">
        <v>74</v>
      </c>
      <c r="AZ607" t="s">
        <v>74</v>
      </c>
      <c r="BA607" t="s">
        <v>74</v>
      </c>
      <c r="BB607" t="s">
        <v>74</v>
      </c>
      <c r="BC607" t="s">
        <v>74</v>
      </c>
      <c r="BD607">
        <v>108185</v>
      </c>
      <c r="BE607" t="s">
        <v>11076</v>
      </c>
      <c r="BF607" t="str">
        <f>HYPERLINK("http://dx.doi.org/10.1016/j.soildyn.2023.108185","http://dx.doi.org/10.1016/j.soildyn.2023.108185")</f>
        <v>http://dx.doi.org/10.1016/j.soildyn.2023.108185</v>
      </c>
      <c r="BG607" t="s">
        <v>74</v>
      </c>
      <c r="BH607" t="s">
        <v>74</v>
      </c>
      <c r="BI607">
        <v>26</v>
      </c>
      <c r="BJ607" t="s">
        <v>11077</v>
      </c>
      <c r="BK607" t="s">
        <v>100</v>
      </c>
      <c r="BL607" t="s">
        <v>11078</v>
      </c>
      <c r="BM607" t="s">
        <v>11079</v>
      </c>
      <c r="BN607" t="s">
        <v>74</v>
      </c>
      <c r="BO607" t="s">
        <v>74</v>
      </c>
      <c r="BP607" t="s">
        <v>74</v>
      </c>
      <c r="BQ607" t="s">
        <v>74</v>
      </c>
      <c r="BR607" t="s">
        <v>104</v>
      </c>
      <c r="BS607" t="s">
        <v>11080</v>
      </c>
      <c r="BT607" t="str">
        <f>HYPERLINK("https%3A%2F%2Fwww.webofscience.com%2Fwos%2Fwoscc%2Ffull-record%2FWOS:001063722500001","View Full Record in Web of Science")</f>
        <v>View Full Record in Web of Science</v>
      </c>
    </row>
    <row r="608" spans="1:72" x14ac:dyDescent="0.15">
      <c r="A608" t="s">
        <v>72</v>
      </c>
      <c r="B608" t="s">
        <v>11081</v>
      </c>
      <c r="C608" t="s">
        <v>74</v>
      </c>
      <c r="D608" t="s">
        <v>74</v>
      </c>
      <c r="E608" t="s">
        <v>74</v>
      </c>
      <c r="F608" t="s">
        <v>11082</v>
      </c>
      <c r="G608" t="s">
        <v>74</v>
      </c>
      <c r="H608" t="s">
        <v>74</v>
      </c>
      <c r="I608" t="s">
        <v>11083</v>
      </c>
      <c r="J608" t="s">
        <v>11084</v>
      </c>
      <c r="K608" t="s">
        <v>74</v>
      </c>
      <c r="L608" t="s">
        <v>74</v>
      </c>
      <c r="M608" t="s">
        <v>78</v>
      </c>
      <c r="N608" t="s">
        <v>79</v>
      </c>
      <c r="O608" t="s">
        <v>74</v>
      </c>
      <c r="P608" t="s">
        <v>74</v>
      </c>
      <c r="Q608" t="s">
        <v>74</v>
      </c>
      <c r="R608" t="s">
        <v>74</v>
      </c>
      <c r="S608" t="s">
        <v>74</v>
      </c>
      <c r="T608" t="s">
        <v>11085</v>
      </c>
      <c r="U608" t="s">
        <v>11086</v>
      </c>
      <c r="V608" t="s">
        <v>11087</v>
      </c>
      <c r="W608" t="s">
        <v>11088</v>
      </c>
      <c r="X608" t="s">
        <v>11089</v>
      </c>
      <c r="Y608" t="s">
        <v>11090</v>
      </c>
      <c r="Z608" t="s">
        <v>11091</v>
      </c>
      <c r="AA608" t="s">
        <v>74</v>
      </c>
      <c r="AB608" t="s">
        <v>74</v>
      </c>
      <c r="AC608" t="s">
        <v>74</v>
      </c>
      <c r="AD608" t="s">
        <v>74</v>
      </c>
      <c r="AE608" t="s">
        <v>74</v>
      </c>
      <c r="AF608" t="s">
        <v>74</v>
      </c>
      <c r="AG608">
        <v>70</v>
      </c>
      <c r="AH608">
        <v>0</v>
      </c>
      <c r="AI608">
        <v>0</v>
      </c>
      <c r="AJ608">
        <v>0</v>
      </c>
      <c r="AK608">
        <v>0</v>
      </c>
      <c r="AL608" t="s">
        <v>173</v>
      </c>
      <c r="AM608" t="s">
        <v>121</v>
      </c>
      <c r="AN608" t="s">
        <v>174</v>
      </c>
      <c r="AO608" t="s">
        <v>11092</v>
      </c>
      <c r="AP608" t="s">
        <v>11093</v>
      </c>
      <c r="AQ608" t="s">
        <v>74</v>
      </c>
      <c r="AR608" t="s">
        <v>11094</v>
      </c>
      <c r="AS608" t="s">
        <v>11095</v>
      </c>
      <c r="AT608" t="s">
        <v>6618</v>
      </c>
      <c r="AU608">
        <v>2023</v>
      </c>
      <c r="AV608">
        <v>148</v>
      </c>
      <c r="AW608" t="s">
        <v>74</v>
      </c>
      <c r="AX608" t="s">
        <v>74</v>
      </c>
      <c r="AY608" t="s">
        <v>74</v>
      </c>
      <c r="AZ608" t="s">
        <v>74</v>
      </c>
      <c r="BA608" t="s">
        <v>74</v>
      </c>
      <c r="BB608" t="s">
        <v>74</v>
      </c>
      <c r="BC608" t="s">
        <v>74</v>
      </c>
      <c r="BD608">
        <v>107002</v>
      </c>
      <c r="BE608" t="s">
        <v>11096</v>
      </c>
      <c r="BF608" t="str">
        <f>HYPERLINK("http://dx.doi.org/10.1016/j.icheatmasstransfer.2023.107002","http://dx.doi.org/10.1016/j.icheatmasstransfer.2023.107002")</f>
        <v>http://dx.doi.org/10.1016/j.icheatmasstransfer.2023.107002</v>
      </c>
      <c r="BG608" t="s">
        <v>74</v>
      </c>
      <c r="BH608" t="s">
        <v>74</v>
      </c>
      <c r="BI608">
        <v>14</v>
      </c>
      <c r="BJ608" t="s">
        <v>11097</v>
      </c>
      <c r="BK608" t="s">
        <v>100</v>
      </c>
      <c r="BL608" t="s">
        <v>11097</v>
      </c>
      <c r="BM608" t="s">
        <v>11098</v>
      </c>
      <c r="BN608" t="s">
        <v>74</v>
      </c>
      <c r="BO608" t="s">
        <v>74</v>
      </c>
      <c r="BP608" t="s">
        <v>74</v>
      </c>
      <c r="BQ608" t="s">
        <v>74</v>
      </c>
      <c r="BR608" t="s">
        <v>104</v>
      </c>
      <c r="BS608" t="s">
        <v>11099</v>
      </c>
      <c r="BT608" t="str">
        <f>HYPERLINK("https%3A%2F%2Fwww.webofscience.com%2Fwos%2Fwoscc%2Ffull-record%2FWOS:001070694600001","View Full Record in Web of Science")</f>
        <v>View Full Record in Web of Science</v>
      </c>
    </row>
    <row r="609" spans="1:72" x14ac:dyDescent="0.15">
      <c r="A609" t="s">
        <v>72</v>
      </c>
      <c r="B609" t="s">
        <v>11100</v>
      </c>
      <c r="C609" t="s">
        <v>74</v>
      </c>
      <c r="D609" t="s">
        <v>74</v>
      </c>
      <c r="E609" t="s">
        <v>74</v>
      </c>
      <c r="F609" t="s">
        <v>11101</v>
      </c>
      <c r="G609" t="s">
        <v>74</v>
      </c>
      <c r="H609" t="s">
        <v>74</v>
      </c>
      <c r="I609" t="s">
        <v>11102</v>
      </c>
      <c r="J609" t="s">
        <v>1524</v>
      </c>
      <c r="K609" t="s">
        <v>74</v>
      </c>
      <c r="L609" t="s">
        <v>74</v>
      </c>
      <c r="M609" t="s">
        <v>78</v>
      </c>
      <c r="N609" t="s">
        <v>79</v>
      </c>
      <c r="O609" t="s">
        <v>74</v>
      </c>
      <c r="P609" t="s">
        <v>74</v>
      </c>
      <c r="Q609" t="s">
        <v>74</v>
      </c>
      <c r="R609" t="s">
        <v>74</v>
      </c>
      <c r="S609" t="s">
        <v>74</v>
      </c>
      <c r="T609" t="s">
        <v>11103</v>
      </c>
      <c r="U609" t="s">
        <v>11104</v>
      </c>
      <c r="V609" t="s">
        <v>11105</v>
      </c>
      <c r="W609" t="s">
        <v>11106</v>
      </c>
      <c r="X609" t="s">
        <v>11107</v>
      </c>
      <c r="Y609" t="s">
        <v>11108</v>
      </c>
      <c r="Z609" t="s">
        <v>11109</v>
      </c>
      <c r="AA609" t="s">
        <v>74</v>
      </c>
      <c r="AB609" t="s">
        <v>74</v>
      </c>
      <c r="AC609" t="s">
        <v>11110</v>
      </c>
      <c r="AD609" t="s">
        <v>11111</v>
      </c>
      <c r="AE609" t="s">
        <v>11112</v>
      </c>
      <c r="AF609" t="s">
        <v>74</v>
      </c>
      <c r="AG609">
        <v>63</v>
      </c>
      <c r="AH609">
        <v>0</v>
      </c>
      <c r="AI609">
        <v>0</v>
      </c>
      <c r="AJ609">
        <v>17</v>
      </c>
      <c r="AK609">
        <v>17</v>
      </c>
      <c r="AL609" t="s">
        <v>90</v>
      </c>
      <c r="AM609" t="s">
        <v>91</v>
      </c>
      <c r="AN609" t="s">
        <v>92</v>
      </c>
      <c r="AO609" t="s">
        <v>1534</v>
      </c>
      <c r="AP609" t="s">
        <v>1535</v>
      </c>
      <c r="AQ609" t="s">
        <v>74</v>
      </c>
      <c r="AR609" t="s">
        <v>1536</v>
      </c>
      <c r="AS609" t="s">
        <v>1537</v>
      </c>
      <c r="AT609" t="s">
        <v>6659</v>
      </c>
      <c r="AU609">
        <v>2023</v>
      </c>
      <c r="AV609">
        <v>897</v>
      </c>
      <c r="AW609" t="s">
        <v>74</v>
      </c>
      <c r="AX609" t="s">
        <v>74</v>
      </c>
      <c r="AY609" t="s">
        <v>74</v>
      </c>
      <c r="AZ609" t="s">
        <v>74</v>
      </c>
      <c r="BA609" t="s">
        <v>74</v>
      </c>
      <c r="BB609" t="s">
        <v>74</v>
      </c>
      <c r="BC609" t="s">
        <v>74</v>
      </c>
      <c r="BD609">
        <v>165396</v>
      </c>
      <c r="BE609" t="s">
        <v>11113</v>
      </c>
      <c r="BF609" t="str">
        <f>HYPERLINK("http://dx.doi.org/10.1016/j.scitotenv.2023.165396","http://dx.doi.org/10.1016/j.scitotenv.2023.165396")</f>
        <v>http://dx.doi.org/10.1016/j.scitotenv.2023.165396</v>
      </c>
      <c r="BG609" t="s">
        <v>74</v>
      </c>
      <c r="BH609" t="s">
        <v>74</v>
      </c>
      <c r="BI609">
        <v>11</v>
      </c>
      <c r="BJ609" t="s">
        <v>1539</v>
      </c>
      <c r="BK609" t="s">
        <v>100</v>
      </c>
      <c r="BL609" t="s">
        <v>1540</v>
      </c>
      <c r="BM609" t="s">
        <v>11114</v>
      </c>
      <c r="BN609">
        <v>37437639</v>
      </c>
      <c r="BO609" t="s">
        <v>74</v>
      </c>
      <c r="BP609" t="s">
        <v>74</v>
      </c>
      <c r="BQ609" t="s">
        <v>74</v>
      </c>
      <c r="BR609" t="s">
        <v>104</v>
      </c>
      <c r="BS609" t="s">
        <v>11115</v>
      </c>
      <c r="BT609" t="str">
        <f>HYPERLINK("https%3A%2F%2Fwww.webofscience.com%2Fwos%2Fwoscc%2Ffull-record%2FWOS:001046786700001","View Full Record in Web of Science")</f>
        <v>View Full Record in Web of Science</v>
      </c>
    </row>
    <row r="610" spans="1:72" x14ac:dyDescent="0.15">
      <c r="A610" t="s">
        <v>72</v>
      </c>
      <c r="B610" t="s">
        <v>11116</v>
      </c>
      <c r="C610" t="s">
        <v>74</v>
      </c>
      <c r="D610" t="s">
        <v>74</v>
      </c>
      <c r="E610" t="s">
        <v>74</v>
      </c>
      <c r="F610" t="s">
        <v>11117</v>
      </c>
      <c r="G610" t="s">
        <v>74</v>
      </c>
      <c r="H610" t="s">
        <v>74</v>
      </c>
      <c r="I610" t="s">
        <v>11118</v>
      </c>
      <c r="J610" t="s">
        <v>10714</v>
      </c>
      <c r="K610" t="s">
        <v>74</v>
      </c>
      <c r="L610" t="s">
        <v>74</v>
      </c>
      <c r="M610" t="s">
        <v>78</v>
      </c>
      <c r="N610" t="s">
        <v>79</v>
      </c>
      <c r="O610" t="s">
        <v>74</v>
      </c>
      <c r="P610" t="s">
        <v>74</v>
      </c>
      <c r="Q610" t="s">
        <v>74</v>
      </c>
      <c r="R610" t="s">
        <v>74</v>
      </c>
      <c r="S610" t="s">
        <v>74</v>
      </c>
      <c r="T610" t="s">
        <v>11119</v>
      </c>
      <c r="U610" t="s">
        <v>11120</v>
      </c>
      <c r="V610" t="s">
        <v>11121</v>
      </c>
      <c r="W610" t="s">
        <v>11122</v>
      </c>
      <c r="X610" t="s">
        <v>11123</v>
      </c>
      <c r="Y610" t="s">
        <v>11124</v>
      </c>
      <c r="Z610" t="s">
        <v>11125</v>
      </c>
      <c r="AA610" t="s">
        <v>74</v>
      </c>
      <c r="AB610" t="s">
        <v>74</v>
      </c>
      <c r="AC610" t="s">
        <v>11126</v>
      </c>
      <c r="AD610" t="s">
        <v>11127</v>
      </c>
      <c r="AE610" t="s">
        <v>11128</v>
      </c>
      <c r="AF610" t="s">
        <v>74</v>
      </c>
      <c r="AG610">
        <v>54</v>
      </c>
      <c r="AH610">
        <v>0</v>
      </c>
      <c r="AI610">
        <v>0</v>
      </c>
      <c r="AJ610">
        <v>0</v>
      </c>
      <c r="AK610">
        <v>0</v>
      </c>
      <c r="AL610" t="s">
        <v>90</v>
      </c>
      <c r="AM610" t="s">
        <v>91</v>
      </c>
      <c r="AN610" t="s">
        <v>92</v>
      </c>
      <c r="AO610" t="s">
        <v>10725</v>
      </c>
      <c r="AP610" t="s">
        <v>10726</v>
      </c>
      <c r="AQ610" t="s">
        <v>74</v>
      </c>
      <c r="AR610" t="s">
        <v>10727</v>
      </c>
      <c r="AS610" t="s">
        <v>10728</v>
      </c>
      <c r="AT610" t="s">
        <v>6618</v>
      </c>
      <c r="AU610">
        <v>2023</v>
      </c>
      <c r="AV610">
        <v>98</v>
      </c>
      <c r="AW610" t="s">
        <v>74</v>
      </c>
      <c r="AX610" t="s">
        <v>74</v>
      </c>
      <c r="AY610" t="s">
        <v>74</v>
      </c>
      <c r="AZ610" t="s">
        <v>74</v>
      </c>
      <c r="BA610" t="s">
        <v>74</v>
      </c>
      <c r="BB610" t="s">
        <v>74</v>
      </c>
      <c r="BC610" t="s">
        <v>74</v>
      </c>
      <c r="BD610">
        <v>104834</v>
      </c>
      <c r="BE610" t="s">
        <v>11129</v>
      </c>
      <c r="BF610" t="str">
        <f>HYPERLINK("http://dx.doi.org/10.1016/j.scs.2023.104834","http://dx.doi.org/10.1016/j.scs.2023.104834")</f>
        <v>http://dx.doi.org/10.1016/j.scs.2023.104834</v>
      </c>
      <c r="BG610" t="s">
        <v>74</v>
      </c>
      <c r="BH610" t="s">
        <v>74</v>
      </c>
      <c r="BI610">
        <v>11</v>
      </c>
      <c r="BJ610" t="s">
        <v>10730</v>
      </c>
      <c r="BK610" t="s">
        <v>100</v>
      </c>
      <c r="BL610" t="s">
        <v>10731</v>
      </c>
      <c r="BM610" t="s">
        <v>11130</v>
      </c>
      <c r="BN610" t="s">
        <v>74</v>
      </c>
      <c r="BO610" t="s">
        <v>74</v>
      </c>
      <c r="BP610" t="s">
        <v>74</v>
      </c>
      <c r="BQ610" t="s">
        <v>74</v>
      </c>
      <c r="BR610" t="s">
        <v>104</v>
      </c>
      <c r="BS610" t="s">
        <v>11131</v>
      </c>
      <c r="BT610" t="str">
        <f>HYPERLINK("https%3A%2F%2Fwww.webofscience.com%2Fwos%2Fwoscc%2Ffull-record%2FWOS:001050993000001","View Full Record in Web of Science")</f>
        <v>View Full Record in Web of Science</v>
      </c>
    </row>
    <row r="611" spans="1:72" x14ac:dyDescent="0.15">
      <c r="A611" t="s">
        <v>72</v>
      </c>
      <c r="B611" t="s">
        <v>11132</v>
      </c>
      <c r="C611" t="s">
        <v>74</v>
      </c>
      <c r="D611" t="s">
        <v>74</v>
      </c>
      <c r="E611" t="s">
        <v>74</v>
      </c>
      <c r="F611" t="s">
        <v>11133</v>
      </c>
      <c r="G611" t="s">
        <v>74</v>
      </c>
      <c r="H611" t="s">
        <v>74</v>
      </c>
      <c r="I611" t="s">
        <v>11134</v>
      </c>
      <c r="J611" t="s">
        <v>6645</v>
      </c>
      <c r="K611" t="s">
        <v>74</v>
      </c>
      <c r="L611" t="s">
        <v>74</v>
      </c>
      <c r="M611" t="s">
        <v>78</v>
      </c>
      <c r="N611" t="s">
        <v>79</v>
      </c>
      <c r="O611" t="s">
        <v>74</v>
      </c>
      <c r="P611" t="s">
        <v>74</v>
      </c>
      <c r="Q611" t="s">
        <v>74</v>
      </c>
      <c r="R611" t="s">
        <v>74</v>
      </c>
      <c r="S611" t="s">
        <v>74</v>
      </c>
      <c r="T611" t="s">
        <v>11135</v>
      </c>
      <c r="U611" t="s">
        <v>11136</v>
      </c>
      <c r="V611" t="s">
        <v>11137</v>
      </c>
      <c r="W611" t="s">
        <v>11138</v>
      </c>
      <c r="X611" t="s">
        <v>11139</v>
      </c>
      <c r="Y611" t="s">
        <v>11140</v>
      </c>
      <c r="Z611" t="s">
        <v>11141</v>
      </c>
      <c r="AA611" t="s">
        <v>74</v>
      </c>
      <c r="AB611" t="s">
        <v>74</v>
      </c>
      <c r="AC611" t="s">
        <v>11142</v>
      </c>
      <c r="AD611" t="s">
        <v>11143</v>
      </c>
      <c r="AE611" t="s">
        <v>11144</v>
      </c>
      <c r="AF611" t="s">
        <v>74</v>
      </c>
      <c r="AG611">
        <v>38</v>
      </c>
      <c r="AH611">
        <v>0</v>
      </c>
      <c r="AI611">
        <v>0</v>
      </c>
      <c r="AJ611">
        <v>0</v>
      </c>
      <c r="AK611">
        <v>0</v>
      </c>
      <c r="AL611" t="s">
        <v>90</v>
      </c>
      <c r="AM611" t="s">
        <v>91</v>
      </c>
      <c r="AN611" t="s">
        <v>92</v>
      </c>
      <c r="AO611" t="s">
        <v>74</v>
      </c>
      <c r="AP611" t="s">
        <v>6656</v>
      </c>
      <c r="AQ611" t="s">
        <v>74</v>
      </c>
      <c r="AR611" t="s">
        <v>6657</v>
      </c>
      <c r="AS611" t="s">
        <v>6658</v>
      </c>
      <c r="AT611" t="s">
        <v>6659</v>
      </c>
      <c r="AU611">
        <v>2023</v>
      </c>
      <c r="AV611">
        <v>78</v>
      </c>
      <c r="AW611" t="s">
        <v>74</v>
      </c>
      <c r="AX611" t="s">
        <v>74</v>
      </c>
      <c r="AY611" t="s">
        <v>74</v>
      </c>
      <c r="AZ611" t="s">
        <v>74</v>
      </c>
      <c r="BA611" t="s">
        <v>74</v>
      </c>
      <c r="BB611" t="s">
        <v>74</v>
      </c>
      <c r="BC611" t="s">
        <v>74</v>
      </c>
      <c r="BD611">
        <v>107601</v>
      </c>
      <c r="BE611" t="s">
        <v>11145</v>
      </c>
      <c r="BF611" t="str">
        <f>HYPERLINK("http://dx.doi.org/10.1016/j.jobe.2023.107601","http://dx.doi.org/10.1016/j.jobe.2023.107601")</f>
        <v>http://dx.doi.org/10.1016/j.jobe.2023.107601</v>
      </c>
      <c r="BG611" t="s">
        <v>74</v>
      </c>
      <c r="BH611" t="s">
        <v>74</v>
      </c>
      <c r="BI611">
        <v>14</v>
      </c>
      <c r="BJ611" t="s">
        <v>3898</v>
      </c>
      <c r="BK611" t="s">
        <v>100</v>
      </c>
      <c r="BL611" t="s">
        <v>3899</v>
      </c>
      <c r="BM611" t="s">
        <v>11146</v>
      </c>
      <c r="BN611" t="s">
        <v>74</v>
      </c>
      <c r="BO611" t="s">
        <v>74</v>
      </c>
      <c r="BP611" t="s">
        <v>74</v>
      </c>
      <c r="BQ611" t="s">
        <v>74</v>
      </c>
      <c r="BR611" t="s">
        <v>104</v>
      </c>
      <c r="BS611" t="s">
        <v>11147</v>
      </c>
      <c r="BT611" t="str">
        <f>HYPERLINK("https%3A%2F%2Fwww.webofscience.com%2Fwos%2Fwoscc%2Ffull-record%2FWOS:001066778400001","View Full Record in Web of Science")</f>
        <v>View Full Record in Web of Science</v>
      </c>
    </row>
    <row r="612" spans="1:72" x14ac:dyDescent="0.15">
      <c r="A612" t="s">
        <v>72</v>
      </c>
      <c r="B612" t="s">
        <v>11148</v>
      </c>
      <c r="C612" t="s">
        <v>74</v>
      </c>
      <c r="D612" t="s">
        <v>74</v>
      </c>
      <c r="E612" t="s">
        <v>74</v>
      </c>
      <c r="F612" t="s">
        <v>11149</v>
      </c>
      <c r="G612" t="s">
        <v>74</v>
      </c>
      <c r="H612" t="s">
        <v>74</v>
      </c>
      <c r="I612" t="s">
        <v>11150</v>
      </c>
      <c r="J612" t="s">
        <v>1587</v>
      </c>
      <c r="K612" t="s">
        <v>74</v>
      </c>
      <c r="L612" t="s">
        <v>74</v>
      </c>
      <c r="M612" t="s">
        <v>78</v>
      </c>
      <c r="N612" t="s">
        <v>79</v>
      </c>
      <c r="O612" t="s">
        <v>74</v>
      </c>
      <c r="P612" t="s">
        <v>74</v>
      </c>
      <c r="Q612" t="s">
        <v>74</v>
      </c>
      <c r="R612" t="s">
        <v>74</v>
      </c>
      <c r="S612" t="s">
        <v>74</v>
      </c>
      <c r="T612" t="s">
        <v>11151</v>
      </c>
      <c r="U612" t="s">
        <v>11152</v>
      </c>
      <c r="V612" t="s">
        <v>11153</v>
      </c>
      <c r="W612" t="s">
        <v>11154</v>
      </c>
      <c r="X612" t="s">
        <v>10130</v>
      </c>
      <c r="Y612" t="s">
        <v>11155</v>
      </c>
      <c r="Z612" t="s">
        <v>11156</v>
      </c>
      <c r="AA612" t="s">
        <v>11157</v>
      </c>
      <c r="AB612" t="s">
        <v>74</v>
      </c>
      <c r="AC612" t="s">
        <v>11158</v>
      </c>
      <c r="AD612" t="s">
        <v>11159</v>
      </c>
      <c r="AE612" t="s">
        <v>11160</v>
      </c>
      <c r="AF612" t="s">
        <v>74</v>
      </c>
      <c r="AG612">
        <v>42</v>
      </c>
      <c r="AH612">
        <v>0</v>
      </c>
      <c r="AI612">
        <v>0</v>
      </c>
      <c r="AJ612">
        <v>9</v>
      </c>
      <c r="AK612">
        <v>9</v>
      </c>
      <c r="AL612" t="s">
        <v>90</v>
      </c>
      <c r="AM612" t="s">
        <v>91</v>
      </c>
      <c r="AN612" t="s">
        <v>92</v>
      </c>
      <c r="AO612" t="s">
        <v>1598</v>
      </c>
      <c r="AP612" t="s">
        <v>1599</v>
      </c>
      <c r="AQ612" t="s">
        <v>74</v>
      </c>
      <c r="AR612" t="s">
        <v>1600</v>
      </c>
      <c r="AS612" t="s">
        <v>1601</v>
      </c>
      <c r="AT612" t="s">
        <v>6659</v>
      </c>
      <c r="AU612">
        <v>2023</v>
      </c>
      <c r="AV612">
        <v>324</v>
      </c>
      <c r="AW612" t="s">
        <v>74</v>
      </c>
      <c r="AX612" t="s">
        <v>74</v>
      </c>
      <c r="AY612" t="s">
        <v>74</v>
      </c>
      <c r="AZ612" t="s">
        <v>74</v>
      </c>
      <c r="BA612" t="s">
        <v>74</v>
      </c>
      <c r="BB612" t="s">
        <v>74</v>
      </c>
      <c r="BC612" t="s">
        <v>74</v>
      </c>
      <c r="BD612">
        <v>124578</v>
      </c>
      <c r="BE612" t="s">
        <v>11161</v>
      </c>
      <c r="BF612" t="str">
        <f>HYPERLINK("http://dx.doi.org/10.1016/j.seppur.2023.124578","http://dx.doi.org/10.1016/j.seppur.2023.124578")</f>
        <v>http://dx.doi.org/10.1016/j.seppur.2023.124578</v>
      </c>
      <c r="BG612" t="s">
        <v>74</v>
      </c>
      <c r="BH612" t="s">
        <v>74</v>
      </c>
      <c r="BI612">
        <v>10</v>
      </c>
      <c r="BJ612" t="s">
        <v>1603</v>
      </c>
      <c r="BK612" t="s">
        <v>100</v>
      </c>
      <c r="BL612" t="s">
        <v>873</v>
      </c>
      <c r="BM612" t="s">
        <v>11162</v>
      </c>
      <c r="BN612" t="s">
        <v>74</v>
      </c>
      <c r="BO612" t="s">
        <v>74</v>
      </c>
      <c r="BP612" t="s">
        <v>74</v>
      </c>
      <c r="BQ612" t="s">
        <v>74</v>
      </c>
      <c r="BR612" t="s">
        <v>104</v>
      </c>
      <c r="BS612" t="s">
        <v>11163</v>
      </c>
      <c r="BT612" t="str">
        <f>HYPERLINK("https%3A%2F%2Fwww.webofscience.com%2Fwos%2Fwoscc%2Ffull-record%2FWOS:001045002500001","View Full Record in Web of Science")</f>
        <v>View Full Record in Web of Science</v>
      </c>
    </row>
    <row r="613" spans="1:72" x14ac:dyDescent="0.15">
      <c r="A613" t="s">
        <v>72</v>
      </c>
      <c r="B613" t="s">
        <v>11164</v>
      </c>
      <c r="C613" t="s">
        <v>74</v>
      </c>
      <c r="D613" t="s">
        <v>74</v>
      </c>
      <c r="E613" t="s">
        <v>74</v>
      </c>
      <c r="F613" t="s">
        <v>11165</v>
      </c>
      <c r="G613" t="s">
        <v>74</v>
      </c>
      <c r="H613" t="s">
        <v>74</v>
      </c>
      <c r="I613" t="s">
        <v>11166</v>
      </c>
      <c r="J613" t="s">
        <v>7635</v>
      </c>
      <c r="K613" t="s">
        <v>74</v>
      </c>
      <c r="L613" t="s">
        <v>74</v>
      </c>
      <c r="M613" t="s">
        <v>78</v>
      </c>
      <c r="N613" t="s">
        <v>79</v>
      </c>
      <c r="O613" t="s">
        <v>74</v>
      </c>
      <c r="P613" t="s">
        <v>74</v>
      </c>
      <c r="Q613" t="s">
        <v>74</v>
      </c>
      <c r="R613" t="s">
        <v>74</v>
      </c>
      <c r="S613" t="s">
        <v>74</v>
      </c>
      <c r="T613" t="s">
        <v>11167</v>
      </c>
      <c r="U613" t="s">
        <v>11168</v>
      </c>
      <c r="V613" t="s">
        <v>11169</v>
      </c>
      <c r="W613" t="s">
        <v>11170</v>
      </c>
      <c r="X613" t="s">
        <v>11171</v>
      </c>
      <c r="Y613" t="s">
        <v>11172</v>
      </c>
      <c r="Z613" t="s">
        <v>11173</v>
      </c>
      <c r="AA613" t="s">
        <v>74</v>
      </c>
      <c r="AB613" t="s">
        <v>74</v>
      </c>
      <c r="AC613" t="s">
        <v>11174</v>
      </c>
      <c r="AD613" t="s">
        <v>252</v>
      </c>
      <c r="AE613" t="s">
        <v>11175</v>
      </c>
      <c r="AF613" t="s">
        <v>74</v>
      </c>
      <c r="AG613">
        <v>39</v>
      </c>
      <c r="AH613">
        <v>0</v>
      </c>
      <c r="AI613">
        <v>0</v>
      </c>
      <c r="AJ613">
        <v>3</v>
      </c>
      <c r="AK613">
        <v>3</v>
      </c>
      <c r="AL613" t="s">
        <v>173</v>
      </c>
      <c r="AM613" t="s">
        <v>121</v>
      </c>
      <c r="AN613" t="s">
        <v>174</v>
      </c>
      <c r="AO613" t="s">
        <v>7644</v>
      </c>
      <c r="AP613" t="s">
        <v>7645</v>
      </c>
      <c r="AQ613" t="s">
        <v>74</v>
      </c>
      <c r="AR613" t="s">
        <v>7646</v>
      </c>
      <c r="AS613" t="s">
        <v>7647</v>
      </c>
      <c r="AT613" t="s">
        <v>6618</v>
      </c>
      <c r="AU613">
        <v>2023</v>
      </c>
      <c r="AV613">
        <v>212</v>
      </c>
      <c r="AW613" t="s">
        <v>74</v>
      </c>
      <c r="AX613" t="s">
        <v>74</v>
      </c>
      <c r="AY613" t="s">
        <v>74</v>
      </c>
      <c r="AZ613" t="s">
        <v>74</v>
      </c>
      <c r="BA613" t="s">
        <v>74</v>
      </c>
      <c r="BB613">
        <v>261</v>
      </c>
      <c r="BC613">
        <v>269</v>
      </c>
      <c r="BD613" t="s">
        <v>74</v>
      </c>
      <c r="BE613" t="s">
        <v>11176</v>
      </c>
      <c r="BF613" t="str">
        <f>HYPERLINK("http://dx.doi.org/10.1016/j.actaastro.2023.08.014","http://dx.doi.org/10.1016/j.actaastro.2023.08.014")</f>
        <v>http://dx.doi.org/10.1016/j.actaastro.2023.08.014</v>
      </c>
      <c r="BG613" t="s">
        <v>74</v>
      </c>
      <c r="BH613" t="s">
        <v>74</v>
      </c>
      <c r="BI613">
        <v>9</v>
      </c>
      <c r="BJ613" t="s">
        <v>7649</v>
      </c>
      <c r="BK613" t="s">
        <v>100</v>
      </c>
      <c r="BL613" t="s">
        <v>873</v>
      </c>
      <c r="BM613" t="s">
        <v>11177</v>
      </c>
      <c r="BN613" t="s">
        <v>74</v>
      </c>
      <c r="BO613" t="s">
        <v>74</v>
      </c>
      <c r="BP613" t="s">
        <v>74</v>
      </c>
      <c r="BQ613" t="s">
        <v>74</v>
      </c>
      <c r="BR613" t="s">
        <v>104</v>
      </c>
      <c r="BS613" t="s">
        <v>11178</v>
      </c>
      <c r="BT613" t="str">
        <f>HYPERLINK("https%3A%2F%2Fwww.webofscience.com%2Fwos%2Fwoscc%2Ffull-record%2FWOS:001060833500001","View Full Record in Web of Science")</f>
        <v>View Full Record in Web of Science</v>
      </c>
    </row>
    <row r="614" spans="1:72" x14ac:dyDescent="0.15">
      <c r="A614" t="s">
        <v>72</v>
      </c>
      <c r="B614" t="s">
        <v>11179</v>
      </c>
      <c r="C614" t="s">
        <v>74</v>
      </c>
      <c r="D614" t="s">
        <v>74</v>
      </c>
      <c r="E614" t="s">
        <v>74</v>
      </c>
      <c r="F614" t="s">
        <v>11180</v>
      </c>
      <c r="G614" t="s">
        <v>74</v>
      </c>
      <c r="H614" t="s">
        <v>74</v>
      </c>
      <c r="I614" t="s">
        <v>11181</v>
      </c>
      <c r="J614" t="s">
        <v>3061</v>
      </c>
      <c r="K614" t="s">
        <v>74</v>
      </c>
      <c r="L614" t="s">
        <v>74</v>
      </c>
      <c r="M614" t="s">
        <v>78</v>
      </c>
      <c r="N614" t="s">
        <v>79</v>
      </c>
      <c r="O614" t="s">
        <v>74</v>
      </c>
      <c r="P614" t="s">
        <v>74</v>
      </c>
      <c r="Q614" t="s">
        <v>74</v>
      </c>
      <c r="R614" t="s">
        <v>74</v>
      </c>
      <c r="S614" t="s">
        <v>74</v>
      </c>
      <c r="T614" t="s">
        <v>11182</v>
      </c>
      <c r="U614" t="s">
        <v>11183</v>
      </c>
      <c r="V614" t="s">
        <v>11184</v>
      </c>
      <c r="W614" t="s">
        <v>11185</v>
      </c>
      <c r="X614" t="s">
        <v>11186</v>
      </c>
      <c r="Y614" t="s">
        <v>11187</v>
      </c>
      <c r="Z614" t="s">
        <v>11188</v>
      </c>
      <c r="AA614" t="s">
        <v>11189</v>
      </c>
      <c r="AB614" t="s">
        <v>11190</v>
      </c>
      <c r="AC614" t="s">
        <v>11191</v>
      </c>
      <c r="AD614" t="s">
        <v>11192</v>
      </c>
      <c r="AE614" t="s">
        <v>11193</v>
      </c>
      <c r="AF614" t="s">
        <v>74</v>
      </c>
      <c r="AG614">
        <v>45</v>
      </c>
      <c r="AH614">
        <v>0</v>
      </c>
      <c r="AI614">
        <v>0</v>
      </c>
      <c r="AJ614">
        <v>2</v>
      </c>
      <c r="AK614">
        <v>2</v>
      </c>
      <c r="AL614" t="s">
        <v>120</v>
      </c>
      <c r="AM614" t="s">
        <v>121</v>
      </c>
      <c r="AN614" t="s">
        <v>122</v>
      </c>
      <c r="AO614" t="s">
        <v>3072</v>
      </c>
      <c r="AP614" t="s">
        <v>3073</v>
      </c>
      <c r="AQ614" t="s">
        <v>74</v>
      </c>
      <c r="AR614" t="s">
        <v>3074</v>
      </c>
      <c r="AS614" t="s">
        <v>3075</v>
      </c>
      <c r="AT614" t="s">
        <v>6659</v>
      </c>
      <c r="AU614">
        <v>2023</v>
      </c>
      <c r="AV614">
        <v>349</v>
      </c>
      <c r="AW614" t="s">
        <v>74</v>
      </c>
      <c r="AX614" t="s">
        <v>74</v>
      </c>
      <c r="AY614" t="s">
        <v>74</v>
      </c>
      <c r="AZ614" t="s">
        <v>74</v>
      </c>
      <c r="BA614" t="s">
        <v>74</v>
      </c>
      <c r="BB614" t="s">
        <v>74</v>
      </c>
      <c r="BC614" t="s">
        <v>74</v>
      </c>
      <c r="BD614">
        <v>121626</v>
      </c>
      <c r="BE614" t="s">
        <v>11194</v>
      </c>
      <c r="BF614" t="str">
        <f>HYPERLINK("http://dx.doi.org/10.1016/j.apenergy.2023.121626","http://dx.doi.org/10.1016/j.apenergy.2023.121626")</f>
        <v>http://dx.doi.org/10.1016/j.apenergy.2023.121626</v>
      </c>
      <c r="BG614" t="s">
        <v>74</v>
      </c>
      <c r="BH614" t="s">
        <v>74</v>
      </c>
      <c r="BI614">
        <v>15</v>
      </c>
      <c r="BJ614" t="s">
        <v>276</v>
      </c>
      <c r="BK614" t="s">
        <v>100</v>
      </c>
      <c r="BL614" t="s">
        <v>277</v>
      </c>
      <c r="BM614" t="s">
        <v>11195</v>
      </c>
      <c r="BN614" t="s">
        <v>74</v>
      </c>
      <c r="BO614" t="s">
        <v>74</v>
      </c>
      <c r="BP614" t="s">
        <v>74</v>
      </c>
      <c r="BQ614" t="s">
        <v>74</v>
      </c>
      <c r="BR614" t="s">
        <v>104</v>
      </c>
      <c r="BS614" t="s">
        <v>11196</v>
      </c>
      <c r="BT614" t="str">
        <f>HYPERLINK("https%3A%2F%2Fwww.webofscience.com%2Fwos%2Fwoscc%2Ffull-record%2FWOS:001049580900001","View Full Record in Web of Science")</f>
        <v>View Full Record in Web of Science</v>
      </c>
    </row>
    <row r="615" spans="1:72" x14ac:dyDescent="0.15">
      <c r="A615" t="s">
        <v>72</v>
      </c>
      <c r="B615" t="s">
        <v>11197</v>
      </c>
      <c r="C615" t="s">
        <v>74</v>
      </c>
      <c r="D615" t="s">
        <v>74</v>
      </c>
      <c r="E615" t="s">
        <v>74</v>
      </c>
      <c r="F615" t="s">
        <v>11198</v>
      </c>
      <c r="G615" t="s">
        <v>74</v>
      </c>
      <c r="H615" t="s">
        <v>74</v>
      </c>
      <c r="I615" t="s">
        <v>11199</v>
      </c>
      <c r="J615" t="s">
        <v>11200</v>
      </c>
      <c r="K615" t="s">
        <v>74</v>
      </c>
      <c r="L615" t="s">
        <v>74</v>
      </c>
      <c r="M615" t="s">
        <v>78</v>
      </c>
      <c r="N615" t="s">
        <v>79</v>
      </c>
      <c r="O615" t="s">
        <v>74</v>
      </c>
      <c r="P615" t="s">
        <v>74</v>
      </c>
      <c r="Q615" t="s">
        <v>74</v>
      </c>
      <c r="R615" t="s">
        <v>74</v>
      </c>
      <c r="S615" t="s">
        <v>74</v>
      </c>
      <c r="T615" t="s">
        <v>11201</v>
      </c>
      <c r="U615" t="s">
        <v>11202</v>
      </c>
      <c r="V615" t="s">
        <v>11203</v>
      </c>
      <c r="W615" t="s">
        <v>11204</v>
      </c>
      <c r="X615" t="s">
        <v>11205</v>
      </c>
      <c r="Y615" t="s">
        <v>11206</v>
      </c>
      <c r="Z615" t="s">
        <v>11207</v>
      </c>
      <c r="AA615" t="s">
        <v>74</v>
      </c>
      <c r="AB615" t="s">
        <v>74</v>
      </c>
      <c r="AC615" t="s">
        <v>11208</v>
      </c>
      <c r="AD615" t="s">
        <v>11209</v>
      </c>
      <c r="AE615" t="s">
        <v>11210</v>
      </c>
      <c r="AF615" t="s">
        <v>74</v>
      </c>
      <c r="AG615">
        <v>32</v>
      </c>
      <c r="AH615">
        <v>0</v>
      </c>
      <c r="AI615">
        <v>0</v>
      </c>
      <c r="AJ615">
        <v>0</v>
      </c>
      <c r="AK615">
        <v>0</v>
      </c>
      <c r="AL615" t="s">
        <v>90</v>
      </c>
      <c r="AM615" t="s">
        <v>91</v>
      </c>
      <c r="AN615" t="s">
        <v>92</v>
      </c>
      <c r="AO615" t="s">
        <v>11211</v>
      </c>
      <c r="AP615" t="s">
        <v>11212</v>
      </c>
      <c r="AQ615" t="s">
        <v>74</v>
      </c>
      <c r="AR615" t="s">
        <v>11213</v>
      </c>
      <c r="AS615" t="s">
        <v>11214</v>
      </c>
      <c r="AT615" t="s">
        <v>6618</v>
      </c>
      <c r="AU615">
        <v>2023</v>
      </c>
      <c r="AV615">
        <v>263</v>
      </c>
      <c r="AW615" t="s">
        <v>74</v>
      </c>
      <c r="AX615" t="s">
        <v>74</v>
      </c>
      <c r="AY615" t="s">
        <v>74</v>
      </c>
      <c r="AZ615" t="s">
        <v>74</v>
      </c>
      <c r="BA615" t="s">
        <v>74</v>
      </c>
      <c r="BB615" t="s">
        <v>74</v>
      </c>
      <c r="BC615" t="s">
        <v>74</v>
      </c>
      <c r="BD615">
        <v>120153</v>
      </c>
      <c r="BE615" t="s">
        <v>11215</v>
      </c>
      <c r="BF615" t="str">
        <f>HYPERLINK("http://dx.doi.org/10.1016/j.jlumin.2023.120153","http://dx.doi.org/10.1016/j.jlumin.2023.120153")</f>
        <v>http://dx.doi.org/10.1016/j.jlumin.2023.120153</v>
      </c>
      <c r="BG615" t="s">
        <v>74</v>
      </c>
      <c r="BH615" t="s">
        <v>74</v>
      </c>
      <c r="BI615">
        <v>6</v>
      </c>
      <c r="BJ615" t="s">
        <v>2920</v>
      </c>
      <c r="BK615" t="s">
        <v>100</v>
      </c>
      <c r="BL615" t="s">
        <v>2920</v>
      </c>
      <c r="BM615" t="s">
        <v>11216</v>
      </c>
      <c r="BN615" t="s">
        <v>74</v>
      </c>
      <c r="BO615" t="s">
        <v>74</v>
      </c>
      <c r="BP615" t="s">
        <v>74</v>
      </c>
      <c r="BQ615" t="s">
        <v>74</v>
      </c>
      <c r="BR615" t="s">
        <v>104</v>
      </c>
      <c r="BS615" t="s">
        <v>11217</v>
      </c>
      <c r="BT615" t="str">
        <f>HYPERLINK("https%3A%2F%2Fwww.webofscience.com%2Fwos%2Fwoscc%2Ffull-record%2FWOS:001073859500001","View Full Record in Web of Science")</f>
        <v>View Full Record in Web of Science</v>
      </c>
    </row>
    <row r="616" spans="1:72" x14ac:dyDescent="0.15">
      <c r="A616" t="s">
        <v>72</v>
      </c>
      <c r="B616" t="s">
        <v>11218</v>
      </c>
      <c r="C616" t="s">
        <v>74</v>
      </c>
      <c r="D616" t="s">
        <v>74</v>
      </c>
      <c r="E616" t="s">
        <v>74</v>
      </c>
      <c r="F616" t="s">
        <v>11219</v>
      </c>
      <c r="G616" t="s">
        <v>74</v>
      </c>
      <c r="H616" t="s">
        <v>74</v>
      </c>
      <c r="I616" t="s">
        <v>11220</v>
      </c>
      <c r="J616" t="s">
        <v>10160</v>
      </c>
      <c r="K616" t="s">
        <v>74</v>
      </c>
      <c r="L616" t="s">
        <v>74</v>
      </c>
      <c r="M616" t="s">
        <v>78</v>
      </c>
      <c r="N616" t="s">
        <v>79</v>
      </c>
      <c r="O616" t="s">
        <v>74</v>
      </c>
      <c r="P616" t="s">
        <v>74</v>
      </c>
      <c r="Q616" t="s">
        <v>74</v>
      </c>
      <c r="R616" t="s">
        <v>74</v>
      </c>
      <c r="S616" t="s">
        <v>74</v>
      </c>
      <c r="T616" t="s">
        <v>11221</v>
      </c>
      <c r="U616" t="s">
        <v>11222</v>
      </c>
      <c r="V616" t="s">
        <v>11223</v>
      </c>
      <c r="W616" t="s">
        <v>11224</v>
      </c>
      <c r="X616" t="s">
        <v>11225</v>
      </c>
      <c r="Y616" t="s">
        <v>11226</v>
      </c>
      <c r="Z616" t="s">
        <v>11227</v>
      </c>
      <c r="AA616" t="s">
        <v>74</v>
      </c>
      <c r="AB616" t="s">
        <v>74</v>
      </c>
      <c r="AC616" t="s">
        <v>11228</v>
      </c>
      <c r="AD616" t="s">
        <v>11229</v>
      </c>
      <c r="AE616" t="s">
        <v>11230</v>
      </c>
      <c r="AF616" t="s">
        <v>74</v>
      </c>
      <c r="AG616">
        <v>38</v>
      </c>
      <c r="AH616">
        <v>0</v>
      </c>
      <c r="AI616">
        <v>0</v>
      </c>
      <c r="AJ616">
        <v>1</v>
      </c>
      <c r="AK616">
        <v>1</v>
      </c>
      <c r="AL616" t="s">
        <v>120</v>
      </c>
      <c r="AM616" t="s">
        <v>121</v>
      </c>
      <c r="AN616" t="s">
        <v>122</v>
      </c>
      <c r="AO616" t="s">
        <v>10170</v>
      </c>
      <c r="AP616" t="s">
        <v>10171</v>
      </c>
      <c r="AQ616" t="s">
        <v>74</v>
      </c>
      <c r="AR616" t="s">
        <v>10172</v>
      </c>
      <c r="AS616" t="s">
        <v>10173</v>
      </c>
      <c r="AT616" t="s">
        <v>6618</v>
      </c>
      <c r="AU616">
        <v>2023</v>
      </c>
      <c r="AV616">
        <v>116</v>
      </c>
      <c r="AW616" t="s">
        <v>74</v>
      </c>
      <c r="AX616" t="s">
        <v>74</v>
      </c>
      <c r="AY616" t="s">
        <v>74</v>
      </c>
      <c r="AZ616" t="s">
        <v>74</v>
      </c>
      <c r="BA616" t="s">
        <v>74</v>
      </c>
      <c r="BB616" t="s">
        <v>74</v>
      </c>
      <c r="BC616" t="s">
        <v>74</v>
      </c>
      <c r="BD616">
        <v>106352</v>
      </c>
      <c r="BE616" t="s">
        <v>11231</v>
      </c>
      <c r="BF616" t="str">
        <f>HYPERLINK("http://dx.doi.org/10.1016/j.ijrmhm.2023.106352","http://dx.doi.org/10.1016/j.ijrmhm.2023.106352")</f>
        <v>http://dx.doi.org/10.1016/j.ijrmhm.2023.106352</v>
      </c>
      <c r="BG616" t="s">
        <v>74</v>
      </c>
      <c r="BH616" t="s">
        <v>74</v>
      </c>
      <c r="BI616">
        <v>8</v>
      </c>
      <c r="BJ616" t="s">
        <v>10175</v>
      </c>
      <c r="BK616" t="s">
        <v>100</v>
      </c>
      <c r="BL616" t="s">
        <v>10176</v>
      </c>
      <c r="BM616" t="s">
        <v>11232</v>
      </c>
      <c r="BN616" t="s">
        <v>74</v>
      </c>
      <c r="BO616" t="s">
        <v>74</v>
      </c>
      <c r="BP616" t="s">
        <v>74</v>
      </c>
      <c r="BQ616" t="s">
        <v>74</v>
      </c>
      <c r="BR616" t="s">
        <v>104</v>
      </c>
      <c r="BS616" t="s">
        <v>11233</v>
      </c>
      <c r="BT616" t="str">
        <f>HYPERLINK("https%3A%2F%2Fwww.webofscience.com%2Fwos%2Fwoscc%2Ffull-record%2FWOS:001062982300001","View Full Record in Web of Science")</f>
        <v>View Full Record in Web of Science</v>
      </c>
    </row>
    <row r="617" spans="1:72" x14ac:dyDescent="0.15">
      <c r="A617" t="s">
        <v>72</v>
      </c>
      <c r="B617" t="s">
        <v>11234</v>
      </c>
      <c r="C617" t="s">
        <v>74</v>
      </c>
      <c r="D617" t="s">
        <v>74</v>
      </c>
      <c r="E617" t="s">
        <v>74</v>
      </c>
      <c r="F617" t="s">
        <v>11235</v>
      </c>
      <c r="G617" t="s">
        <v>74</v>
      </c>
      <c r="H617" t="s">
        <v>74</v>
      </c>
      <c r="I617" t="s">
        <v>11236</v>
      </c>
      <c r="J617" t="s">
        <v>10737</v>
      </c>
      <c r="K617" t="s">
        <v>74</v>
      </c>
      <c r="L617" t="s">
        <v>74</v>
      </c>
      <c r="M617" t="s">
        <v>78</v>
      </c>
      <c r="N617" t="s">
        <v>79</v>
      </c>
      <c r="O617" t="s">
        <v>74</v>
      </c>
      <c r="P617" t="s">
        <v>74</v>
      </c>
      <c r="Q617" t="s">
        <v>74</v>
      </c>
      <c r="R617" t="s">
        <v>74</v>
      </c>
      <c r="S617" t="s">
        <v>74</v>
      </c>
      <c r="T617" t="s">
        <v>11237</v>
      </c>
      <c r="U617" t="s">
        <v>4299</v>
      </c>
      <c r="V617" t="s">
        <v>11238</v>
      </c>
      <c r="W617" t="s">
        <v>11239</v>
      </c>
      <c r="X617" t="s">
        <v>11240</v>
      </c>
      <c r="Y617" t="s">
        <v>11241</v>
      </c>
      <c r="Z617" t="s">
        <v>11242</v>
      </c>
      <c r="AA617" t="s">
        <v>74</v>
      </c>
      <c r="AB617" t="s">
        <v>74</v>
      </c>
      <c r="AC617" t="s">
        <v>11243</v>
      </c>
      <c r="AD617" t="s">
        <v>11244</v>
      </c>
      <c r="AE617" t="s">
        <v>11245</v>
      </c>
      <c r="AF617" t="s">
        <v>74</v>
      </c>
      <c r="AG617">
        <v>51</v>
      </c>
      <c r="AH617">
        <v>0</v>
      </c>
      <c r="AI617">
        <v>0</v>
      </c>
      <c r="AJ617">
        <v>0</v>
      </c>
      <c r="AK617">
        <v>0</v>
      </c>
      <c r="AL617" t="s">
        <v>90</v>
      </c>
      <c r="AM617" t="s">
        <v>91</v>
      </c>
      <c r="AN617" t="s">
        <v>92</v>
      </c>
      <c r="AO617" t="s">
        <v>10747</v>
      </c>
      <c r="AP617" t="s">
        <v>10748</v>
      </c>
      <c r="AQ617" t="s">
        <v>74</v>
      </c>
      <c r="AR617" t="s">
        <v>10737</v>
      </c>
      <c r="AS617" t="s">
        <v>10749</v>
      </c>
      <c r="AT617" t="s">
        <v>6618</v>
      </c>
      <c r="AU617">
        <v>2023</v>
      </c>
      <c r="AV617">
        <v>116</v>
      </c>
      <c r="AW617" t="s">
        <v>74</v>
      </c>
      <c r="AX617" t="s">
        <v>74</v>
      </c>
      <c r="AY617" t="s">
        <v>74</v>
      </c>
      <c r="AZ617" t="s">
        <v>74</v>
      </c>
      <c r="BA617" t="s">
        <v>74</v>
      </c>
      <c r="BB617" t="s">
        <v>74</v>
      </c>
      <c r="BC617" t="s">
        <v>74</v>
      </c>
      <c r="BD617">
        <v>108766</v>
      </c>
      <c r="BE617" t="s">
        <v>11246</v>
      </c>
      <c r="BF617" t="str">
        <f>HYPERLINK("http://dx.doi.org/10.1016/j.nanoen.2023.108766","http://dx.doi.org/10.1016/j.nanoen.2023.108766")</f>
        <v>http://dx.doi.org/10.1016/j.nanoen.2023.108766</v>
      </c>
      <c r="BG617" t="s">
        <v>74</v>
      </c>
      <c r="BH617" t="s">
        <v>74</v>
      </c>
      <c r="BI617">
        <v>9</v>
      </c>
      <c r="BJ617" t="s">
        <v>10751</v>
      </c>
      <c r="BK617" t="s">
        <v>100</v>
      </c>
      <c r="BL617" t="s">
        <v>10752</v>
      </c>
      <c r="BM617" t="s">
        <v>11247</v>
      </c>
      <c r="BN617" t="s">
        <v>74</v>
      </c>
      <c r="BO617" t="s">
        <v>74</v>
      </c>
      <c r="BP617" t="s">
        <v>74</v>
      </c>
      <c r="BQ617" t="s">
        <v>74</v>
      </c>
      <c r="BR617" t="s">
        <v>104</v>
      </c>
      <c r="BS617" t="s">
        <v>11248</v>
      </c>
      <c r="BT617" t="str">
        <f>HYPERLINK("https%3A%2F%2Fwww.webofscience.com%2Fwos%2Fwoscc%2Ffull-record%2FWOS:001065843200001","View Full Record in Web of Science")</f>
        <v>View Full Record in Web of Science</v>
      </c>
    </row>
    <row r="618" spans="1:72" x14ac:dyDescent="0.15">
      <c r="A618" t="s">
        <v>72</v>
      </c>
      <c r="B618" t="s">
        <v>11249</v>
      </c>
      <c r="C618" t="s">
        <v>74</v>
      </c>
      <c r="D618" t="s">
        <v>74</v>
      </c>
      <c r="E618" t="s">
        <v>74</v>
      </c>
      <c r="F618" t="s">
        <v>11250</v>
      </c>
      <c r="G618" t="s">
        <v>74</v>
      </c>
      <c r="H618" t="s">
        <v>74</v>
      </c>
      <c r="I618" t="s">
        <v>11251</v>
      </c>
      <c r="J618" t="s">
        <v>7507</v>
      </c>
      <c r="K618" t="s">
        <v>74</v>
      </c>
      <c r="L618" t="s">
        <v>74</v>
      </c>
      <c r="M618" t="s">
        <v>78</v>
      </c>
      <c r="N618" t="s">
        <v>79</v>
      </c>
      <c r="O618" t="s">
        <v>74</v>
      </c>
      <c r="P618" t="s">
        <v>74</v>
      </c>
      <c r="Q618" t="s">
        <v>74</v>
      </c>
      <c r="R618" t="s">
        <v>74</v>
      </c>
      <c r="S618" t="s">
        <v>74</v>
      </c>
      <c r="T618" t="s">
        <v>11252</v>
      </c>
      <c r="U618" t="s">
        <v>11253</v>
      </c>
      <c r="V618" t="s">
        <v>11254</v>
      </c>
      <c r="W618" t="s">
        <v>11255</v>
      </c>
      <c r="X618" t="s">
        <v>11256</v>
      </c>
      <c r="Y618" t="s">
        <v>11257</v>
      </c>
      <c r="Z618" t="s">
        <v>11258</v>
      </c>
      <c r="AA618" t="s">
        <v>11259</v>
      </c>
      <c r="AB618" t="s">
        <v>11260</v>
      </c>
      <c r="AC618" t="s">
        <v>11261</v>
      </c>
      <c r="AD618" t="s">
        <v>11261</v>
      </c>
      <c r="AE618" t="s">
        <v>11262</v>
      </c>
      <c r="AF618" t="s">
        <v>74</v>
      </c>
      <c r="AG618">
        <v>40</v>
      </c>
      <c r="AH618">
        <v>0</v>
      </c>
      <c r="AI618">
        <v>0</v>
      </c>
      <c r="AJ618">
        <v>3</v>
      </c>
      <c r="AK618">
        <v>3</v>
      </c>
      <c r="AL618" t="s">
        <v>120</v>
      </c>
      <c r="AM618" t="s">
        <v>121</v>
      </c>
      <c r="AN618" t="s">
        <v>122</v>
      </c>
      <c r="AO618" t="s">
        <v>7518</v>
      </c>
      <c r="AP618" t="s">
        <v>7519</v>
      </c>
      <c r="AQ618" t="s">
        <v>74</v>
      </c>
      <c r="AR618" t="s">
        <v>7520</v>
      </c>
      <c r="AS618" t="s">
        <v>7521</v>
      </c>
      <c r="AT618" t="s">
        <v>6618</v>
      </c>
      <c r="AU618">
        <v>2023</v>
      </c>
      <c r="AV618">
        <v>387</v>
      </c>
      <c r="AW618" t="s">
        <v>74</v>
      </c>
      <c r="AX618" t="s">
        <v>74</v>
      </c>
      <c r="AY618" t="s">
        <v>74</v>
      </c>
      <c r="AZ618" t="s">
        <v>74</v>
      </c>
      <c r="BA618" t="s">
        <v>74</v>
      </c>
      <c r="BB618" t="s">
        <v>74</v>
      </c>
      <c r="BC618" t="s">
        <v>74</v>
      </c>
      <c r="BD618">
        <v>129594</v>
      </c>
      <c r="BE618" t="s">
        <v>11263</v>
      </c>
      <c r="BF618" t="str">
        <f>HYPERLINK("http://dx.doi.org/10.1016/j.biortech.2023.129594","http://dx.doi.org/10.1016/j.biortech.2023.129594")</f>
        <v>http://dx.doi.org/10.1016/j.biortech.2023.129594</v>
      </c>
      <c r="BG618" t="s">
        <v>74</v>
      </c>
      <c r="BH618" t="s">
        <v>74</v>
      </c>
      <c r="BI618">
        <v>10</v>
      </c>
      <c r="BJ618" t="s">
        <v>7523</v>
      </c>
      <c r="BK618" t="s">
        <v>100</v>
      </c>
      <c r="BL618" t="s">
        <v>7524</v>
      </c>
      <c r="BM618" t="s">
        <v>11264</v>
      </c>
      <c r="BN618">
        <v>37532060</v>
      </c>
      <c r="BO618" t="s">
        <v>2583</v>
      </c>
      <c r="BP618" t="s">
        <v>74</v>
      </c>
      <c r="BQ618" t="s">
        <v>74</v>
      </c>
      <c r="BR618" t="s">
        <v>104</v>
      </c>
      <c r="BS618" t="s">
        <v>11265</v>
      </c>
      <c r="BT618" t="str">
        <f>HYPERLINK("https%3A%2F%2Fwww.webofscience.com%2Fwos%2Fwoscc%2Ffull-record%2FWOS:001053109700001","View Full Record in Web of Science")</f>
        <v>View Full Record in Web of Science</v>
      </c>
    </row>
    <row r="619" spans="1:72" x14ac:dyDescent="0.15">
      <c r="A619" t="s">
        <v>72</v>
      </c>
      <c r="B619" t="s">
        <v>11266</v>
      </c>
      <c r="C619" t="s">
        <v>74</v>
      </c>
      <c r="D619" t="s">
        <v>74</v>
      </c>
      <c r="E619" t="s">
        <v>74</v>
      </c>
      <c r="F619" t="s">
        <v>11267</v>
      </c>
      <c r="G619" t="s">
        <v>74</v>
      </c>
      <c r="H619" t="s">
        <v>74</v>
      </c>
      <c r="I619" t="s">
        <v>11268</v>
      </c>
      <c r="J619" t="s">
        <v>7948</v>
      </c>
      <c r="K619" t="s">
        <v>74</v>
      </c>
      <c r="L619" t="s">
        <v>74</v>
      </c>
      <c r="M619" t="s">
        <v>78</v>
      </c>
      <c r="N619" t="s">
        <v>79</v>
      </c>
      <c r="O619" t="s">
        <v>74</v>
      </c>
      <c r="P619" t="s">
        <v>74</v>
      </c>
      <c r="Q619" t="s">
        <v>74</v>
      </c>
      <c r="R619" t="s">
        <v>74</v>
      </c>
      <c r="S619" t="s">
        <v>74</v>
      </c>
      <c r="T619" t="s">
        <v>11269</v>
      </c>
      <c r="U619" t="s">
        <v>11270</v>
      </c>
      <c r="V619" t="s">
        <v>11271</v>
      </c>
      <c r="W619" t="s">
        <v>11272</v>
      </c>
      <c r="X619" t="s">
        <v>11273</v>
      </c>
      <c r="Y619" t="s">
        <v>11274</v>
      </c>
      <c r="Z619" t="s">
        <v>11275</v>
      </c>
      <c r="AA619" t="s">
        <v>74</v>
      </c>
      <c r="AB619" t="s">
        <v>74</v>
      </c>
      <c r="AC619" t="s">
        <v>11276</v>
      </c>
      <c r="AD619" t="s">
        <v>11277</v>
      </c>
      <c r="AE619" t="s">
        <v>11278</v>
      </c>
      <c r="AF619" t="s">
        <v>74</v>
      </c>
      <c r="AG619">
        <v>38</v>
      </c>
      <c r="AH619">
        <v>0</v>
      </c>
      <c r="AI619">
        <v>0</v>
      </c>
      <c r="AJ619">
        <v>0</v>
      </c>
      <c r="AK619">
        <v>0</v>
      </c>
      <c r="AL619" t="s">
        <v>90</v>
      </c>
      <c r="AM619" t="s">
        <v>91</v>
      </c>
      <c r="AN619" t="s">
        <v>92</v>
      </c>
      <c r="AO619" t="s">
        <v>7959</v>
      </c>
      <c r="AP619" t="s">
        <v>7960</v>
      </c>
      <c r="AQ619" t="s">
        <v>74</v>
      </c>
      <c r="AR619" t="s">
        <v>7961</v>
      </c>
      <c r="AS619" t="s">
        <v>7962</v>
      </c>
      <c r="AT619" t="s">
        <v>6659</v>
      </c>
      <c r="AU619">
        <v>2023</v>
      </c>
      <c r="AV619">
        <v>389</v>
      </c>
      <c r="AW619" t="s">
        <v>74</v>
      </c>
      <c r="AX619" t="s">
        <v>74</v>
      </c>
      <c r="AY619" t="s">
        <v>74</v>
      </c>
      <c r="AZ619" t="s">
        <v>74</v>
      </c>
      <c r="BA619" t="s">
        <v>74</v>
      </c>
      <c r="BB619" t="s">
        <v>74</v>
      </c>
      <c r="BC619" t="s">
        <v>74</v>
      </c>
      <c r="BD619">
        <v>122857</v>
      </c>
      <c r="BE619" t="s">
        <v>11279</v>
      </c>
      <c r="BF619" t="str">
        <f>HYPERLINK("http://dx.doi.org/10.1016/j.molliq.2023.122857","http://dx.doi.org/10.1016/j.molliq.2023.122857")</f>
        <v>http://dx.doi.org/10.1016/j.molliq.2023.122857</v>
      </c>
      <c r="BG619" t="s">
        <v>74</v>
      </c>
      <c r="BH619" t="s">
        <v>74</v>
      </c>
      <c r="BI619">
        <v>13</v>
      </c>
      <c r="BJ619" t="s">
        <v>7964</v>
      </c>
      <c r="BK619" t="s">
        <v>100</v>
      </c>
      <c r="BL619" t="s">
        <v>7965</v>
      </c>
      <c r="BM619" t="s">
        <v>11280</v>
      </c>
      <c r="BN619" t="s">
        <v>74</v>
      </c>
      <c r="BO619" t="s">
        <v>74</v>
      </c>
      <c r="BP619" t="s">
        <v>74</v>
      </c>
      <c r="BQ619" t="s">
        <v>74</v>
      </c>
      <c r="BR619" t="s">
        <v>104</v>
      </c>
      <c r="BS619" t="s">
        <v>11281</v>
      </c>
      <c r="BT619" t="str">
        <f>HYPERLINK("https%3A%2F%2Fwww.webofscience.com%2Fwos%2Fwoscc%2Ffull-record%2FWOS:001071663100001","View Full Record in Web of Science")</f>
        <v>View Full Record in Web of Science</v>
      </c>
    </row>
    <row r="620" spans="1:72" x14ac:dyDescent="0.15">
      <c r="A620" t="s">
        <v>72</v>
      </c>
      <c r="B620" t="s">
        <v>11282</v>
      </c>
      <c r="C620" t="s">
        <v>74</v>
      </c>
      <c r="D620" t="s">
        <v>74</v>
      </c>
      <c r="E620" t="s">
        <v>74</v>
      </c>
      <c r="F620" t="s">
        <v>11283</v>
      </c>
      <c r="G620" t="s">
        <v>74</v>
      </c>
      <c r="H620" t="s">
        <v>74</v>
      </c>
      <c r="I620" t="s">
        <v>11284</v>
      </c>
      <c r="J620" t="s">
        <v>1950</v>
      </c>
      <c r="K620" t="s">
        <v>74</v>
      </c>
      <c r="L620" t="s">
        <v>74</v>
      </c>
      <c r="M620" t="s">
        <v>78</v>
      </c>
      <c r="N620" t="s">
        <v>79</v>
      </c>
      <c r="O620" t="s">
        <v>74</v>
      </c>
      <c r="P620" t="s">
        <v>74</v>
      </c>
      <c r="Q620" t="s">
        <v>74</v>
      </c>
      <c r="R620" t="s">
        <v>74</v>
      </c>
      <c r="S620" t="s">
        <v>74</v>
      </c>
      <c r="T620" t="s">
        <v>11285</v>
      </c>
      <c r="U620" t="s">
        <v>11286</v>
      </c>
      <c r="V620" t="s">
        <v>11287</v>
      </c>
      <c r="W620" t="s">
        <v>11288</v>
      </c>
      <c r="X620" t="s">
        <v>11289</v>
      </c>
      <c r="Y620" t="s">
        <v>11290</v>
      </c>
      <c r="Z620" t="s">
        <v>11291</v>
      </c>
      <c r="AA620" t="s">
        <v>11292</v>
      </c>
      <c r="AB620" t="s">
        <v>11293</v>
      </c>
      <c r="AC620" t="s">
        <v>11294</v>
      </c>
      <c r="AD620" t="s">
        <v>11295</v>
      </c>
      <c r="AE620" t="s">
        <v>11296</v>
      </c>
      <c r="AF620" t="s">
        <v>74</v>
      </c>
      <c r="AG620">
        <v>58</v>
      </c>
      <c r="AH620">
        <v>0</v>
      </c>
      <c r="AI620">
        <v>0</v>
      </c>
      <c r="AJ620">
        <v>1</v>
      </c>
      <c r="AK620">
        <v>1</v>
      </c>
      <c r="AL620" t="s">
        <v>173</v>
      </c>
      <c r="AM620" t="s">
        <v>121</v>
      </c>
      <c r="AN620" t="s">
        <v>174</v>
      </c>
      <c r="AO620" t="s">
        <v>1963</v>
      </c>
      <c r="AP620" t="s">
        <v>1964</v>
      </c>
      <c r="AQ620" t="s">
        <v>74</v>
      </c>
      <c r="AR620" t="s">
        <v>1950</v>
      </c>
      <c r="AS620" t="s">
        <v>1965</v>
      </c>
      <c r="AT620" t="s">
        <v>6659</v>
      </c>
      <c r="AU620">
        <v>2023</v>
      </c>
      <c r="AV620">
        <v>282</v>
      </c>
      <c r="AW620" t="s">
        <v>74</v>
      </c>
      <c r="AX620" t="s">
        <v>74</v>
      </c>
      <c r="AY620" t="s">
        <v>74</v>
      </c>
      <c r="AZ620" t="s">
        <v>74</v>
      </c>
      <c r="BA620" t="s">
        <v>74</v>
      </c>
      <c r="BB620" t="s">
        <v>74</v>
      </c>
      <c r="BC620" t="s">
        <v>74</v>
      </c>
      <c r="BD620">
        <v>128807</v>
      </c>
      <c r="BE620" t="s">
        <v>11297</v>
      </c>
      <c r="BF620" t="str">
        <f>HYPERLINK("http://dx.doi.org/10.1016/j.energy.2023.128807","http://dx.doi.org/10.1016/j.energy.2023.128807")</f>
        <v>http://dx.doi.org/10.1016/j.energy.2023.128807</v>
      </c>
      <c r="BG620" t="s">
        <v>74</v>
      </c>
      <c r="BH620" t="s">
        <v>74</v>
      </c>
      <c r="BI620">
        <v>14</v>
      </c>
      <c r="BJ620" t="s">
        <v>1967</v>
      </c>
      <c r="BK620" t="s">
        <v>100</v>
      </c>
      <c r="BL620" t="s">
        <v>1967</v>
      </c>
      <c r="BM620" t="s">
        <v>11298</v>
      </c>
      <c r="BN620" t="s">
        <v>74</v>
      </c>
      <c r="BO620" t="s">
        <v>74</v>
      </c>
      <c r="BP620" t="s">
        <v>74</v>
      </c>
      <c r="BQ620" t="s">
        <v>74</v>
      </c>
      <c r="BR620" t="s">
        <v>104</v>
      </c>
      <c r="BS620" t="s">
        <v>11299</v>
      </c>
      <c r="BT620" t="str">
        <f>HYPERLINK("https%3A%2F%2Fwww.webofscience.com%2Fwos%2Fwoscc%2Ffull-record%2FWOS:001065018300001","View Full Record in Web of Science")</f>
        <v>View Full Record in Web of Science</v>
      </c>
    </row>
    <row r="621" spans="1:72" x14ac:dyDescent="0.15">
      <c r="A621" t="s">
        <v>72</v>
      </c>
      <c r="B621" t="s">
        <v>11300</v>
      </c>
      <c r="C621" t="s">
        <v>74</v>
      </c>
      <c r="D621" t="s">
        <v>74</v>
      </c>
      <c r="E621" t="s">
        <v>74</v>
      </c>
      <c r="F621" t="s">
        <v>11301</v>
      </c>
      <c r="G621" t="s">
        <v>74</v>
      </c>
      <c r="H621" t="s">
        <v>74</v>
      </c>
      <c r="I621" t="s">
        <v>11302</v>
      </c>
      <c r="J621" t="s">
        <v>8466</v>
      </c>
      <c r="K621" t="s">
        <v>74</v>
      </c>
      <c r="L621" t="s">
        <v>74</v>
      </c>
      <c r="M621" t="s">
        <v>78</v>
      </c>
      <c r="N621" t="s">
        <v>79</v>
      </c>
      <c r="O621" t="s">
        <v>74</v>
      </c>
      <c r="P621" t="s">
        <v>74</v>
      </c>
      <c r="Q621" t="s">
        <v>74</v>
      </c>
      <c r="R621" t="s">
        <v>74</v>
      </c>
      <c r="S621" t="s">
        <v>74</v>
      </c>
      <c r="T621" t="s">
        <v>11303</v>
      </c>
      <c r="U621" t="s">
        <v>11304</v>
      </c>
      <c r="V621" t="s">
        <v>11305</v>
      </c>
      <c r="W621" t="s">
        <v>11306</v>
      </c>
      <c r="X621" t="s">
        <v>11307</v>
      </c>
      <c r="Y621" t="s">
        <v>11308</v>
      </c>
      <c r="Z621" t="s">
        <v>11309</v>
      </c>
      <c r="AA621" t="s">
        <v>74</v>
      </c>
      <c r="AB621" t="s">
        <v>11310</v>
      </c>
      <c r="AC621" t="s">
        <v>11311</v>
      </c>
      <c r="AD621" t="s">
        <v>11312</v>
      </c>
      <c r="AE621" t="s">
        <v>11313</v>
      </c>
      <c r="AF621" t="s">
        <v>74</v>
      </c>
      <c r="AG621">
        <v>36</v>
      </c>
      <c r="AH621">
        <v>0</v>
      </c>
      <c r="AI621">
        <v>0</v>
      </c>
      <c r="AJ621">
        <v>4</v>
      </c>
      <c r="AK621">
        <v>4</v>
      </c>
      <c r="AL621" t="s">
        <v>120</v>
      </c>
      <c r="AM621" t="s">
        <v>121</v>
      </c>
      <c r="AN621" t="s">
        <v>122</v>
      </c>
      <c r="AO621" t="s">
        <v>8477</v>
      </c>
      <c r="AP621" t="s">
        <v>8478</v>
      </c>
      <c r="AQ621" t="s">
        <v>74</v>
      </c>
      <c r="AR621" t="s">
        <v>8479</v>
      </c>
      <c r="AS621" t="s">
        <v>8480</v>
      </c>
      <c r="AT621" t="s">
        <v>6618</v>
      </c>
      <c r="AU621">
        <v>2023</v>
      </c>
      <c r="AV621">
        <v>153</v>
      </c>
      <c r="AW621" t="s">
        <v>74</v>
      </c>
      <c r="AX621" t="s">
        <v>74</v>
      </c>
      <c r="AY621" t="s">
        <v>74</v>
      </c>
      <c r="AZ621" t="s">
        <v>74</v>
      </c>
      <c r="BA621" t="s">
        <v>74</v>
      </c>
      <c r="BB621" t="s">
        <v>74</v>
      </c>
      <c r="BC621" t="s">
        <v>74</v>
      </c>
      <c r="BD621">
        <v>109363</v>
      </c>
      <c r="BE621" t="s">
        <v>11314</v>
      </c>
      <c r="BF621" t="str">
        <f>HYPERLINK("http://dx.doi.org/10.1016/j.ijepes.2023.109363","http://dx.doi.org/10.1016/j.ijepes.2023.109363")</f>
        <v>http://dx.doi.org/10.1016/j.ijepes.2023.109363</v>
      </c>
      <c r="BG621" t="s">
        <v>74</v>
      </c>
      <c r="BH621" t="s">
        <v>74</v>
      </c>
      <c r="BI621">
        <v>13</v>
      </c>
      <c r="BJ621" t="s">
        <v>4594</v>
      </c>
      <c r="BK621" t="s">
        <v>100</v>
      </c>
      <c r="BL621" t="s">
        <v>873</v>
      </c>
      <c r="BM621" t="s">
        <v>11315</v>
      </c>
      <c r="BN621" t="s">
        <v>74</v>
      </c>
      <c r="BO621" t="s">
        <v>74</v>
      </c>
      <c r="BP621" t="s">
        <v>74</v>
      </c>
      <c r="BQ621" t="s">
        <v>74</v>
      </c>
      <c r="BR621" t="s">
        <v>104</v>
      </c>
      <c r="BS621" t="s">
        <v>11316</v>
      </c>
      <c r="BT621" t="str">
        <f>HYPERLINK("https%3A%2F%2Fwww.webofscience.com%2Fwos%2Fwoscc%2Ffull-record%2FWOS:001050350400001","View Full Record in Web of Science")</f>
        <v>View Full Record in Web of Science</v>
      </c>
    </row>
    <row r="622" spans="1:72" x14ac:dyDescent="0.15">
      <c r="A622" t="s">
        <v>72</v>
      </c>
      <c r="B622" t="s">
        <v>11317</v>
      </c>
      <c r="C622" t="s">
        <v>74</v>
      </c>
      <c r="D622" t="s">
        <v>74</v>
      </c>
      <c r="E622" t="s">
        <v>74</v>
      </c>
      <c r="F622" t="s">
        <v>11318</v>
      </c>
      <c r="G622" t="s">
        <v>74</v>
      </c>
      <c r="H622" t="s">
        <v>74</v>
      </c>
      <c r="I622" t="s">
        <v>11319</v>
      </c>
      <c r="J622" t="s">
        <v>9627</v>
      </c>
      <c r="K622" t="s">
        <v>74</v>
      </c>
      <c r="L622" t="s">
        <v>74</v>
      </c>
      <c r="M622" t="s">
        <v>78</v>
      </c>
      <c r="N622" t="s">
        <v>79</v>
      </c>
      <c r="O622" t="s">
        <v>74</v>
      </c>
      <c r="P622" t="s">
        <v>74</v>
      </c>
      <c r="Q622" t="s">
        <v>74</v>
      </c>
      <c r="R622" t="s">
        <v>74</v>
      </c>
      <c r="S622" t="s">
        <v>74</v>
      </c>
      <c r="T622" t="s">
        <v>11320</v>
      </c>
      <c r="U622" t="s">
        <v>11321</v>
      </c>
      <c r="V622" t="s">
        <v>11322</v>
      </c>
      <c r="W622" t="s">
        <v>11323</v>
      </c>
      <c r="X622" t="s">
        <v>11324</v>
      </c>
      <c r="Y622" t="s">
        <v>11325</v>
      </c>
      <c r="Z622" t="s">
        <v>11326</v>
      </c>
      <c r="AA622" t="s">
        <v>11327</v>
      </c>
      <c r="AB622" t="s">
        <v>74</v>
      </c>
      <c r="AC622" t="s">
        <v>11328</v>
      </c>
      <c r="AD622" t="s">
        <v>11329</v>
      </c>
      <c r="AE622" t="s">
        <v>11330</v>
      </c>
      <c r="AF622" t="s">
        <v>74</v>
      </c>
      <c r="AG622">
        <v>46</v>
      </c>
      <c r="AH622">
        <v>0</v>
      </c>
      <c r="AI622">
        <v>0</v>
      </c>
      <c r="AJ622">
        <v>28</v>
      </c>
      <c r="AK622">
        <v>28</v>
      </c>
      <c r="AL622" t="s">
        <v>955</v>
      </c>
      <c r="AM622" t="s">
        <v>956</v>
      </c>
      <c r="AN622" t="s">
        <v>957</v>
      </c>
      <c r="AO622" t="s">
        <v>9638</v>
      </c>
      <c r="AP622" t="s">
        <v>9639</v>
      </c>
      <c r="AQ622" t="s">
        <v>74</v>
      </c>
      <c r="AR622" t="s">
        <v>9640</v>
      </c>
      <c r="AS622" t="s">
        <v>9641</v>
      </c>
      <c r="AT622" t="s">
        <v>6618</v>
      </c>
      <c r="AU622">
        <v>2023</v>
      </c>
      <c r="AV622">
        <v>184</v>
      </c>
      <c r="AW622" t="s">
        <v>74</v>
      </c>
      <c r="AX622" t="s">
        <v>74</v>
      </c>
      <c r="AY622" t="s">
        <v>74</v>
      </c>
      <c r="AZ622" t="s">
        <v>74</v>
      </c>
      <c r="BA622" t="s">
        <v>74</v>
      </c>
      <c r="BB622" t="s">
        <v>74</v>
      </c>
      <c r="BC622" t="s">
        <v>74</v>
      </c>
      <c r="BD622">
        <v>107818</v>
      </c>
      <c r="BE622" t="s">
        <v>11331</v>
      </c>
      <c r="BF622" t="str">
        <f>HYPERLINK("http://dx.doi.org/10.1016/j.porgcoat.2023.107818","http://dx.doi.org/10.1016/j.porgcoat.2023.107818")</f>
        <v>http://dx.doi.org/10.1016/j.porgcoat.2023.107818</v>
      </c>
      <c r="BG622" t="s">
        <v>74</v>
      </c>
      <c r="BH622" t="s">
        <v>74</v>
      </c>
      <c r="BI622">
        <v>9</v>
      </c>
      <c r="BJ622" t="s">
        <v>9643</v>
      </c>
      <c r="BK622" t="s">
        <v>100</v>
      </c>
      <c r="BL622" t="s">
        <v>9644</v>
      </c>
      <c r="BM622" t="s">
        <v>11332</v>
      </c>
      <c r="BN622" t="s">
        <v>74</v>
      </c>
      <c r="BO622" t="s">
        <v>74</v>
      </c>
      <c r="BP622" t="s">
        <v>74</v>
      </c>
      <c r="BQ622" t="s">
        <v>74</v>
      </c>
      <c r="BR622" t="s">
        <v>104</v>
      </c>
      <c r="BS622" t="s">
        <v>11333</v>
      </c>
      <c r="BT622" t="str">
        <f>HYPERLINK("https%3A%2F%2Fwww.webofscience.com%2Fwos%2Fwoscc%2Ffull-record%2FWOS:001051949300001","View Full Record in Web of Science")</f>
        <v>View Full Record in Web of Science</v>
      </c>
    </row>
    <row r="623" spans="1:72" x14ac:dyDescent="0.15">
      <c r="A623" t="s">
        <v>72</v>
      </c>
      <c r="B623" t="s">
        <v>11334</v>
      </c>
      <c r="C623" t="s">
        <v>74</v>
      </c>
      <c r="D623" t="s">
        <v>74</v>
      </c>
      <c r="E623" t="s">
        <v>74</v>
      </c>
      <c r="F623" t="s">
        <v>11335</v>
      </c>
      <c r="G623" t="s">
        <v>74</v>
      </c>
      <c r="H623" t="s">
        <v>74</v>
      </c>
      <c r="I623" t="s">
        <v>11336</v>
      </c>
      <c r="J623" t="s">
        <v>5687</v>
      </c>
      <c r="K623" t="s">
        <v>74</v>
      </c>
      <c r="L623" t="s">
        <v>74</v>
      </c>
      <c r="M623" t="s">
        <v>78</v>
      </c>
      <c r="N623" t="s">
        <v>79</v>
      </c>
      <c r="O623" t="s">
        <v>74</v>
      </c>
      <c r="P623" t="s">
        <v>74</v>
      </c>
      <c r="Q623" t="s">
        <v>74</v>
      </c>
      <c r="R623" t="s">
        <v>74</v>
      </c>
      <c r="S623" t="s">
        <v>74</v>
      </c>
      <c r="T623" t="s">
        <v>11337</v>
      </c>
      <c r="U623" t="s">
        <v>11338</v>
      </c>
      <c r="V623" t="s">
        <v>11339</v>
      </c>
      <c r="W623" t="s">
        <v>11340</v>
      </c>
      <c r="X623" t="s">
        <v>11341</v>
      </c>
      <c r="Y623" t="s">
        <v>11342</v>
      </c>
      <c r="Z623" t="s">
        <v>11343</v>
      </c>
      <c r="AA623" t="s">
        <v>74</v>
      </c>
      <c r="AB623" t="s">
        <v>74</v>
      </c>
      <c r="AC623" t="s">
        <v>11344</v>
      </c>
      <c r="AD623" t="s">
        <v>11345</v>
      </c>
      <c r="AE623" t="s">
        <v>11346</v>
      </c>
      <c r="AF623" t="s">
        <v>74</v>
      </c>
      <c r="AG623">
        <v>66</v>
      </c>
      <c r="AH623">
        <v>0</v>
      </c>
      <c r="AI623">
        <v>0</v>
      </c>
      <c r="AJ623">
        <v>12</v>
      </c>
      <c r="AK623">
        <v>12</v>
      </c>
      <c r="AL623" t="s">
        <v>90</v>
      </c>
      <c r="AM623" t="s">
        <v>91</v>
      </c>
      <c r="AN623" t="s">
        <v>92</v>
      </c>
      <c r="AO623" t="s">
        <v>5698</v>
      </c>
      <c r="AP623" t="s">
        <v>5699</v>
      </c>
      <c r="AQ623" t="s">
        <v>74</v>
      </c>
      <c r="AR623" t="s">
        <v>5687</v>
      </c>
      <c r="AS623" t="s">
        <v>5700</v>
      </c>
      <c r="AT623" t="s">
        <v>6659</v>
      </c>
      <c r="AU623">
        <v>2023</v>
      </c>
      <c r="AV623">
        <v>565</v>
      </c>
      <c r="AW623" t="s">
        <v>74</v>
      </c>
      <c r="AX623" t="s">
        <v>74</v>
      </c>
      <c r="AY623" t="s">
        <v>74</v>
      </c>
      <c r="AZ623" t="s">
        <v>74</v>
      </c>
      <c r="BA623" t="s">
        <v>74</v>
      </c>
      <c r="BB623" t="s">
        <v>74</v>
      </c>
      <c r="BC623" t="s">
        <v>74</v>
      </c>
      <c r="BD623">
        <v>116815</v>
      </c>
      <c r="BE623" t="s">
        <v>11347</v>
      </c>
      <c r="BF623" t="str">
        <f>HYPERLINK("http://dx.doi.org/10.1016/j.desal.2023.116815","http://dx.doi.org/10.1016/j.desal.2023.116815")</f>
        <v>http://dx.doi.org/10.1016/j.desal.2023.116815</v>
      </c>
      <c r="BG623" t="s">
        <v>74</v>
      </c>
      <c r="BH623" t="s">
        <v>74</v>
      </c>
      <c r="BI623">
        <v>12</v>
      </c>
      <c r="BJ623" t="s">
        <v>5702</v>
      </c>
      <c r="BK623" t="s">
        <v>100</v>
      </c>
      <c r="BL623" t="s">
        <v>5703</v>
      </c>
      <c r="BM623" t="s">
        <v>11348</v>
      </c>
      <c r="BN623" t="s">
        <v>74</v>
      </c>
      <c r="BO623" t="s">
        <v>74</v>
      </c>
      <c r="BP623" t="s">
        <v>74</v>
      </c>
      <c r="BQ623" t="s">
        <v>74</v>
      </c>
      <c r="BR623" t="s">
        <v>104</v>
      </c>
      <c r="BS623" t="s">
        <v>11349</v>
      </c>
      <c r="BT623" t="str">
        <f>HYPERLINK("https%3A%2F%2Fwww.webofscience.com%2Fwos%2Fwoscc%2Ffull-record%2FWOS:001047541900001","View Full Record in Web of Science")</f>
        <v>View Full Record in Web of Science</v>
      </c>
    </row>
    <row r="624" spans="1:72" x14ac:dyDescent="0.15">
      <c r="A624" t="s">
        <v>72</v>
      </c>
      <c r="B624" t="s">
        <v>11350</v>
      </c>
      <c r="C624" t="s">
        <v>74</v>
      </c>
      <c r="D624" t="s">
        <v>74</v>
      </c>
      <c r="E624" t="s">
        <v>74</v>
      </c>
      <c r="F624" t="s">
        <v>11351</v>
      </c>
      <c r="G624" t="s">
        <v>74</v>
      </c>
      <c r="H624" t="s">
        <v>74</v>
      </c>
      <c r="I624" t="s">
        <v>11352</v>
      </c>
      <c r="J624" t="s">
        <v>8246</v>
      </c>
      <c r="K624" t="s">
        <v>74</v>
      </c>
      <c r="L624" t="s">
        <v>74</v>
      </c>
      <c r="M624" t="s">
        <v>78</v>
      </c>
      <c r="N624" t="s">
        <v>79</v>
      </c>
      <c r="O624" t="s">
        <v>74</v>
      </c>
      <c r="P624" t="s">
        <v>74</v>
      </c>
      <c r="Q624" t="s">
        <v>74</v>
      </c>
      <c r="R624" t="s">
        <v>74</v>
      </c>
      <c r="S624" t="s">
        <v>74</v>
      </c>
      <c r="T624" t="s">
        <v>11353</v>
      </c>
      <c r="U624" t="s">
        <v>11354</v>
      </c>
      <c r="V624" t="s">
        <v>11355</v>
      </c>
      <c r="W624" t="s">
        <v>11356</v>
      </c>
      <c r="X624" t="s">
        <v>11357</v>
      </c>
      <c r="Y624" t="s">
        <v>11358</v>
      </c>
      <c r="Z624" t="s">
        <v>11359</v>
      </c>
      <c r="AA624" t="s">
        <v>74</v>
      </c>
      <c r="AB624" t="s">
        <v>74</v>
      </c>
      <c r="AC624" t="s">
        <v>11360</v>
      </c>
      <c r="AD624" t="s">
        <v>11361</v>
      </c>
      <c r="AE624" t="s">
        <v>11362</v>
      </c>
      <c r="AF624" t="s">
        <v>74</v>
      </c>
      <c r="AG624">
        <v>42</v>
      </c>
      <c r="AH624">
        <v>0</v>
      </c>
      <c r="AI624">
        <v>0</v>
      </c>
      <c r="AJ624">
        <v>0</v>
      </c>
      <c r="AK624">
        <v>0</v>
      </c>
      <c r="AL624" t="s">
        <v>173</v>
      </c>
      <c r="AM624" t="s">
        <v>121</v>
      </c>
      <c r="AN624" t="s">
        <v>174</v>
      </c>
      <c r="AO624" t="s">
        <v>8256</v>
      </c>
      <c r="AP624" t="s">
        <v>8257</v>
      </c>
      <c r="AQ624" t="s">
        <v>74</v>
      </c>
      <c r="AR624" t="s">
        <v>8258</v>
      </c>
      <c r="AS624" t="s">
        <v>8259</v>
      </c>
      <c r="AT624" t="s">
        <v>6618</v>
      </c>
      <c r="AU624">
        <v>2023</v>
      </c>
      <c r="AV624">
        <v>217</v>
      </c>
      <c r="AW624" t="s">
        <v>74</v>
      </c>
      <c r="AX624" t="s">
        <v>74</v>
      </c>
      <c r="AY624" t="s">
        <v>74</v>
      </c>
      <c r="AZ624" t="s">
        <v>74</v>
      </c>
      <c r="BA624" t="s">
        <v>74</v>
      </c>
      <c r="BB624" t="s">
        <v>74</v>
      </c>
      <c r="BC624" t="s">
        <v>74</v>
      </c>
      <c r="BD624">
        <v>119235</v>
      </c>
      <c r="BE624" t="s">
        <v>11363</v>
      </c>
      <c r="BF624" t="str">
        <f>HYPERLINK("http://dx.doi.org/10.1016/j.renene.2023.119235","http://dx.doi.org/10.1016/j.renene.2023.119235")</f>
        <v>http://dx.doi.org/10.1016/j.renene.2023.119235</v>
      </c>
      <c r="BG624" t="s">
        <v>74</v>
      </c>
      <c r="BH624" t="s">
        <v>74</v>
      </c>
      <c r="BI624">
        <v>13</v>
      </c>
      <c r="BJ624" t="s">
        <v>8261</v>
      </c>
      <c r="BK624" t="s">
        <v>100</v>
      </c>
      <c r="BL624" t="s">
        <v>8262</v>
      </c>
      <c r="BM624" t="s">
        <v>11364</v>
      </c>
      <c r="BN624" t="s">
        <v>74</v>
      </c>
      <c r="BO624" t="s">
        <v>74</v>
      </c>
      <c r="BP624" t="s">
        <v>74</v>
      </c>
      <c r="BQ624" t="s">
        <v>74</v>
      </c>
      <c r="BR624" t="s">
        <v>104</v>
      </c>
      <c r="BS624" t="s">
        <v>11365</v>
      </c>
      <c r="BT624" t="str">
        <f>HYPERLINK("https%3A%2F%2Fwww.webofscience.com%2Fwos%2Fwoscc%2Ffull-record%2FWOS:001070630900001","View Full Record in Web of Science")</f>
        <v>View Full Record in Web of Science</v>
      </c>
    </row>
    <row r="625" spans="1:72" x14ac:dyDescent="0.15">
      <c r="A625" t="s">
        <v>72</v>
      </c>
      <c r="B625" t="s">
        <v>11366</v>
      </c>
      <c r="C625" t="s">
        <v>74</v>
      </c>
      <c r="D625" t="s">
        <v>74</v>
      </c>
      <c r="E625" t="s">
        <v>74</v>
      </c>
      <c r="F625" t="s">
        <v>11367</v>
      </c>
      <c r="G625" t="s">
        <v>74</v>
      </c>
      <c r="H625" t="s">
        <v>74</v>
      </c>
      <c r="I625" t="s">
        <v>11368</v>
      </c>
      <c r="J625" t="s">
        <v>8246</v>
      </c>
      <c r="K625" t="s">
        <v>74</v>
      </c>
      <c r="L625" t="s">
        <v>74</v>
      </c>
      <c r="M625" t="s">
        <v>78</v>
      </c>
      <c r="N625" t="s">
        <v>79</v>
      </c>
      <c r="O625" t="s">
        <v>74</v>
      </c>
      <c r="P625" t="s">
        <v>74</v>
      </c>
      <c r="Q625" t="s">
        <v>74</v>
      </c>
      <c r="R625" t="s">
        <v>74</v>
      </c>
      <c r="S625" t="s">
        <v>74</v>
      </c>
      <c r="T625" t="s">
        <v>11369</v>
      </c>
      <c r="U625" t="s">
        <v>11370</v>
      </c>
      <c r="V625" t="s">
        <v>11371</v>
      </c>
      <c r="W625" t="s">
        <v>11372</v>
      </c>
      <c r="X625" t="s">
        <v>11373</v>
      </c>
      <c r="Y625" t="s">
        <v>11374</v>
      </c>
      <c r="Z625" t="s">
        <v>11375</v>
      </c>
      <c r="AA625" t="s">
        <v>74</v>
      </c>
      <c r="AB625" t="s">
        <v>74</v>
      </c>
      <c r="AC625" t="s">
        <v>11376</v>
      </c>
      <c r="AD625" t="s">
        <v>11377</v>
      </c>
      <c r="AE625" t="s">
        <v>11378</v>
      </c>
      <c r="AF625" t="s">
        <v>74</v>
      </c>
      <c r="AG625">
        <v>49</v>
      </c>
      <c r="AH625">
        <v>0</v>
      </c>
      <c r="AI625">
        <v>0</v>
      </c>
      <c r="AJ625">
        <v>0</v>
      </c>
      <c r="AK625">
        <v>0</v>
      </c>
      <c r="AL625" t="s">
        <v>173</v>
      </c>
      <c r="AM625" t="s">
        <v>121</v>
      </c>
      <c r="AN625" t="s">
        <v>174</v>
      </c>
      <c r="AO625" t="s">
        <v>8256</v>
      </c>
      <c r="AP625" t="s">
        <v>8257</v>
      </c>
      <c r="AQ625" t="s">
        <v>74</v>
      </c>
      <c r="AR625" t="s">
        <v>8258</v>
      </c>
      <c r="AS625" t="s">
        <v>8259</v>
      </c>
      <c r="AT625" t="s">
        <v>6618</v>
      </c>
      <c r="AU625">
        <v>2023</v>
      </c>
      <c r="AV625">
        <v>217</v>
      </c>
      <c r="AW625" t="s">
        <v>74</v>
      </c>
      <c r="AX625" t="s">
        <v>74</v>
      </c>
      <c r="AY625" t="s">
        <v>74</v>
      </c>
      <c r="AZ625" t="s">
        <v>74</v>
      </c>
      <c r="BA625" t="s">
        <v>74</v>
      </c>
      <c r="BB625" t="s">
        <v>74</v>
      </c>
      <c r="BC625" t="s">
        <v>74</v>
      </c>
      <c r="BD625">
        <v>119163</v>
      </c>
      <c r="BE625" t="s">
        <v>11379</v>
      </c>
      <c r="BF625" t="str">
        <f>HYPERLINK("http://dx.doi.org/10.1016/j.renene.2023.119163","http://dx.doi.org/10.1016/j.renene.2023.119163")</f>
        <v>http://dx.doi.org/10.1016/j.renene.2023.119163</v>
      </c>
      <c r="BG625" t="s">
        <v>74</v>
      </c>
      <c r="BH625" t="s">
        <v>74</v>
      </c>
      <c r="BI625">
        <v>8</v>
      </c>
      <c r="BJ625" t="s">
        <v>8261</v>
      </c>
      <c r="BK625" t="s">
        <v>100</v>
      </c>
      <c r="BL625" t="s">
        <v>8262</v>
      </c>
      <c r="BM625" t="s">
        <v>11380</v>
      </c>
      <c r="BN625" t="s">
        <v>74</v>
      </c>
      <c r="BO625" t="s">
        <v>74</v>
      </c>
      <c r="BP625" t="s">
        <v>74</v>
      </c>
      <c r="BQ625" t="s">
        <v>74</v>
      </c>
      <c r="BR625" t="s">
        <v>104</v>
      </c>
      <c r="BS625" t="s">
        <v>11381</v>
      </c>
      <c r="BT625" t="str">
        <f>HYPERLINK("https%3A%2F%2Fwww.webofscience.com%2Fwos%2Fwoscc%2Ffull-record%2FWOS:001069041100001","View Full Record in Web of Science")</f>
        <v>View Full Record in Web of Science</v>
      </c>
    </row>
    <row r="626" spans="1:72" x14ac:dyDescent="0.15">
      <c r="A626" t="s">
        <v>72</v>
      </c>
      <c r="B626" t="s">
        <v>11382</v>
      </c>
      <c r="C626" t="s">
        <v>74</v>
      </c>
      <c r="D626" t="s">
        <v>74</v>
      </c>
      <c r="E626" t="s">
        <v>74</v>
      </c>
      <c r="F626" t="s">
        <v>11383</v>
      </c>
      <c r="G626" t="s">
        <v>74</v>
      </c>
      <c r="H626" t="s">
        <v>74</v>
      </c>
      <c r="I626" t="s">
        <v>11384</v>
      </c>
      <c r="J626" t="s">
        <v>8946</v>
      </c>
      <c r="K626" t="s">
        <v>74</v>
      </c>
      <c r="L626" t="s">
        <v>74</v>
      </c>
      <c r="M626" t="s">
        <v>78</v>
      </c>
      <c r="N626" t="s">
        <v>79</v>
      </c>
      <c r="O626" t="s">
        <v>74</v>
      </c>
      <c r="P626" t="s">
        <v>74</v>
      </c>
      <c r="Q626" t="s">
        <v>74</v>
      </c>
      <c r="R626" t="s">
        <v>74</v>
      </c>
      <c r="S626" t="s">
        <v>74</v>
      </c>
      <c r="T626" t="s">
        <v>11385</v>
      </c>
      <c r="U626" t="s">
        <v>11386</v>
      </c>
      <c r="V626" t="s">
        <v>11387</v>
      </c>
      <c r="W626" t="s">
        <v>11388</v>
      </c>
      <c r="X626" t="s">
        <v>4319</v>
      </c>
      <c r="Y626" t="s">
        <v>11389</v>
      </c>
      <c r="Z626" t="s">
        <v>11390</v>
      </c>
      <c r="AA626" t="s">
        <v>74</v>
      </c>
      <c r="AB626" t="s">
        <v>74</v>
      </c>
      <c r="AC626" t="s">
        <v>11391</v>
      </c>
      <c r="AD626" t="s">
        <v>11392</v>
      </c>
      <c r="AE626" t="s">
        <v>11393</v>
      </c>
      <c r="AF626" t="s">
        <v>74</v>
      </c>
      <c r="AG626">
        <v>30</v>
      </c>
      <c r="AH626">
        <v>0</v>
      </c>
      <c r="AI626">
        <v>0</v>
      </c>
      <c r="AJ626">
        <v>3</v>
      </c>
      <c r="AK626">
        <v>3</v>
      </c>
      <c r="AL626" t="s">
        <v>120</v>
      </c>
      <c r="AM626" t="s">
        <v>121</v>
      </c>
      <c r="AN626" t="s">
        <v>122</v>
      </c>
      <c r="AO626" t="s">
        <v>8954</v>
      </c>
      <c r="AP626" t="s">
        <v>8955</v>
      </c>
      <c r="AQ626" t="s">
        <v>74</v>
      </c>
      <c r="AR626" t="s">
        <v>8956</v>
      </c>
      <c r="AS626" t="s">
        <v>8957</v>
      </c>
      <c r="AT626" t="s">
        <v>6618</v>
      </c>
      <c r="AU626">
        <v>2023</v>
      </c>
      <c r="AV626">
        <v>219</v>
      </c>
      <c r="AW626" t="s">
        <v>74</v>
      </c>
      <c r="AX626" t="s">
        <v>74</v>
      </c>
      <c r="AY626" t="s">
        <v>74</v>
      </c>
      <c r="AZ626" t="s">
        <v>74</v>
      </c>
      <c r="BA626" t="s">
        <v>74</v>
      </c>
      <c r="BB626" t="s">
        <v>74</v>
      </c>
      <c r="BC626" t="s">
        <v>74</v>
      </c>
      <c r="BD626">
        <v>111628</v>
      </c>
      <c r="BE626" t="s">
        <v>11394</v>
      </c>
      <c r="BF626" t="str">
        <f>HYPERLINK("http://dx.doi.org/10.1016/j.dyepig.2023.111628","http://dx.doi.org/10.1016/j.dyepig.2023.111628")</f>
        <v>http://dx.doi.org/10.1016/j.dyepig.2023.111628</v>
      </c>
      <c r="BG626" t="s">
        <v>74</v>
      </c>
      <c r="BH626" t="s">
        <v>74</v>
      </c>
      <c r="BI626">
        <v>7</v>
      </c>
      <c r="BJ626" t="s">
        <v>8959</v>
      </c>
      <c r="BK626" t="s">
        <v>100</v>
      </c>
      <c r="BL626" t="s">
        <v>8960</v>
      </c>
      <c r="BM626" t="s">
        <v>11395</v>
      </c>
      <c r="BN626" t="s">
        <v>74</v>
      </c>
      <c r="BO626" t="s">
        <v>74</v>
      </c>
      <c r="BP626" t="s">
        <v>74</v>
      </c>
      <c r="BQ626" t="s">
        <v>74</v>
      </c>
      <c r="BR626" t="s">
        <v>104</v>
      </c>
      <c r="BS626" t="s">
        <v>11396</v>
      </c>
      <c r="BT626" t="str">
        <f>HYPERLINK("https%3A%2F%2Fwww.webofscience.com%2Fwos%2Fwoscc%2Ffull-record%2FWOS:001060767400001","View Full Record in Web of Science")</f>
        <v>View Full Record in Web of Science</v>
      </c>
    </row>
    <row r="627" spans="1:72" x14ac:dyDescent="0.15">
      <c r="A627" t="s">
        <v>72</v>
      </c>
      <c r="B627" t="s">
        <v>11397</v>
      </c>
      <c r="C627" t="s">
        <v>74</v>
      </c>
      <c r="D627" t="s">
        <v>74</v>
      </c>
      <c r="E627" t="s">
        <v>74</v>
      </c>
      <c r="F627" t="s">
        <v>11398</v>
      </c>
      <c r="G627" t="s">
        <v>74</v>
      </c>
      <c r="H627" t="s">
        <v>74</v>
      </c>
      <c r="I627" t="s">
        <v>11399</v>
      </c>
      <c r="J627" t="s">
        <v>8042</v>
      </c>
      <c r="K627" t="s">
        <v>74</v>
      </c>
      <c r="L627" t="s">
        <v>74</v>
      </c>
      <c r="M627" t="s">
        <v>78</v>
      </c>
      <c r="N627" t="s">
        <v>79</v>
      </c>
      <c r="O627" t="s">
        <v>74</v>
      </c>
      <c r="P627" t="s">
        <v>74</v>
      </c>
      <c r="Q627" t="s">
        <v>74</v>
      </c>
      <c r="R627" t="s">
        <v>74</v>
      </c>
      <c r="S627" t="s">
        <v>74</v>
      </c>
      <c r="T627" t="s">
        <v>11400</v>
      </c>
      <c r="U627" t="s">
        <v>11401</v>
      </c>
      <c r="V627" t="s">
        <v>11402</v>
      </c>
      <c r="W627" t="s">
        <v>11403</v>
      </c>
      <c r="X627" t="s">
        <v>11404</v>
      </c>
      <c r="Y627" t="s">
        <v>11405</v>
      </c>
      <c r="Z627" t="s">
        <v>11406</v>
      </c>
      <c r="AA627" t="s">
        <v>11407</v>
      </c>
      <c r="AB627" t="s">
        <v>11408</v>
      </c>
      <c r="AC627" t="s">
        <v>11409</v>
      </c>
      <c r="AD627" t="s">
        <v>11410</v>
      </c>
      <c r="AE627" t="s">
        <v>11411</v>
      </c>
      <c r="AF627" t="s">
        <v>74</v>
      </c>
      <c r="AG627">
        <v>86</v>
      </c>
      <c r="AH627">
        <v>0</v>
      </c>
      <c r="AI627">
        <v>0</v>
      </c>
      <c r="AJ627">
        <v>1</v>
      </c>
      <c r="AK627">
        <v>1</v>
      </c>
      <c r="AL627" t="s">
        <v>90</v>
      </c>
      <c r="AM627" t="s">
        <v>91</v>
      </c>
      <c r="AN627" t="s">
        <v>92</v>
      </c>
      <c r="AO627" t="s">
        <v>8054</v>
      </c>
      <c r="AP627" t="s">
        <v>8055</v>
      </c>
      <c r="AQ627" t="s">
        <v>74</v>
      </c>
      <c r="AR627" t="s">
        <v>8056</v>
      </c>
      <c r="AS627" t="s">
        <v>8057</v>
      </c>
      <c r="AT627" t="s">
        <v>6659</v>
      </c>
      <c r="AU627">
        <v>2023</v>
      </c>
      <c r="AV627">
        <v>340</v>
      </c>
      <c r="AW627" t="s">
        <v>74</v>
      </c>
      <c r="AX627" t="s">
        <v>74</v>
      </c>
      <c r="AY627" t="s">
        <v>74</v>
      </c>
      <c r="AZ627" t="s">
        <v>74</v>
      </c>
      <c r="BA627" t="s">
        <v>74</v>
      </c>
      <c r="BB627">
        <v>120</v>
      </c>
      <c r="BC627">
        <v>128</v>
      </c>
      <c r="BD627" t="s">
        <v>74</v>
      </c>
      <c r="BE627" t="s">
        <v>11412</v>
      </c>
      <c r="BF627" t="str">
        <f>HYPERLINK("http://dx.doi.org/10.1016/j.jad.2023.08.038","http://dx.doi.org/10.1016/j.jad.2023.08.038")</f>
        <v>http://dx.doi.org/10.1016/j.jad.2023.08.038</v>
      </c>
      <c r="BG627" t="s">
        <v>74</v>
      </c>
      <c r="BH627" t="s">
        <v>74</v>
      </c>
      <c r="BI627">
        <v>9</v>
      </c>
      <c r="BJ627" t="s">
        <v>8059</v>
      </c>
      <c r="BK627" t="s">
        <v>666</v>
      </c>
      <c r="BL627" t="s">
        <v>8060</v>
      </c>
      <c r="BM627" t="s">
        <v>11413</v>
      </c>
      <c r="BN627">
        <v>37549812</v>
      </c>
      <c r="BO627" t="s">
        <v>74</v>
      </c>
      <c r="BP627" t="s">
        <v>74</v>
      </c>
      <c r="BQ627" t="s">
        <v>74</v>
      </c>
      <c r="BR627" t="s">
        <v>104</v>
      </c>
      <c r="BS627" t="s">
        <v>11414</v>
      </c>
      <c r="BT627" t="str">
        <f>HYPERLINK("https%3A%2F%2Fwww.webofscience.com%2Fwos%2Fwoscc%2Ffull-record%2FWOS:001062386000001","View Full Record in Web of Science")</f>
        <v>View Full Record in Web of Science</v>
      </c>
    </row>
    <row r="628" spans="1:72" x14ac:dyDescent="0.15">
      <c r="A628" t="s">
        <v>72</v>
      </c>
      <c r="B628" t="s">
        <v>11415</v>
      </c>
      <c r="C628" t="s">
        <v>74</v>
      </c>
      <c r="D628" t="s">
        <v>74</v>
      </c>
      <c r="E628" t="s">
        <v>74</v>
      </c>
      <c r="F628" t="s">
        <v>11416</v>
      </c>
      <c r="G628" t="s">
        <v>74</v>
      </c>
      <c r="H628" t="s">
        <v>74</v>
      </c>
      <c r="I628" t="s">
        <v>11417</v>
      </c>
      <c r="J628" t="s">
        <v>1524</v>
      </c>
      <c r="K628" t="s">
        <v>74</v>
      </c>
      <c r="L628" t="s">
        <v>74</v>
      </c>
      <c r="M628" t="s">
        <v>78</v>
      </c>
      <c r="N628" t="s">
        <v>79</v>
      </c>
      <c r="O628" t="s">
        <v>74</v>
      </c>
      <c r="P628" t="s">
        <v>74</v>
      </c>
      <c r="Q628" t="s">
        <v>74</v>
      </c>
      <c r="R628" t="s">
        <v>74</v>
      </c>
      <c r="S628" t="s">
        <v>74</v>
      </c>
      <c r="T628" t="s">
        <v>11418</v>
      </c>
      <c r="U628" t="s">
        <v>11419</v>
      </c>
      <c r="V628" t="s">
        <v>11420</v>
      </c>
      <c r="W628" t="s">
        <v>11421</v>
      </c>
      <c r="X628" t="s">
        <v>11422</v>
      </c>
      <c r="Y628" t="s">
        <v>11423</v>
      </c>
      <c r="Z628" t="s">
        <v>11424</v>
      </c>
      <c r="AA628" t="s">
        <v>74</v>
      </c>
      <c r="AB628" t="s">
        <v>74</v>
      </c>
      <c r="AC628" t="s">
        <v>11425</v>
      </c>
      <c r="AD628" t="s">
        <v>11426</v>
      </c>
      <c r="AE628" t="s">
        <v>11427</v>
      </c>
      <c r="AF628" t="s">
        <v>74</v>
      </c>
      <c r="AG628">
        <v>74</v>
      </c>
      <c r="AH628">
        <v>0</v>
      </c>
      <c r="AI628">
        <v>0</v>
      </c>
      <c r="AJ628">
        <v>24</v>
      </c>
      <c r="AK628">
        <v>24</v>
      </c>
      <c r="AL628" t="s">
        <v>90</v>
      </c>
      <c r="AM628" t="s">
        <v>91</v>
      </c>
      <c r="AN628" t="s">
        <v>92</v>
      </c>
      <c r="AO628" t="s">
        <v>1534</v>
      </c>
      <c r="AP628" t="s">
        <v>1535</v>
      </c>
      <c r="AQ628" t="s">
        <v>74</v>
      </c>
      <c r="AR628" t="s">
        <v>1536</v>
      </c>
      <c r="AS628" t="s">
        <v>1537</v>
      </c>
      <c r="AT628" t="s">
        <v>6659</v>
      </c>
      <c r="AU628">
        <v>2023</v>
      </c>
      <c r="AV628">
        <v>897</v>
      </c>
      <c r="AW628" t="s">
        <v>74</v>
      </c>
      <c r="AX628" t="s">
        <v>74</v>
      </c>
      <c r="AY628" t="s">
        <v>74</v>
      </c>
      <c r="AZ628" t="s">
        <v>74</v>
      </c>
      <c r="BA628" t="s">
        <v>74</v>
      </c>
      <c r="BB628" t="s">
        <v>74</v>
      </c>
      <c r="BC628" t="s">
        <v>74</v>
      </c>
      <c r="BD628">
        <v>165441</v>
      </c>
      <c r="BE628" t="s">
        <v>11428</v>
      </c>
      <c r="BF628" t="str">
        <f>HYPERLINK("http://dx.doi.org/10.1016/j.scitotenv.2023.165441","http://dx.doi.org/10.1016/j.scitotenv.2023.165441")</f>
        <v>http://dx.doi.org/10.1016/j.scitotenv.2023.165441</v>
      </c>
      <c r="BG628" t="s">
        <v>74</v>
      </c>
      <c r="BH628" t="s">
        <v>74</v>
      </c>
      <c r="BI628">
        <v>10</v>
      </c>
      <c r="BJ628" t="s">
        <v>1539</v>
      </c>
      <c r="BK628" t="s">
        <v>100</v>
      </c>
      <c r="BL628" t="s">
        <v>1540</v>
      </c>
      <c r="BM628" t="s">
        <v>11429</v>
      </c>
      <c r="BN628">
        <v>37437635</v>
      </c>
      <c r="BO628" t="s">
        <v>74</v>
      </c>
      <c r="BP628" t="s">
        <v>74</v>
      </c>
      <c r="BQ628" t="s">
        <v>74</v>
      </c>
      <c r="BR628" t="s">
        <v>104</v>
      </c>
      <c r="BS628" t="s">
        <v>11430</v>
      </c>
      <c r="BT628" t="str">
        <f>HYPERLINK("https%3A%2F%2Fwww.webofscience.com%2Fwos%2Fwoscc%2Ffull-record%2FWOS:001046997800001","View Full Record in Web of Science")</f>
        <v>View Full Record in Web of Science</v>
      </c>
    </row>
    <row r="629" spans="1:72" x14ac:dyDescent="0.15">
      <c r="A629" t="s">
        <v>72</v>
      </c>
      <c r="B629" t="s">
        <v>11431</v>
      </c>
      <c r="C629" t="s">
        <v>74</v>
      </c>
      <c r="D629" t="s">
        <v>74</v>
      </c>
      <c r="E629" t="s">
        <v>74</v>
      </c>
      <c r="F629" t="s">
        <v>11432</v>
      </c>
      <c r="G629" t="s">
        <v>74</v>
      </c>
      <c r="H629" t="s">
        <v>74</v>
      </c>
      <c r="I629" t="s">
        <v>11433</v>
      </c>
      <c r="J629" t="s">
        <v>11434</v>
      </c>
      <c r="K629" t="s">
        <v>74</v>
      </c>
      <c r="L629" t="s">
        <v>74</v>
      </c>
      <c r="M629" t="s">
        <v>78</v>
      </c>
      <c r="N629" t="s">
        <v>79</v>
      </c>
      <c r="O629" t="s">
        <v>74</v>
      </c>
      <c r="P629" t="s">
        <v>74</v>
      </c>
      <c r="Q629" t="s">
        <v>74</v>
      </c>
      <c r="R629" t="s">
        <v>74</v>
      </c>
      <c r="S629" t="s">
        <v>74</v>
      </c>
      <c r="T629" t="s">
        <v>11435</v>
      </c>
      <c r="U629" t="s">
        <v>11436</v>
      </c>
      <c r="V629" t="s">
        <v>11437</v>
      </c>
      <c r="W629" t="s">
        <v>11438</v>
      </c>
      <c r="X629" t="s">
        <v>11439</v>
      </c>
      <c r="Y629" t="s">
        <v>11440</v>
      </c>
      <c r="Z629" t="s">
        <v>11441</v>
      </c>
      <c r="AA629" t="s">
        <v>74</v>
      </c>
      <c r="AB629" t="s">
        <v>74</v>
      </c>
      <c r="AC629" t="s">
        <v>11442</v>
      </c>
      <c r="AD629" t="s">
        <v>252</v>
      </c>
      <c r="AE629" t="s">
        <v>11443</v>
      </c>
      <c r="AF629" t="s">
        <v>74</v>
      </c>
      <c r="AG629">
        <v>36</v>
      </c>
      <c r="AH629">
        <v>0</v>
      </c>
      <c r="AI629">
        <v>0</v>
      </c>
      <c r="AJ629">
        <v>3</v>
      </c>
      <c r="AK629">
        <v>3</v>
      </c>
      <c r="AL629" t="s">
        <v>173</v>
      </c>
      <c r="AM629" t="s">
        <v>121</v>
      </c>
      <c r="AN629" t="s">
        <v>174</v>
      </c>
      <c r="AO629" t="s">
        <v>11444</v>
      </c>
      <c r="AP629" t="s">
        <v>11445</v>
      </c>
      <c r="AQ629" t="s">
        <v>74</v>
      </c>
      <c r="AR629" t="s">
        <v>11434</v>
      </c>
      <c r="AS629" t="s">
        <v>11446</v>
      </c>
      <c r="AT629" t="s">
        <v>6618</v>
      </c>
      <c r="AU629">
        <v>2023</v>
      </c>
      <c r="AV629">
        <v>157</v>
      </c>
      <c r="AW629" t="s">
        <v>74</v>
      </c>
      <c r="AX629" t="s">
        <v>74</v>
      </c>
      <c r="AY629" t="s">
        <v>74</v>
      </c>
      <c r="AZ629" t="s">
        <v>74</v>
      </c>
      <c r="BA629" t="s">
        <v>74</v>
      </c>
      <c r="BB629" t="s">
        <v>74</v>
      </c>
      <c r="BC629" t="s">
        <v>74</v>
      </c>
      <c r="BD629">
        <v>111248</v>
      </c>
      <c r="BE629" t="s">
        <v>11447</v>
      </c>
      <c r="BF629" t="str">
        <f>HYPERLINK("http://dx.doi.org/10.1016/j.automatica.2023.111248","http://dx.doi.org/10.1016/j.automatica.2023.111248")</f>
        <v>http://dx.doi.org/10.1016/j.automatica.2023.111248</v>
      </c>
      <c r="BG629" t="s">
        <v>74</v>
      </c>
      <c r="BH629" t="s">
        <v>74</v>
      </c>
      <c r="BI629">
        <v>12</v>
      </c>
      <c r="BJ629" t="s">
        <v>11448</v>
      </c>
      <c r="BK629" t="s">
        <v>100</v>
      </c>
      <c r="BL629" t="s">
        <v>11449</v>
      </c>
      <c r="BM629" t="s">
        <v>11450</v>
      </c>
      <c r="BN629" t="s">
        <v>74</v>
      </c>
      <c r="BO629" t="s">
        <v>295</v>
      </c>
      <c r="BP629" t="s">
        <v>74</v>
      </c>
      <c r="BQ629" t="s">
        <v>74</v>
      </c>
      <c r="BR629" t="s">
        <v>104</v>
      </c>
      <c r="BS629" t="s">
        <v>11451</v>
      </c>
      <c r="BT629" t="str">
        <f>HYPERLINK("https%3A%2F%2Fwww.webofscience.com%2Fwos%2Fwoscc%2Ffull-record%2FWOS:001061321800001","View Full Record in Web of Science")</f>
        <v>View Full Record in Web of Science</v>
      </c>
    </row>
    <row r="630" spans="1:72" x14ac:dyDescent="0.15">
      <c r="A630" t="s">
        <v>72</v>
      </c>
      <c r="B630" t="s">
        <v>11452</v>
      </c>
      <c r="C630" t="s">
        <v>74</v>
      </c>
      <c r="D630" t="s">
        <v>74</v>
      </c>
      <c r="E630" t="s">
        <v>74</v>
      </c>
      <c r="F630" t="s">
        <v>11453</v>
      </c>
      <c r="G630" t="s">
        <v>74</v>
      </c>
      <c r="H630" t="s">
        <v>74</v>
      </c>
      <c r="I630" t="s">
        <v>11454</v>
      </c>
      <c r="J630" t="s">
        <v>11455</v>
      </c>
      <c r="K630" t="s">
        <v>74</v>
      </c>
      <c r="L630" t="s">
        <v>74</v>
      </c>
      <c r="M630" t="s">
        <v>78</v>
      </c>
      <c r="N630" t="s">
        <v>79</v>
      </c>
      <c r="O630" t="s">
        <v>74</v>
      </c>
      <c r="P630" t="s">
        <v>74</v>
      </c>
      <c r="Q630" t="s">
        <v>74</v>
      </c>
      <c r="R630" t="s">
        <v>74</v>
      </c>
      <c r="S630" t="s">
        <v>74</v>
      </c>
      <c r="T630" t="s">
        <v>11456</v>
      </c>
      <c r="U630" t="s">
        <v>11457</v>
      </c>
      <c r="V630" t="s">
        <v>11458</v>
      </c>
      <c r="W630" t="s">
        <v>11459</v>
      </c>
      <c r="X630" t="s">
        <v>11460</v>
      </c>
      <c r="Y630" t="s">
        <v>11461</v>
      </c>
      <c r="Z630" t="s">
        <v>11462</v>
      </c>
      <c r="AA630" t="s">
        <v>74</v>
      </c>
      <c r="AB630" t="s">
        <v>74</v>
      </c>
      <c r="AC630" t="s">
        <v>11463</v>
      </c>
      <c r="AD630" t="s">
        <v>11464</v>
      </c>
      <c r="AE630" t="s">
        <v>11465</v>
      </c>
      <c r="AF630" t="s">
        <v>74</v>
      </c>
      <c r="AG630">
        <v>39</v>
      </c>
      <c r="AH630">
        <v>0</v>
      </c>
      <c r="AI630">
        <v>0</v>
      </c>
      <c r="AJ630">
        <v>0</v>
      </c>
      <c r="AK630">
        <v>0</v>
      </c>
      <c r="AL630" t="s">
        <v>90</v>
      </c>
      <c r="AM630" t="s">
        <v>91</v>
      </c>
      <c r="AN630" t="s">
        <v>92</v>
      </c>
      <c r="AO630" t="s">
        <v>11466</v>
      </c>
      <c r="AP630" t="s">
        <v>11467</v>
      </c>
      <c r="AQ630" t="s">
        <v>74</v>
      </c>
      <c r="AR630" t="s">
        <v>11468</v>
      </c>
      <c r="AS630" t="s">
        <v>11469</v>
      </c>
      <c r="AT630" t="s">
        <v>11470</v>
      </c>
      <c r="AU630">
        <v>2023</v>
      </c>
      <c r="AV630">
        <v>582</v>
      </c>
      <c r="AW630" t="s">
        <v>74</v>
      </c>
      <c r="AX630" t="s">
        <v>74</v>
      </c>
      <c r="AY630" t="s">
        <v>74</v>
      </c>
      <c r="AZ630" t="s">
        <v>74</v>
      </c>
      <c r="BA630" t="s">
        <v>74</v>
      </c>
      <c r="BB630" t="s">
        <v>74</v>
      </c>
      <c r="BC630" t="s">
        <v>74</v>
      </c>
      <c r="BD630">
        <v>233566</v>
      </c>
      <c r="BE630" t="s">
        <v>11471</v>
      </c>
      <c r="BF630" t="str">
        <f>HYPERLINK("http://dx.doi.org/10.1016/j.jpowsour.2023.233566","http://dx.doi.org/10.1016/j.jpowsour.2023.233566")</f>
        <v>http://dx.doi.org/10.1016/j.jpowsour.2023.233566</v>
      </c>
      <c r="BG630" t="s">
        <v>74</v>
      </c>
      <c r="BH630" t="s">
        <v>74</v>
      </c>
      <c r="BI630">
        <v>10</v>
      </c>
      <c r="BJ630" t="s">
        <v>11472</v>
      </c>
      <c r="BK630" t="s">
        <v>100</v>
      </c>
      <c r="BL630" t="s">
        <v>11473</v>
      </c>
      <c r="BM630" t="s">
        <v>11474</v>
      </c>
      <c r="BN630" t="s">
        <v>74</v>
      </c>
      <c r="BO630" t="s">
        <v>74</v>
      </c>
      <c r="BP630" t="s">
        <v>74</v>
      </c>
      <c r="BQ630" t="s">
        <v>74</v>
      </c>
      <c r="BR630" t="s">
        <v>104</v>
      </c>
      <c r="BS630" t="s">
        <v>11475</v>
      </c>
      <c r="BT630" t="str">
        <f>HYPERLINK("https%3A%2F%2Fwww.webofscience.com%2Fwos%2Fwoscc%2Ffull-record%2FWOS:001068950900001","View Full Record in Web of Science")</f>
        <v>View Full Record in Web of Science</v>
      </c>
    </row>
    <row r="631" spans="1:72" x14ac:dyDescent="0.15">
      <c r="A631" t="s">
        <v>72</v>
      </c>
      <c r="B631" t="s">
        <v>11476</v>
      </c>
      <c r="C631" t="s">
        <v>74</v>
      </c>
      <c r="D631" t="s">
        <v>74</v>
      </c>
      <c r="E631" t="s">
        <v>74</v>
      </c>
      <c r="F631" t="s">
        <v>11477</v>
      </c>
      <c r="G631" t="s">
        <v>74</v>
      </c>
      <c r="H631" t="s">
        <v>74</v>
      </c>
      <c r="I631" t="s">
        <v>11478</v>
      </c>
      <c r="J631" t="s">
        <v>5867</v>
      </c>
      <c r="K631" t="s">
        <v>74</v>
      </c>
      <c r="L631" t="s">
        <v>74</v>
      </c>
      <c r="M631" t="s">
        <v>78</v>
      </c>
      <c r="N631" t="s">
        <v>79</v>
      </c>
      <c r="O631" t="s">
        <v>74</v>
      </c>
      <c r="P631" t="s">
        <v>74</v>
      </c>
      <c r="Q631" t="s">
        <v>74</v>
      </c>
      <c r="R631" t="s">
        <v>74</v>
      </c>
      <c r="S631" t="s">
        <v>74</v>
      </c>
      <c r="T631" t="s">
        <v>11479</v>
      </c>
      <c r="U631" t="s">
        <v>11480</v>
      </c>
      <c r="V631" t="s">
        <v>11481</v>
      </c>
      <c r="W631" t="s">
        <v>11482</v>
      </c>
      <c r="X631" t="s">
        <v>11483</v>
      </c>
      <c r="Y631" t="s">
        <v>11484</v>
      </c>
      <c r="Z631" t="s">
        <v>11485</v>
      </c>
      <c r="AA631" t="s">
        <v>74</v>
      </c>
      <c r="AB631" t="s">
        <v>11486</v>
      </c>
      <c r="AC631" t="s">
        <v>11487</v>
      </c>
      <c r="AD631" t="s">
        <v>11488</v>
      </c>
      <c r="AE631" t="s">
        <v>11489</v>
      </c>
      <c r="AF631" t="s">
        <v>74</v>
      </c>
      <c r="AG631">
        <v>73</v>
      </c>
      <c r="AH631">
        <v>0</v>
      </c>
      <c r="AI631">
        <v>0</v>
      </c>
      <c r="AJ631">
        <v>0</v>
      </c>
      <c r="AK631">
        <v>0</v>
      </c>
      <c r="AL631" t="s">
        <v>90</v>
      </c>
      <c r="AM631" t="s">
        <v>91</v>
      </c>
      <c r="AN631" t="s">
        <v>92</v>
      </c>
      <c r="AO631" t="s">
        <v>5879</v>
      </c>
      <c r="AP631" t="s">
        <v>5880</v>
      </c>
      <c r="AQ631" t="s">
        <v>74</v>
      </c>
      <c r="AR631" t="s">
        <v>5867</v>
      </c>
      <c r="AS631" t="s">
        <v>5881</v>
      </c>
      <c r="AT631" t="s">
        <v>11470</v>
      </c>
      <c r="AU631">
        <v>2023</v>
      </c>
      <c r="AV631">
        <v>884</v>
      </c>
      <c r="AW631" t="s">
        <v>74</v>
      </c>
      <c r="AX631" t="s">
        <v>74</v>
      </c>
      <c r="AY631" t="s">
        <v>74</v>
      </c>
      <c r="AZ631" t="s">
        <v>74</v>
      </c>
      <c r="BA631" t="s">
        <v>74</v>
      </c>
      <c r="BB631" t="s">
        <v>74</v>
      </c>
      <c r="BC631" t="s">
        <v>74</v>
      </c>
      <c r="BD631">
        <v>147675</v>
      </c>
      <c r="BE631" t="s">
        <v>11490</v>
      </c>
      <c r="BF631" t="str">
        <f>HYPERLINK("http://dx.doi.org/10.1016/j.gene.2023.147675","http://dx.doi.org/10.1016/j.gene.2023.147675")</f>
        <v>http://dx.doi.org/10.1016/j.gene.2023.147675</v>
      </c>
      <c r="BG631" t="s">
        <v>74</v>
      </c>
      <c r="BH631" t="s">
        <v>74</v>
      </c>
      <c r="BI631">
        <v>10</v>
      </c>
      <c r="BJ631" t="s">
        <v>2862</v>
      </c>
      <c r="BK631" t="s">
        <v>100</v>
      </c>
      <c r="BL631" t="s">
        <v>2862</v>
      </c>
      <c r="BM631" t="s">
        <v>11491</v>
      </c>
      <c r="BN631">
        <v>37541559</v>
      </c>
      <c r="BO631" t="s">
        <v>74</v>
      </c>
      <c r="BP631" t="s">
        <v>74</v>
      </c>
      <c r="BQ631" t="s">
        <v>74</v>
      </c>
      <c r="BR631" t="s">
        <v>104</v>
      </c>
      <c r="BS631" t="s">
        <v>11492</v>
      </c>
      <c r="BT631" t="str">
        <f>HYPERLINK("https%3A%2F%2Fwww.webofscience.com%2Fwos%2Fwoscc%2Ffull-record%2FWOS:001062527900001","View Full Record in Web of Science")</f>
        <v>View Full Record in Web of Science</v>
      </c>
    </row>
    <row r="632" spans="1:72" x14ac:dyDescent="0.15">
      <c r="A632" t="s">
        <v>72</v>
      </c>
      <c r="B632" t="s">
        <v>11493</v>
      </c>
      <c r="C632" t="s">
        <v>74</v>
      </c>
      <c r="D632" t="s">
        <v>74</v>
      </c>
      <c r="E632" t="s">
        <v>74</v>
      </c>
      <c r="F632" t="s">
        <v>11494</v>
      </c>
      <c r="G632" t="s">
        <v>74</v>
      </c>
      <c r="H632" t="s">
        <v>74</v>
      </c>
      <c r="I632" t="s">
        <v>11495</v>
      </c>
      <c r="J632" t="s">
        <v>11496</v>
      </c>
      <c r="K632" t="s">
        <v>74</v>
      </c>
      <c r="L632" t="s">
        <v>74</v>
      </c>
      <c r="M632" t="s">
        <v>78</v>
      </c>
      <c r="N632" t="s">
        <v>79</v>
      </c>
      <c r="O632" t="s">
        <v>74</v>
      </c>
      <c r="P632" t="s">
        <v>74</v>
      </c>
      <c r="Q632" t="s">
        <v>74</v>
      </c>
      <c r="R632" t="s">
        <v>74</v>
      </c>
      <c r="S632" t="s">
        <v>74</v>
      </c>
      <c r="T632" t="s">
        <v>11497</v>
      </c>
      <c r="U632" t="s">
        <v>11498</v>
      </c>
      <c r="V632" t="s">
        <v>11499</v>
      </c>
      <c r="W632" t="s">
        <v>11500</v>
      </c>
      <c r="X632" t="s">
        <v>11501</v>
      </c>
      <c r="Y632" t="s">
        <v>11502</v>
      </c>
      <c r="Z632" t="s">
        <v>11503</v>
      </c>
      <c r="AA632" t="s">
        <v>74</v>
      </c>
      <c r="AB632" t="s">
        <v>74</v>
      </c>
      <c r="AC632" t="s">
        <v>11504</v>
      </c>
      <c r="AD632" t="s">
        <v>11505</v>
      </c>
      <c r="AE632" t="s">
        <v>11506</v>
      </c>
      <c r="AF632" t="s">
        <v>74</v>
      </c>
      <c r="AG632">
        <v>41</v>
      </c>
      <c r="AH632">
        <v>0</v>
      </c>
      <c r="AI632">
        <v>0</v>
      </c>
      <c r="AJ632">
        <v>5</v>
      </c>
      <c r="AK632">
        <v>5</v>
      </c>
      <c r="AL632" t="s">
        <v>90</v>
      </c>
      <c r="AM632" t="s">
        <v>91</v>
      </c>
      <c r="AN632" t="s">
        <v>92</v>
      </c>
      <c r="AO632" t="s">
        <v>11507</v>
      </c>
      <c r="AP632" t="s">
        <v>74</v>
      </c>
      <c r="AQ632" t="s">
        <v>74</v>
      </c>
      <c r="AR632" t="s">
        <v>11508</v>
      </c>
      <c r="AS632" t="s">
        <v>11509</v>
      </c>
      <c r="AT632" t="s">
        <v>11470</v>
      </c>
      <c r="AU632">
        <v>2023</v>
      </c>
      <c r="AV632">
        <v>19</v>
      </c>
      <c r="AW632" t="s">
        <v>74</v>
      </c>
      <c r="AX632" t="s">
        <v>74</v>
      </c>
      <c r="AY632" t="s">
        <v>74</v>
      </c>
      <c r="AZ632" t="s">
        <v>74</v>
      </c>
      <c r="BA632" t="s">
        <v>74</v>
      </c>
      <c r="BB632" t="s">
        <v>74</v>
      </c>
      <c r="BC632" t="s">
        <v>74</v>
      </c>
      <c r="BD632">
        <v>100780</v>
      </c>
      <c r="BE632" t="s">
        <v>11510</v>
      </c>
      <c r="BF632" t="str">
        <f>HYPERLINK("http://dx.doi.org/10.1016/j.fochx.2023.100780","http://dx.doi.org/10.1016/j.fochx.2023.100780")</f>
        <v>http://dx.doi.org/10.1016/j.fochx.2023.100780</v>
      </c>
      <c r="BG632" t="s">
        <v>74</v>
      </c>
      <c r="BH632" t="s">
        <v>74</v>
      </c>
      <c r="BI632">
        <v>11</v>
      </c>
      <c r="BJ632" t="s">
        <v>1849</v>
      </c>
      <c r="BK632" t="s">
        <v>100</v>
      </c>
      <c r="BL632" t="s">
        <v>1851</v>
      </c>
      <c r="BM632" t="s">
        <v>11511</v>
      </c>
      <c r="BN632">
        <v>37780247</v>
      </c>
      <c r="BO632" t="s">
        <v>295</v>
      </c>
      <c r="BP632" t="s">
        <v>74</v>
      </c>
      <c r="BQ632" t="s">
        <v>74</v>
      </c>
      <c r="BR632" t="s">
        <v>104</v>
      </c>
      <c r="BS632" t="s">
        <v>11512</v>
      </c>
      <c r="BT632" t="str">
        <f>HYPERLINK("https%3A%2F%2Fwww.webofscience.com%2Fwos%2Fwoscc%2Ffull-record%2FWOS:001055377800001","View Full Record in Web of Science")</f>
        <v>View Full Record in Web of Science</v>
      </c>
    </row>
    <row r="633" spans="1:72" x14ac:dyDescent="0.15">
      <c r="A633" t="s">
        <v>72</v>
      </c>
      <c r="B633" t="s">
        <v>11513</v>
      </c>
      <c r="C633" t="s">
        <v>74</v>
      </c>
      <c r="D633" t="s">
        <v>74</v>
      </c>
      <c r="E633" t="s">
        <v>74</v>
      </c>
      <c r="F633" t="s">
        <v>11514</v>
      </c>
      <c r="G633" t="s">
        <v>74</v>
      </c>
      <c r="H633" t="s">
        <v>74</v>
      </c>
      <c r="I633" t="s">
        <v>11515</v>
      </c>
      <c r="J633" t="s">
        <v>11496</v>
      </c>
      <c r="K633" t="s">
        <v>74</v>
      </c>
      <c r="L633" t="s">
        <v>74</v>
      </c>
      <c r="M633" t="s">
        <v>78</v>
      </c>
      <c r="N633" t="s">
        <v>79</v>
      </c>
      <c r="O633" t="s">
        <v>74</v>
      </c>
      <c r="P633" t="s">
        <v>74</v>
      </c>
      <c r="Q633" t="s">
        <v>74</v>
      </c>
      <c r="R633" t="s">
        <v>74</v>
      </c>
      <c r="S633" t="s">
        <v>74</v>
      </c>
      <c r="T633" t="s">
        <v>11516</v>
      </c>
      <c r="U633" t="s">
        <v>11517</v>
      </c>
      <c r="V633" t="s">
        <v>11518</v>
      </c>
      <c r="W633" t="s">
        <v>11519</v>
      </c>
      <c r="X633" t="s">
        <v>11520</v>
      </c>
      <c r="Y633" t="s">
        <v>11521</v>
      </c>
      <c r="Z633" t="s">
        <v>11522</v>
      </c>
      <c r="AA633" t="s">
        <v>11523</v>
      </c>
      <c r="AB633" t="s">
        <v>11524</v>
      </c>
      <c r="AC633" t="s">
        <v>11525</v>
      </c>
      <c r="AD633" t="s">
        <v>11526</v>
      </c>
      <c r="AE633" t="s">
        <v>11527</v>
      </c>
      <c r="AF633" t="s">
        <v>74</v>
      </c>
      <c r="AG633">
        <v>41</v>
      </c>
      <c r="AH633">
        <v>0</v>
      </c>
      <c r="AI633">
        <v>0</v>
      </c>
      <c r="AJ633">
        <v>2</v>
      </c>
      <c r="AK633">
        <v>2</v>
      </c>
      <c r="AL633" t="s">
        <v>90</v>
      </c>
      <c r="AM633" t="s">
        <v>91</v>
      </c>
      <c r="AN633" t="s">
        <v>92</v>
      </c>
      <c r="AO633" t="s">
        <v>11507</v>
      </c>
      <c r="AP633" t="s">
        <v>74</v>
      </c>
      <c r="AQ633" t="s">
        <v>74</v>
      </c>
      <c r="AR633" t="s">
        <v>11508</v>
      </c>
      <c r="AS633" t="s">
        <v>11509</v>
      </c>
      <c r="AT633" t="s">
        <v>11470</v>
      </c>
      <c r="AU633">
        <v>2023</v>
      </c>
      <c r="AV633">
        <v>19</v>
      </c>
      <c r="AW633" t="s">
        <v>74</v>
      </c>
      <c r="AX633" t="s">
        <v>74</v>
      </c>
      <c r="AY633" t="s">
        <v>74</v>
      </c>
      <c r="AZ633" t="s">
        <v>74</v>
      </c>
      <c r="BA633" t="s">
        <v>74</v>
      </c>
      <c r="BB633" t="s">
        <v>74</v>
      </c>
      <c r="BC633" t="s">
        <v>74</v>
      </c>
      <c r="BD633">
        <v>100772</v>
      </c>
      <c r="BE633" t="s">
        <v>11528</v>
      </c>
      <c r="BF633" t="str">
        <f>HYPERLINK("http://dx.doi.org/10.1016/j.fochx.2023.100772","http://dx.doi.org/10.1016/j.fochx.2023.100772")</f>
        <v>http://dx.doi.org/10.1016/j.fochx.2023.100772</v>
      </c>
      <c r="BG633" t="s">
        <v>74</v>
      </c>
      <c r="BH633" t="s">
        <v>74</v>
      </c>
      <c r="BI633">
        <v>11</v>
      </c>
      <c r="BJ633" t="s">
        <v>1849</v>
      </c>
      <c r="BK633" t="s">
        <v>100</v>
      </c>
      <c r="BL633" t="s">
        <v>1851</v>
      </c>
      <c r="BM633" t="s">
        <v>11529</v>
      </c>
      <c r="BN633">
        <v>37780257</v>
      </c>
      <c r="BO633" t="s">
        <v>295</v>
      </c>
      <c r="BP633" t="s">
        <v>74</v>
      </c>
      <c r="BQ633" t="s">
        <v>74</v>
      </c>
      <c r="BR633" t="s">
        <v>104</v>
      </c>
      <c r="BS633" t="s">
        <v>11530</v>
      </c>
      <c r="BT633" t="str">
        <f>HYPERLINK("https%3A%2F%2Fwww.webofscience.com%2Fwos%2Fwoscc%2Ffull-record%2FWOS:001062449600001","View Full Record in Web of Science")</f>
        <v>View Full Record in Web of Science</v>
      </c>
    </row>
    <row r="634" spans="1:72" x14ac:dyDescent="0.15">
      <c r="A634" t="s">
        <v>72</v>
      </c>
      <c r="B634" t="s">
        <v>11531</v>
      </c>
      <c r="C634" t="s">
        <v>74</v>
      </c>
      <c r="D634" t="s">
        <v>74</v>
      </c>
      <c r="E634" t="s">
        <v>74</v>
      </c>
      <c r="F634" t="s">
        <v>11532</v>
      </c>
      <c r="G634" t="s">
        <v>74</v>
      </c>
      <c r="H634" t="s">
        <v>74</v>
      </c>
      <c r="I634" t="s">
        <v>11533</v>
      </c>
      <c r="J634" t="s">
        <v>109</v>
      </c>
      <c r="K634" t="s">
        <v>74</v>
      </c>
      <c r="L634" t="s">
        <v>74</v>
      </c>
      <c r="M634" t="s">
        <v>78</v>
      </c>
      <c r="N634" t="s">
        <v>79</v>
      </c>
      <c r="O634" t="s">
        <v>74</v>
      </c>
      <c r="P634" t="s">
        <v>74</v>
      </c>
      <c r="Q634" t="s">
        <v>74</v>
      </c>
      <c r="R634" t="s">
        <v>74</v>
      </c>
      <c r="S634" t="s">
        <v>74</v>
      </c>
      <c r="T634" t="s">
        <v>11534</v>
      </c>
      <c r="U634" t="s">
        <v>11535</v>
      </c>
      <c r="V634" t="s">
        <v>11536</v>
      </c>
      <c r="W634" t="s">
        <v>11537</v>
      </c>
      <c r="X634" t="s">
        <v>11538</v>
      </c>
      <c r="Y634" t="s">
        <v>11539</v>
      </c>
      <c r="Z634" t="s">
        <v>11540</v>
      </c>
      <c r="AA634" t="s">
        <v>11541</v>
      </c>
      <c r="AB634" t="s">
        <v>11542</v>
      </c>
      <c r="AC634" t="s">
        <v>74</v>
      </c>
      <c r="AD634" t="s">
        <v>74</v>
      </c>
      <c r="AE634" t="s">
        <v>74</v>
      </c>
      <c r="AF634" t="s">
        <v>74</v>
      </c>
      <c r="AG634">
        <v>39</v>
      </c>
      <c r="AH634">
        <v>0</v>
      </c>
      <c r="AI634">
        <v>0</v>
      </c>
      <c r="AJ634">
        <v>10</v>
      </c>
      <c r="AK634">
        <v>10</v>
      </c>
      <c r="AL634" t="s">
        <v>120</v>
      </c>
      <c r="AM634" t="s">
        <v>121</v>
      </c>
      <c r="AN634" t="s">
        <v>122</v>
      </c>
      <c r="AO634" t="s">
        <v>123</v>
      </c>
      <c r="AP634" t="s">
        <v>124</v>
      </c>
      <c r="AQ634" t="s">
        <v>74</v>
      </c>
      <c r="AR634" t="s">
        <v>125</v>
      </c>
      <c r="AS634" t="s">
        <v>126</v>
      </c>
      <c r="AT634" t="s">
        <v>11470</v>
      </c>
      <c r="AU634">
        <v>2023</v>
      </c>
      <c r="AV634">
        <v>424</v>
      </c>
      <c r="AW634" t="s">
        <v>74</v>
      </c>
      <c r="AX634" t="s">
        <v>74</v>
      </c>
      <c r="AY634" t="s">
        <v>74</v>
      </c>
      <c r="AZ634" t="s">
        <v>74</v>
      </c>
      <c r="BA634" t="s">
        <v>74</v>
      </c>
      <c r="BB634" t="s">
        <v>74</v>
      </c>
      <c r="BC634" t="s">
        <v>74</v>
      </c>
      <c r="BD634">
        <v>136401</v>
      </c>
      <c r="BE634" t="s">
        <v>11543</v>
      </c>
      <c r="BF634" t="str">
        <f>HYPERLINK("http://dx.doi.org/10.1016/j.foodchem.2023.136401","http://dx.doi.org/10.1016/j.foodchem.2023.136401")</f>
        <v>http://dx.doi.org/10.1016/j.foodchem.2023.136401</v>
      </c>
      <c r="BG634" t="s">
        <v>74</v>
      </c>
      <c r="BH634" t="s">
        <v>74</v>
      </c>
      <c r="BI634">
        <v>10</v>
      </c>
      <c r="BJ634" t="s">
        <v>129</v>
      </c>
      <c r="BK634" t="s">
        <v>100</v>
      </c>
      <c r="BL634" t="s">
        <v>130</v>
      </c>
      <c r="BM634" t="s">
        <v>11544</v>
      </c>
      <c r="BN634">
        <v>37229899</v>
      </c>
      <c r="BO634" t="s">
        <v>103</v>
      </c>
      <c r="BP634" t="s">
        <v>74</v>
      </c>
      <c r="BQ634" t="s">
        <v>74</v>
      </c>
      <c r="BR634" t="s">
        <v>104</v>
      </c>
      <c r="BS634" t="s">
        <v>11545</v>
      </c>
      <c r="BT634" t="str">
        <f>HYPERLINK("https%3A%2F%2Fwww.webofscience.com%2Fwos%2Fwoscc%2Ffull-record%2FWOS:001052977100001","View Full Record in Web of Science")</f>
        <v>View Full Record in Web of Science</v>
      </c>
    </row>
    <row r="635" spans="1:72" x14ac:dyDescent="0.15">
      <c r="A635" t="s">
        <v>72</v>
      </c>
      <c r="B635" t="s">
        <v>11546</v>
      </c>
      <c r="C635" t="s">
        <v>74</v>
      </c>
      <c r="D635" t="s">
        <v>74</v>
      </c>
      <c r="E635" t="s">
        <v>74</v>
      </c>
      <c r="F635" t="s">
        <v>11547</v>
      </c>
      <c r="G635" t="s">
        <v>74</v>
      </c>
      <c r="H635" t="s">
        <v>74</v>
      </c>
      <c r="I635" t="s">
        <v>11548</v>
      </c>
      <c r="J635" t="s">
        <v>11496</v>
      </c>
      <c r="K635" t="s">
        <v>74</v>
      </c>
      <c r="L635" t="s">
        <v>74</v>
      </c>
      <c r="M635" t="s">
        <v>78</v>
      </c>
      <c r="N635" t="s">
        <v>79</v>
      </c>
      <c r="O635" t="s">
        <v>74</v>
      </c>
      <c r="P635" t="s">
        <v>74</v>
      </c>
      <c r="Q635" t="s">
        <v>74</v>
      </c>
      <c r="R635" t="s">
        <v>74</v>
      </c>
      <c r="S635" t="s">
        <v>74</v>
      </c>
      <c r="T635" t="s">
        <v>11549</v>
      </c>
      <c r="U635" t="s">
        <v>11550</v>
      </c>
      <c r="V635" t="s">
        <v>11551</v>
      </c>
      <c r="W635" t="s">
        <v>11552</v>
      </c>
      <c r="X635" t="s">
        <v>11553</v>
      </c>
      <c r="Y635" t="s">
        <v>11554</v>
      </c>
      <c r="Z635" t="s">
        <v>11555</v>
      </c>
      <c r="AA635" t="s">
        <v>74</v>
      </c>
      <c r="AB635" t="s">
        <v>74</v>
      </c>
      <c r="AC635" t="s">
        <v>11556</v>
      </c>
      <c r="AD635" t="s">
        <v>11557</v>
      </c>
      <c r="AE635" t="s">
        <v>11558</v>
      </c>
      <c r="AF635" t="s">
        <v>74</v>
      </c>
      <c r="AG635">
        <v>38</v>
      </c>
      <c r="AH635">
        <v>0</v>
      </c>
      <c r="AI635">
        <v>0</v>
      </c>
      <c r="AJ635">
        <v>1</v>
      </c>
      <c r="AK635">
        <v>1</v>
      </c>
      <c r="AL635" t="s">
        <v>90</v>
      </c>
      <c r="AM635" t="s">
        <v>91</v>
      </c>
      <c r="AN635" t="s">
        <v>92</v>
      </c>
      <c r="AO635" t="s">
        <v>11507</v>
      </c>
      <c r="AP635" t="s">
        <v>74</v>
      </c>
      <c r="AQ635" t="s">
        <v>74</v>
      </c>
      <c r="AR635" t="s">
        <v>11508</v>
      </c>
      <c r="AS635" t="s">
        <v>11509</v>
      </c>
      <c r="AT635" t="s">
        <v>11470</v>
      </c>
      <c r="AU635">
        <v>2023</v>
      </c>
      <c r="AV635">
        <v>19</v>
      </c>
      <c r="AW635" t="s">
        <v>74</v>
      </c>
      <c r="AX635" t="s">
        <v>74</v>
      </c>
      <c r="AY635" t="s">
        <v>74</v>
      </c>
      <c r="AZ635" t="s">
        <v>74</v>
      </c>
      <c r="BA635" t="s">
        <v>74</v>
      </c>
      <c r="BB635" t="s">
        <v>74</v>
      </c>
      <c r="BC635" t="s">
        <v>74</v>
      </c>
      <c r="BD635">
        <v>100760</v>
      </c>
      <c r="BE635" t="s">
        <v>11559</v>
      </c>
      <c r="BF635" t="str">
        <f>HYPERLINK("http://dx.doi.org/10.1016/j.fochx.2023.100760","http://dx.doi.org/10.1016/j.fochx.2023.100760")</f>
        <v>http://dx.doi.org/10.1016/j.fochx.2023.100760</v>
      </c>
      <c r="BG635" t="s">
        <v>74</v>
      </c>
      <c r="BH635" t="s">
        <v>74</v>
      </c>
      <c r="BI635">
        <v>9</v>
      </c>
      <c r="BJ635" t="s">
        <v>1849</v>
      </c>
      <c r="BK635" t="s">
        <v>100</v>
      </c>
      <c r="BL635" t="s">
        <v>1851</v>
      </c>
      <c r="BM635" t="s">
        <v>11560</v>
      </c>
      <c r="BN635">
        <v>37780337</v>
      </c>
      <c r="BO635" t="s">
        <v>295</v>
      </c>
      <c r="BP635" t="s">
        <v>74</v>
      </c>
      <c r="BQ635" t="s">
        <v>74</v>
      </c>
      <c r="BR635" t="s">
        <v>104</v>
      </c>
      <c r="BS635" t="s">
        <v>11561</v>
      </c>
      <c r="BT635" t="str">
        <f>HYPERLINK("https%3A%2F%2Fwww.webofscience.com%2Fwos%2Fwoscc%2Ffull-record%2FWOS:001056104300001","View Full Record in Web of Science")</f>
        <v>View Full Record in Web of Science</v>
      </c>
    </row>
    <row r="636" spans="1:72" x14ac:dyDescent="0.15">
      <c r="A636" t="s">
        <v>72</v>
      </c>
      <c r="B636" t="s">
        <v>11562</v>
      </c>
      <c r="C636" t="s">
        <v>74</v>
      </c>
      <c r="D636" t="s">
        <v>74</v>
      </c>
      <c r="E636" t="s">
        <v>74</v>
      </c>
      <c r="F636" t="s">
        <v>11563</v>
      </c>
      <c r="G636" t="s">
        <v>74</v>
      </c>
      <c r="H636" t="s">
        <v>74</v>
      </c>
      <c r="I636" t="s">
        <v>11564</v>
      </c>
      <c r="J636" t="s">
        <v>11496</v>
      </c>
      <c r="K636" t="s">
        <v>74</v>
      </c>
      <c r="L636" t="s">
        <v>74</v>
      </c>
      <c r="M636" t="s">
        <v>78</v>
      </c>
      <c r="N636" t="s">
        <v>79</v>
      </c>
      <c r="O636" t="s">
        <v>74</v>
      </c>
      <c r="P636" t="s">
        <v>74</v>
      </c>
      <c r="Q636" t="s">
        <v>74</v>
      </c>
      <c r="R636" t="s">
        <v>74</v>
      </c>
      <c r="S636" t="s">
        <v>74</v>
      </c>
      <c r="T636" t="s">
        <v>11565</v>
      </c>
      <c r="U636" t="s">
        <v>11566</v>
      </c>
      <c r="V636" t="s">
        <v>11567</v>
      </c>
      <c r="W636" t="s">
        <v>11568</v>
      </c>
      <c r="X636" t="s">
        <v>11569</v>
      </c>
      <c r="Y636" t="s">
        <v>11570</v>
      </c>
      <c r="Z636" t="s">
        <v>11571</v>
      </c>
      <c r="AA636" t="s">
        <v>74</v>
      </c>
      <c r="AB636" t="s">
        <v>74</v>
      </c>
      <c r="AC636" t="s">
        <v>11572</v>
      </c>
      <c r="AD636" t="s">
        <v>11573</v>
      </c>
      <c r="AE636" t="s">
        <v>11574</v>
      </c>
      <c r="AF636" t="s">
        <v>74</v>
      </c>
      <c r="AG636">
        <v>40</v>
      </c>
      <c r="AH636">
        <v>0</v>
      </c>
      <c r="AI636">
        <v>0</v>
      </c>
      <c r="AJ636">
        <v>3</v>
      </c>
      <c r="AK636">
        <v>3</v>
      </c>
      <c r="AL636" t="s">
        <v>90</v>
      </c>
      <c r="AM636" t="s">
        <v>91</v>
      </c>
      <c r="AN636" t="s">
        <v>92</v>
      </c>
      <c r="AO636" t="s">
        <v>11507</v>
      </c>
      <c r="AP636" t="s">
        <v>74</v>
      </c>
      <c r="AQ636" t="s">
        <v>74</v>
      </c>
      <c r="AR636" t="s">
        <v>11508</v>
      </c>
      <c r="AS636" t="s">
        <v>11509</v>
      </c>
      <c r="AT636" t="s">
        <v>11470</v>
      </c>
      <c r="AU636">
        <v>2023</v>
      </c>
      <c r="AV636">
        <v>19</v>
      </c>
      <c r="AW636" t="s">
        <v>74</v>
      </c>
      <c r="AX636" t="s">
        <v>74</v>
      </c>
      <c r="AY636" t="s">
        <v>74</v>
      </c>
      <c r="AZ636" t="s">
        <v>74</v>
      </c>
      <c r="BA636" t="s">
        <v>74</v>
      </c>
      <c r="BB636" t="s">
        <v>74</v>
      </c>
      <c r="BC636" t="s">
        <v>74</v>
      </c>
      <c r="BD636">
        <v>100835</v>
      </c>
      <c r="BE636" t="s">
        <v>11575</v>
      </c>
      <c r="BF636" t="str">
        <f>HYPERLINK("http://dx.doi.org/10.1016/j.fochx.2023.100835","http://dx.doi.org/10.1016/j.fochx.2023.100835")</f>
        <v>http://dx.doi.org/10.1016/j.fochx.2023.100835</v>
      </c>
      <c r="BG636" t="s">
        <v>74</v>
      </c>
      <c r="BH636" t="s">
        <v>74</v>
      </c>
      <c r="BI636">
        <v>10</v>
      </c>
      <c r="BJ636" t="s">
        <v>1849</v>
      </c>
      <c r="BK636" t="s">
        <v>100</v>
      </c>
      <c r="BL636" t="s">
        <v>1851</v>
      </c>
      <c r="BM636" t="s">
        <v>11576</v>
      </c>
      <c r="BN636">
        <v>37636899</v>
      </c>
      <c r="BO636" t="s">
        <v>4366</v>
      </c>
      <c r="BP636" t="s">
        <v>74</v>
      </c>
      <c r="BQ636" t="s">
        <v>74</v>
      </c>
      <c r="BR636" t="s">
        <v>104</v>
      </c>
      <c r="BS636" t="s">
        <v>11577</v>
      </c>
      <c r="BT636" t="str">
        <f>HYPERLINK("https%3A%2F%2Fwww.webofscience.com%2Fwos%2Fwoscc%2Ffull-record%2FWOS:001069623100001","View Full Record in Web of Science")</f>
        <v>View Full Record in Web of Science</v>
      </c>
    </row>
    <row r="637" spans="1:72" x14ac:dyDescent="0.15">
      <c r="A637" t="s">
        <v>72</v>
      </c>
      <c r="B637" t="s">
        <v>11578</v>
      </c>
      <c r="C637" t="s">
        <v>74</v>
      </c>
      <c r="D637" t="s">
        <v>74</v>
      </c>
      <c r="E637" t="s">
        <v>74</v>
      </c>
      <c r="F637" t="s">
        <v>11579</v>
      </c>
      <c r="G637" t="s">
        <v>74</v>
      </c>
      <c r="H637" t="s">
        <v>74</v>
      </c>
      <c r="I637" t="s">
        <v>11580</v>
      </c>
      <c r="J637" t="s">
        <v>11581</v>
      </c>
      <c r="K637" t="s">
        <v>74</v>
      </c>
      <c r="L637" t="s">
        <v>74</v>
      </c>
      <c r="M637" t="s">
        <v>78</v>
      </c>
      <c r="N637" t="s">
        <v>79</v>
      </c>
      <c r="O637" t="s">
        <v>74</v>
      </c>
      <c r="P637" t="s">
        <v>74</v>
      </c>
      <c r="Q637" t="s">
        <v>74</v>
      </c>
      <c r="R637" t="s">
        <v>74</v>
      </c>
      <c r="S637" t="s">
        <v>74</v>
      </c>
      <c r="T637" t="s">
        <v>11582</v>
      </c>
      <c r="U637" t="s">
        <v>11583</v>
      </c>
      <c r="V637" t="s">
        <v>11584</v>
      </c>
      <c r="W637" t="s">
        <v>11585</v>
      </c>
      <c r="X637" t="s">
        <v>11586</v>
      </c>
      <c r="Y637" t="s">
        <v>11587</v>
      </c>
      <c r="Z637" t="s">
        <v>11588</v>
      </c>
      <c r="AA637" t="s">
        <v>74</v>
      </c>
      <c r="AB637" t="s">
        <v>11589</v>
      </c>
      <c r="AC637" t="s">
        <v>11590</v>
      </c>
      <c r="AD637" t="s">
        <v>11591</v>
      </c>
      <c r="AE637" t="s">
        <v>11592</v>
      </c>
      <c r="AF637" t="s">
        <v>74</v>
      </c>
      <c r="AG637">
        <v>52</v>
      </c>
      <c r="AH637">
        <v>0</v>
      </c>
      <c r="AI637">
        <v>0</v>
      </c>
      <c r="AJ637">
        <v>0</v>
      </c>
      <c r="AK637">
        <v>0</v>
      </c>
      <c r="AL637" t="s">
        <v>90</v>
      </c>
      <c r="AM637" t="s">
        <v>91</v>
      </c>
      <c r="AN637" t="s">
        <v>92</v>
      </c>
      <c r="AO637" t="s">
        <v>11593</v>
      </c>
      <c r="AP637" t="s">
        <v>11594</v>
      </c>
      <c r="AQ637" t="s">
        <v>74</v>
      </c>
      <c r="AR637" t="s">
        <v>11581</v>
      </c>
      <c r="AS637" t="s">
        <v>11595</v>
      </c>
      <c r="AT637" t="s">
        <v>11596</v>
      </c>
      <c r="AU637">
        <v>2023</v>
      </c>
      <c r="AV637">
        <v>555</v>
      </c>
      <c r="AW637" t="s">
        <v>74</v>
      </c>
      <c r="AX637" t="s">
        <v>74</v>
      </c>
      <c r="AY637" t="s">
        <v>74</v>
      </c>
      <c r="AZ637" t="s">
        <v>74</v>
      </c>
      <c r="BA637" t="s">
        <v>74</v>
      </c>
      <c r="BB637" t="s">
        <v>74</v>
      </c>
      <c r="BC637" t="s">
        <v>74</v>
      </c>
      <c r="BD637">
        <v>126656</v>
      </c>
      <c r="BE637" t="s">
        <v>11597</v>
      </c>
      <c r="BF637" t="str">
        <f>HYPERLINK("http://dx.doi.org/10.1016/j.neucom.2023.126656","http://dx.doi.org/10.1016/j.neucom.2023.126656")</f>
        <v>http://dx.doi.org/10.1016/j.neucom.2023.126656</v>
      </c>
      <c r="BG637" t="s">
        <v>74</v>
      </c>
      <c r="BH637" t="s">
        <v>74</v>
      </c>
      <c r="BI637">
        <v>10</v>
      </c>
      <c r="BJ637" t="s">
        <v>562</v>
      </c>
      <c r="BK637" t="s">
        <v>100</v>
      </c>
      <c r="BL637" t="s">
        <v>563</v>
      </c>
      <c r="BM637" t="s">
        <v>11598</v>
      </c>
      <c r="BN637" t="s">
        <v>74</v>
      </c>
      <c r="BO637" t="s">
        <v>74</v>
      </c>
      <c r="BP637" t="s">
        <v>74</v>
      </c>
      <c r="BQ637" t="s">
        <v>74</v>
      </c>
      <c r="BR637" t="s">
        <v>104</v>
      </c>
      <c r="BS637" t="s">
        <v>11599</v>
      </c>
      <c r="BT637" t="str">
        <f>HYPERLINK("https%3A%2F%2Fwww.webofscience.com%2Fwos%2Fwoscc%2Ffull-record%2FWOS:001065837300001","View Full Record in Web of Science")</f>
        <v>View Full Record in Web of Science</v>
      </c>
    </row>
    <row r="638" spans="1:72" x14ac:dyDescent="0.15">
      <c r="A638" t="s">
        <v>72</v>
      </c>
      <c r="B638" t="s">
        <v>11600</v>
      </c>
      <c r="C638" t="s">
        <v>74</v>
      </c>
      <c r="D638" t="s">
        <v>74</v>
      </c>
      <c r="E638" t="s">
        <v>74</v>
      </c>
      <c r="F638" t="s">
        <v>11601</v>
      </c>
      <c r="G638" t="s">
        <v>74</v>
      </c>
      <c r="H638" t="s">
        <v>74</v>
      </c>
      <c r="I638" t="s">
        <v>11602</v>
      </c>
      <c r="J638" t="s">
        <v>11581</v>
      </c>
      <c r="K638" t="s">
        <v>74</v>
      </c>
      <c r="L638" t="s">
        <v>74</v>
      </c>
      <c r="M638" t="s">
        <v>78</v>
      </c>
      <c r="N638" t="s">
        <v>79</v>
      </c>
      <c r="O638" t="s">
        <v>74</v>
      </c>
      <c r="P638" t="s">
        <v>74</v>
      </c>
      <c r="Q638" t="s">
        <v>74</v>
      </c>
      <c r="R638" t="s">
        <v>74</v>
      </c>
      <c r="S638" t="s">
        <v>74</v>
      </c>
      <c r="T638" t="s">
        <v>11603</v>
      </c>
      <c r="U638" t="s">
        <v>11604</v>
      </c>
      <c r="V638" t="s">
        <v>11605</v>
      </c>
      <c r="W638" t="s">
        <v>11606</v>
      </c>
      <c r="X638" t="s">
        <v>11607</v>
      </c>
      <c r="Y638" t="s">
        <v>11608</v>
      </c>
      <c r="Z638" t="s">
        <v>11609</v>
      </c>
      <c r="AA638" t="s">
        <v>74</v>
      </c>
      <c r="AB638" t="s">
        <v>11610</v>
      </c>
      <c r="AC638" t="s">
        <v>11611</v>
      </c>
      <c r="AD638" t="s">
        <v>11612</v>
      </c>
      <c r="AE638" t="s">
        <v>11613</v>
      </c>
      <c r="AF638" t="s">
        <v>74</v>
      </c>
      <c r="AG638">
        <v>49</v>
      </c>
      <c r="AH638">
        <v>0</v>
      </c>
      <c r="AI638">
        <v>0</v>
      </c>
      <c r="AJ638">
        <v>1</v>
      </c>
      <c r="AK638">
        <v>1</v>
      </c>
      <c r="AL638" t="s">
        <v>90</v>
      </c>
      <c r="AM638" t="s">
        <v>91</v>
      </c>
      <c r="AN638" t="s">
        <v>92</v>
      </c>
      <c r="AO638" t="s">
        <v>11593</v>
      </c>
      <c r="AP638" t="s">
        <v>11594</v>
      </c>
      <c r="AQ638" t="s">
        <v>74</v>
      </c>
      <c r="AR638" t="s">
        <v>11581</v>
      </c>
      <c r="AS638" t="s">
        <v>11595</v>
      </c>
      <c r="AT638" t="s">
        <v>11596</v>
      </c>
      <c r="AU638">
        <v>2023</v>
      </c>
      <c r="AV638">
        <v>555</v>
      </c>
      <c r="AW638" t="s">
        <v>74</v>
      </c>
      <c r="AX638" t="s">
        <v>74</v>
      </c>
      <c r="AY638" t="s">
        <v>74</v>
      </c>
      <c r="AZ638" t="s">
        <v>74</v>
      </c>
      <c r="BA638" t="s">
        <v>74</v>
      </c>
      <c r="BB638" t="s">
        <v>74</v>
      </c>
      <c r="BC638" t="s">
        <v>74</v>
      </c>
      <c r="BD638">
        <v>126609</v>
      </c>
      <c r="BE638" t="s">
        <v>11614</v>
      </c>
      <c r="BF638" t="str">
        <f>HYPERLINK("http://dx.doi.org/10.1016/j.neucom.2023.126609","http://dx.doi.org/10.1016/j.neucom.2023.126609")</f>
        <v>http://dx.doi.org/10.1016/j.neucom.2023.126609</v>
      </c>
      <c r="BG638" t="s">
        <v>74</v>
      </c>
      <c r="BH638" t="s">
        <v>74</v>
      </c>
      <c r="BI638">
        <v>10</v>
      </c>
      <c r="BJ638" t="s">
        <v>562</v>
      </c>
      <c r="BK638" t="s">
        <v>100</v>
      </c>
      <c r="BL638" t="s">
        <v>563</v>
      </c>
      <c r="BM638" t="s">
        <v>11615</v>
      </c>
      <c r="BN638" t="s">
        <v>74</v>
      </c>
      <c r="BO638" t="s">
        <v>74</v>
      </c>
      <c r="BP638" t="s">
        <v>74</v>
      </c>
      <c r="BQ638" t="s">
        <v>74</v>
      </c>
      <c r="BR638" t="s">
        <v>104</v>
      </c>
      <c r="BS638" t="s">
        <v>11616</v>
      </c>
      <c r="BT638" t="str">
        <f>HYPERLINK("https%3A%2F%2Fwww.webofscience.com%2Fwos%2Fwoscc%2Ffull-record%2FWOS:001059836900001","View Full Record in Web of Science")</f>
        <v>View Full Record in Web of Science</v>
      </c>
    </row>
    <row r="639" spans="1:72" x14ac:dyDescent="0.15">
      <c r="A639" t="s">
        <v>72</v>
      </c>
      <c r="B639" t="s">
        <v>11617</v>
      </c>
      <c r="C639" t="s">
        <v>74</v>
      </c>
      <c r="D639" t="s">
        <v>74</v>
      </c>
      <c r="E639" t="s">
        <v>74</v>
      </c>
      <c r="F639" t="s">
        <v>11618</v>
      </c>
      <c r="G639" t="s">
        <v>74</v>
      </c>
      <c r="H639" t="s">
        <v>74</v>
      </c>
      <c r="I639" t="s">
        <v>11619</v>
      </c>
      <c r="J639" t="s">
        <v>11620</v>
      </c>
      <c r="K639" t="s">
        <v>74</v>
      </c>
      <c r="L639" t="s">
        <v>74</v>
      </c>
      <c r="M639" t="s">
        <v>78</v>
      </c>
      <c r="N639" t="s">
        <v>241</v>
      </c>
      <c r="O639" t="s">
        <v>74</v>
      </c>
      <c r="P639" t="s">
        <v>74</v>
      </c>
      <c r="Q639" t="s">
        <v>74</v>
      </c>
      <c r="R639" t="s">
        <v>74</v>
      </c>
      <c r="S639" t="s">
        <v>74</v>
      </c>
      <c r="T639" t="s">
        <v>11621</v>
      </c>
      <c r="U639" t="s">
        <v>11622</v>
      </c>
      <c r="V639" t="s">
        <v>11623</v>
      </c>
      <c r="W639" t="s">
        <v>11624</v>
      </c>
      <c r="X639" t="s">
        <v>11625</v>
      </c>
      <c r="Y639" t="s">
        <v>11626</v>
      </c>
      <c r="Z639" t="s">
        <v>11627</v>
      </c>
      <c r="AA639" t="s">
        <v>74</v>
      </c>
      <c r="AB639" t="s">
        <v>74</v>
      </c>
      <c r="AC639" t="s">
        <v>11628</v>
      </c>
      <c r="AD639" t="s">
        <v>11629</v>
      </c>
      <c r="AE639" t="s">
        <v>11630</v>
      </c>
      <c r="AF639" t="s">
        <v>74</v>
      </c>
      <c r="AG639">
        <v>107</v>
      </c>
      <c r="AH639">
        <v>0</v>
      </c>
      <c r="AI639">
        <v>0</v>
      </c>
      <c r="AJ639">
        <v>5</v>
      </c>
      <c r="AK639">
        <v>5</v>
      </c>
      <c r="AL639" t="s">
        <v>90</v>
      </c>
      <c r="AM639" t="s">
        <v>91</v>
      </c>
      <c r="AN639" t="s">
        <v>92</v>
      </c>
      <c r="AO639" t="s">
        <v>11631</v>
      </c>
      <c r="AP639" t="s">
        <v>11632</v>
      </c>
      <c r="AQ639" t="s">
        <v>74</v>
      </c>
      <c r="AR639" t="s">
        <v>11633</v>
      </c>
      <c r="AS639" t="s">
        <v>11634</v>
      </c>
      <c r="AT639" t="s">
        <v>11635</v>
      </c>
      <c r="AU639">
        <v>2023</v>
      </c>
      <c r="AV639">
        <v>235</v>
      </c>
      <c r="AW639" t="s">
        <v>74</v>
      </c>
      <c r="AX639" t="s">
        <v>74</v>
      </c>
      <c r="AY639" t="s">
        <v>74</v>
      </c>
      <c r="AZ639" t="s">
        <v>74</v>
      </c>
      <c r="BA639" t="s">
        <v>74</v>
      </c>
      <c r="BB639" t="s">
        <v>74</v>
      </c>
      <c r="BC639" t="s">
        <v>74</v>
      </c>
      <c r="BD639">
        <v>115628</v>
      </c>
      <c r="BE639" t="s">
        <v>11636</v>
      </c>
      <c r="BF639" t="str">
        <f>HYPERLINK("http://dx.doi.org/10.1016/j.jpba.2023.115628","http://dx.doi.org/10.1016/j.jpba.2023.115628")</f>
        <v>http://dx.doi.org/10.1016/j.jpba.2023.115628</v>
      </c>
      <c r="BG639" t="s">
        <v>74</v>
      </c>
      <c r="BH639" t="s">
        <v>74</v>
      </c>
      <c r="BI639">
        <v>11</v>
      </c>
      <c r="BJ639" t="s">
        <v>11637</v>
      </c>
      <c r="BK639" t="s">
        <v>100</v>
      </c>
      <c r="BL639" t="s">
        <v>11638</v>
      </c>
      <c r="BM639" t="s">
        <v>11639</v>
      </c>
      <c r="BN639">
        <v>37579719</v>
      </c>
      <c r="BO639" t="s">
        <v>295</v>
      </c>
      <c r="BP639" t="s">
        <v>74</v>
      </c>
      <c r="BQ639" t="s">
        <v>74</v>
      </c>
      <c r="BR639" t="s">
        <v>104</v>
      </c>
      <c r="BS639" t="s">
        <v>11640</v>
      </c>
      <c r="BT639" t="str">
        <f>HYPERLINK("https%3A%2F%2Fwww.webofscience.com%2Fwos%2Fwoscc%2Ffull-record%2FWOS:001059107000001","View Full Record in Web of Science")</f>
        <v>View Full Record in Web of Science</v>
      </c>
    </row>
    <row r="640" spans="1:72" x14ac:dyDescent="0.15">
      <c r="A640" t="s">
        <v>72</v>
      </c>
      <c r="B640" t="s">
        <v>11641</v>
      </c>
      <c r="C640" t="s">
        <v>74</v>
      </c>
      <c r="D640" t="s">
        <v>74</v>
      </c>
      <c r="E640" t="s">
        <v>74</v>
      </c>
      <c r="F640" t="s">
        <v>11642</v>
      </c>
      <c r="G640" t="s">
        <v>74</v>
      </c>
      <c r="H640" t="s">
        <v>74</v>
      </c>
      <c r="I640" t="s">
        <v>11643</v>
      </c>
      <c r="J640" t="s">
        <v>11620</v>
      </c>
      <c r="K640" t="s">
        <v>74</v>
      </c>
      <c r="L640" t="s">
        <v>74</v>
      </c>
      <c r="M640" t="s">
        <v>78</v>
      </c>
      <c r="N640" t="s">
        <v>79</v>
      </c>
      <c r="O640" t="s">
        <v>74</v>
      </c>
      <c r="P640" t="s">
        <v>74</v>
      </c>
      <c r="Q640" t="s">
        <v>74</v>
      </c>
      <c r="R640" t="s">
        <v>74</v>
      </c>
      <c r="S640" t="s">
        <v>74</v>
      </c>
      <c r="T640" t="s">
        <v>11644</v>
      </c>
      <c r="U640" t="s">
        <v>11645</v>
      </c>
      <c r="V640" t="s">
        <v>11646</v>
      </c>
      <c r="W640" t="s">
        <v>11647</v>
      </c>
      <c r="X640" t="s">
        <v>11648</v>
      </c>
      <c r="Y640" t="s">
        <v>11649</v>
      </c>
      <c r="Z640" t="s">
        <v>11650</v>
      </c>
      <c r="AA640" t="s">
        <v>11651</v>
      </c>
      <c r="AB640" t="s">
        <v>11652</v>
      </c>
      <c r="AC640" t="s">
        <v>11653</v>
      </c>
      <c r="AD640" t="s">
        <v>11654</v>
      </c>
      <c r="AE640" t="s">
        <v>11655</v>
      </c>
      <c r="AF640" t="s">
        <v>74</v>
      </c>
      <c r="AG640">
        <v>35</v>
      </c>
      <c r="AH640">
        <v>0</v>
      </c>
      <c r="AI640">
        <v>0</v>
      </c>
      <c r="AJ640">
        <v>3</v>
      </c>
      <c r="AK640">
        <v>3</v>
      </c>
      <c r="AL640" t="s">
        <v>90</v>
      </c>
      <c r="AM640" t="s">
        <v>91</v>
      </c>
      <c r="AN640" t="s">
        <v>92</v>
      </c>
      <c r="AO640" t="s">
        <v>11631</v>
      </c>
      <c r="AP640" t="s">
        <v>11632</v>
      </c>
      <c r="AQ640" t="s">
        <v>74</v>
      </c>
      <c r="AR640" t="s">
        <v>11633</v>
      </c>
      <c r="AS640" t="s">
        <v>11634</v>
      </c>
      <c r="AT640" t="s">
        <v>11635</v>
      </c>
      <c r="AU640">
        <v>2023</v>
      </c>
      <c r="AV640">
        <v>235</v>
      </c>
      <c r="AW640" t="s">
        <v>74</v>
      </c>
      <c r="AX640" t="s">
        <v>74</v>
      </c>
      <c r="AY640" t="s">
        <v>74</v>
      </c>
      <c r="AZ640" t="s">
        <v>74</v>
      </c>
      <c r="BA640" t="s">
        <v>74</v>
      </c>
      <c r="BB640" t="s">
        <v>74</v>
      </c>
      <c r="BC640" t="s">
        <v>74</v>
      </c>
      <c r="BD640">
        <v>115611</v>
      </c>
      <c r="BE640" t="s">
        <v>11656</v>
      </c>
      <c r="BF640" t="str">
        <f>HYPERLINK("http://dx.doi.org/10.1016/j.jpba.2023.115611","http://dx.doi.org/10.1016/j.jpba.2023.115611")</f>
        <v>http://dx.doi.org/10.1016/j.jpba.2023.115611</v>
      </c>
      <c r="BG640" t="s">
        <v>74</v>
      </c>
      <c r="BH640" t="s">
        <v>74</v>
      </c>
      <c r="BI640">
        <v>12</v>
      </c>
      <c r="BJ640" t="s">
        <v>11637</v>
      </c>
      <c r="BK640" t="s">
        <v>100</v>
      </c>
      <c r="BL640" t="s">
        <v>11638</v>
      </c>
      <c r="BM640" t="s">
        <v>11657</v>
      </c>
      <c r="BN640">
        <v>37542828</v>
      </c>
      <c r="BO640" t="s">
        <v>295</v>
      </c>
      <c r="BP640" t="s">
        <v>74</v>
      </c>
      <c r="BQ640" t="s">
        <v>74</v>
      </c>
      <c r="BR640" t="s">
        <v>104</v>
      </c>
      <c r="BS640" t="s">
        <v>11658</v>
      </c>
      <c r="BT640" t="str">
        <f>HYPERLINK("https%3A%2F%2Fwww.webofscience.com%2Fwos%2Fwoscc%2Ffull-record%2FWOS:001052903000001","View Full Record in Web of Science")</f>
        <v>View Full Record in Web of Science</v>
      </c>
    </row>
    <row r="641" spans="1:72" x14ac:dyDescent="0.15">
      <c r="A641" t="s">
        <v>72</v>
      </c>
      <c r="B641" t="s">
        <v>11659</v>
      </c>
      <c r="C641" t="s">
        <v>74</v>
      </c>
      <c r="D641" t="s">
        <v>74</v>
      </c>
      <c r="E641" t="s">
        <v>74</v>
      </c>
      <c r="F641" t="s">
        <v>11660</v>
      </c>
      <c r="G641" t="s">
        <v>74</v>
      </c>
      <c r="H641" t="s">
        <v>74</v>
      </c>
      <c r="I641" t="s">
        <v>11661</v>
      </c>
      <c r="J641" t="s">
        <v>11620</v>
      </c>
      <c r="K641" t="s">
        <v>74</v>
      </c>
      <c r="L641" t="s">
        <v>74</v>
      </c>
      <c r="M641" t="s">
        <v>78</v>
      </c>
      <c r="N641" t="s">
        <v>79</v>
      </c>
      <c r="O641" t="s">
        <v>74</v>
      </c>
      <c r="P641" t="s">
        <v>74</v>
      </c>
      <c r="Q641" t="s">
        <v>74</v>
      </c>
      <c r="R641" t="s">
        <v>74</v>
      </c>
      <c r="S641" t="s">
        <v>74</v>
      </c>
      <c r="T641" t="s">
        <v>11662</v>
      </c>
      <c r="U641" t="s">
        <v>11663</v>
      </c>
      <c r="V641" t="s">
        <v>11664</v>
      </c>
      <c r="W641" t="s">
        <v>11665</v>
      </c>
      <c r="X641" t="s">
        <v>11666</v>
      </c>
      <c r="Y641" t="s">
        <v>11667</v>
      </c>
      <c r="Z641" t="s">
        <v>11668</v>
      </c>
      <c r="AA641" t="s">
        <v>11669</v>
      </c>
      <c r="AB641" t="s">
        <v>11670</v>
      </c>
      <c r="AC641" t="s">
        <v>11671</v>
      </c>
      <c r="AD641" t="s">
        <v>11672</v>
      </c>
      <c r="AE641" t="s">
        <v>11673</v>
      </c>
      <c r="AF641" t="s">
        <v>74</v>
      </c>
      <c r="AG641">
        <v>35</v>
      </c>
      <c r="AH641">
        <v>0</v>
      </c>
      <c r="AI641">
        <v>0</v>
      </c>
      <c r="AJ641">
        <v>0</v>
      </c>
      <c r="AK641">
        <v>0</v>
      </c>
      <c r="AL641" t="s">
        <v>90</v>
      </c>
      <c r="AM641" t="s">
        <v>91</v>
      </c>
      <c r="AN641" t="s">
        <v>92</v>
      </c>
      <c r="AO641" t="s">
        <v>11631</v>
      </c>
      <c r="AP641" t="s">
        <v>11632</v>
      </c>
      <c r="AQ641" t="s">
        <v>74</v>
      </c>
      <c r="AR641" t="s">
        <v>11633</v>
      </c>
      <c r="AS641" t="s">
        <v>11634</v>
      </c>
      <c r="AT641" t="s">
        <v>11635</v>
      </c>
      <c r="AU641">
        <v>2023</v>
      </c>
      <c r="AV641">
        <v>235</v>
      </c>
      <c r="AW641" t="s">
        <v>74</v>
      </c>
      <c r="AX641" t="s">
        <v>74</v>
      </c>
      <c r="AY641" t="s">
        <v>74</v>
      </c>
      <c r="AZ641" t="s">
        <v>74</v>
      </c>
      <c r="BA641" t="s">
        <v>74</v>
      </c>
      <c r="BB641" t="s">
        <v>74</v>
      </c>
      <c r="BC641" t="s">
        <v>74</v>
      </c>
      <c r="BD641">
        <v>115607</v>
      </c>
      <c r="BE641" t="s">
        <v>11674</v>
      </c>
      <c r="BF641" t="str">
        <f>HYPERLINK("http://dx.doi.org/10.1016/j.jpba.2023.115607","http://dx.doi.org/10.1016/j.jpba.2023.115607")</f>
        <v>http://dx.doi.org/10.1016/j.jpba.2023.115607</v>
      </c>
      <c r="BG641" t="s">
        <v>74</v>
      </c>
      <c r="BH641" t="s">
        <v>74</v>
      </c>
      <c r="BI641">
        <v>8</v>
      </c>
      <c r="BJ641" t="s">
        <v>11637</v>
      </c>
      <c r="BK641" t="s">
        <v>100</v>
      </c>
      <c r="BL641" t="s">
        <v>11638</v>
      </c>
      <c r="BM641" t="s">
        <v>11675</v>
      </c>
      <c r="BN641">
        <v>37523868</v>
      </c>
      <c r="BO641" t="s">
        <v>74</v>
      </c>
      <c r="BP641" t="s">
        <v>74</v>
      </c>
      <c r="BQ641" t="s">
        <v>74</v>
      </c>
      <c r="BR641" t="s">
        <v>104</v>
      </c>
      <c r="BS641" t="s">
        <v>11676</v>
      </c>
      <c r="BT641" t="str">
        <f>HYPERLINK("https%3A%2F%2Fwww.webofscience.com%2Fwos%2Fwoscc%2Ffull-record%2FWOS:001051379600001","View Full Record in Web of Science")</f>
        <v>View Full Record in Web of Science</v>
      </c>
    </row>
    <row r="642" spans="1:72" x14ac:dyDescent="0.15">
      <c r="A642" t="s">
        <v>72</v>
      </c>
      <c r="B642" t="s">
        <v>11677</v>
      </c>
      <c r="C642" t="s">
        <v>74</v>
      </c>
      <c r="D642" t="s">
        <v>74</v>
      </c>
      <c r="E642" t="s">
        <v>74</v>
      </c>
      <c r="F642" t="s">
        <v>11678</v>
      </c>
      <c r="G642" t="s">
        <v>74</v>
      </c>
      <c r="H642" t="s">
        <v>74</v>
      </c>
      <c r="I642" t="s">
        <v>11679</v>
      </c>
      <c r="J642" t="s">
        <v>11620</v>
      </c>
      <c r="K642" t="s">
        <v>74</v>
      </c>
      <c r="L642" t="s">
        <v>74</v>
      </c>
      <c r="M642" t="s">
        <v>78</v>
      </c>
      <c r="N642" t="s">
        <v>79</v>
      </c>
      <c r="O642" t="s">
        <v>74</v>
      </c>
      <c r="P642" t="s">
        <v>74</v>
      </c>
      <c r="Q642" t="s">
        <v>74</v>
      </c>
      <c r="R642" t="s">
        <v>74</v>
      </c>
      <c r="S642" t="s">
        <v>74</v>
      </c>
      <c r="T642" t="s">
        <v>11680</v>
      </c>
      <c r="U642" t="s">
        <v>74</v>
      </c>
      <c r="V642" t="s">
        <v>11681</v>
      </c>
      <c r="W642" t="s">
        <v>11682</v>
      </c>
      <c r="X642" t="s">
        <v>11683</v>
      </c>
      <c r="Y642" t="s">
        <v>11684</v>
      </c>
      <c r="Z642" t="s">
        <v>11685</v>
      </c>
      <c r="AA642" t="s">
        <v>74</v>
      </c>
      <c r="AB642" t="s">
        <v>11686</v>
      </c>
      <c r="AC642" t="s">
        <v>74</v>
      </c>
      <c r="AD642" t="s">
        <v>74</v>
      </c>
      <c r="AE642" t="s">
        <v>74</v>
      </c>
      <c r="AF642" t="s">
        <v>74</v>
      </c>
      <c r="AG642">
        <v>13</v>
      </c>
      <c r="AH642">
        <v>0</v>
      </c>
      <c r="AI642">
        <v>0</v>
      </c>
      <c r="AJ642">
        <v>7</v>
      </c>
      <c r="AK642">
        <v>7</v>
      </c>
      <c r="AL642" t="s">
        <v>90</v>
      </c>
      <c r="AM642" t="s">
        <v>91</v>
      </c>
      <c r="AN642" t="s">
        <v>92</v>
      </c>
      <c r="AO642" t="s">
        <v>11631</v>
      </c>
      <c r="AP642" t="s">
        <v>11632</v>
      </c>
      <c r="AQ642" t="s">
        <v>74</v>
      </c>
      <c r="AR642" t="s">
        <v>11633</v>
      </c>
      <c r="AS642" t="s">
        <v>11634</v>
      </c>
      <c r="AT642" t="s">
        <v>11635</v>
      </c>
      <c r="AU642">
        <v>2023</v>
      </c>
      <c r="AV642">
        <v>235</v>
      </c>
      <c r="AW642" t="s">
        <v>74</v>
      </c>
      <c r="AX642" t="s">
        <v>74</v>
      </c>
      <c r="AY642" t="s">
        <v>74</v>
      </c>
      <c r="AZ642" t="s">
        <v>74</v>
      </c>
      <c r="BA642" t="s">
        <v>74</v>
      </c>
      <c r="BB642" t="s">
        <v>74</v>
      </c>
      <c r="BC642" t="s">
        <v>74</v>
      </c>
      <c r="BD642">
        <v>115612</v>
      </c>
      <c r="BE642" t="s">
        <v>11687</v>
      </c>
      <c r="BF642" t="str">
        <f>HYPERLINK("http://dx.doi.org/10.1016/j.jpba.2023.115612","http://dx.doi.org/10.1016/j.jpba.2023.115612")</f>
        <v>http://dx.doi.org/10.1016/j.jpba.2023.115612</v>
      </c>
      <c r="BG642" t="s">
        <v>74</v>
      </c>
      <c r="BH642" t="s">
        <v>74</v>
      </c>
      <c r="BI642">
        <v>10</v>
      </c>
      <c r="BJ642" t="s">
        <v>11637</v>
      </c>
      <c r="BK642" t="s">
        <v>100</v>
      </c>
      <c r="BL642" t="s">
        <v>11638</v>
      </c>
      <c r="BM642" t="s">
        <v>11688</v>
      </c>
      <c r="BN642">
        <v>37557065</v>
      </c>
      <c r="BO642" t="s">
        <v>295</v>
      </c>
      <c r="BP642" t="s">
        <v>74</v>
      </c>
      <c r="BQ642" t="s">
        <v>74</v>
      </c>
      <c r="BR642" t="s">
        <v>104</v>
      </c>
      <c r="BS642" t="s">
        <v>11689</v>
      </c>
      <c r="BT642" t="str">
        <f>HYPERLINK("https%3A%2F%2Fwww.webofscience.com%2Fwos%2Fwoscc%2Ffull-record%2FWOS:001053482000001","View Full Record in Web of Science")</f>
        <v>View Full Record in Web of Science</v>
      </c>
    </row>
    <row r="643" spans="1:72" x14ac:dyDescent="0.15">
      <c r="A643" t="s">
        <v>72</v>
      </c>
      <c r="B643" t="s">
        <v>11690</v>
      </c>
      <c r="C643" t="s">
        <v>74</v>
      </c>
      <c r="D643" t="s">
        <v>74</v>
      </c>
      <c r="E643" t="s">
        <v>74</v>
      </c>
      <c r="F643" t="s">
        <v>11691</v>
      </c>
      <c r="G643" t="s">
        <v>74</v>
      </c>
      <c r="H643" t="s">
        <v>74</v>
      </c>
      <c r="I643" t="s">
        <v>11692</v>
      </c>
      <c r="J643" t="s">
        <v>11693</v>
      </c>
      <c r="K643" t="s">
        <v>74</v>
      </c>
      <c r="L643" t="s">
        <v>74</v>
      </c>
      <c r="M643" t="s">
        <v>78</v>
      </c>
      <c r="N643" t="s">
        <v>79</v>
      </c>
      <c r="O643" t="s">
        <v>74</v>
      </c>
      <c r="P643" t="s">
        <v>74</v>
      </c>
      <c r="Q643" t="s">
        <v>74</v>
      </c>
      <c r="R643" t="s">
        <v>74</v>
      </c>
      <c r="S643" t="s">
        <v>74</v>
      </c>
      <c r="T643" t="s">
        <v>11694</v>
      </c>
      <c r="U643" t="s">
        <v>11695</v>
      </c>
      <c r="V643" t="s">
        <v>11696</v>
      </c>
      <c r="W643" t="s">
        <v>11697</v>
      </c>
      <c r="X643" t="s">
        <v>11698</v>
      </c>
      <c r="Y643" t="s">
        <v>11699</v>
      </c>
      <c r="Z643" t="s">
        <v>11700</v>
      </c>
      <c r="AA643" t="s">
        <v>74</v>
      </c>
      <c r="AB643" t="s">
        <v>11701</v>
      </c>
      <c r="AC643" t="s">
        <v>11702</v>
      </c>
      <c r="AD643" t="s">
        <v>11703</v>
      </c>
      <c r="AE643" t="s">
        <v>11704</v>
      </c>
      <c r="AF643" t="s">
        <v>74</v>
      </c>
      <c r="AG643">
        <v>51</v>
      </c>
      <c r="AH643">
        <v>0</v>
      </c>
      <c r="AI643">
        <v>0</v>
      </c>
      <c r="AJ643">
        <v>7</v>
      </c>
      <c r="AK643">
        <v>7</v>
      </c>
      <c r="AL643" t="s">
        <v>147</v>
      </c>
      <c r="AM643" t="s">
        <v>148</v>
      </c>
      <c r="AN643" t="s">
        <v>149</v>
      </c>
      <c r="AO643" t="s">
        <v>11705</v>
      </c>
      <c r="AP643" t="s">
        <v>11706</v>
      </c>
      <c r="AQ643" t="s">
        <v>74</v>
      </c>
      <c r="AR643" t="s">
        <v>11707</v>
      </c>
      <c r="AS643" t="s">
        <v>11708</v>
      </c>
      <c r="AT643" t="s">
        <v>11635</v>
      </c>
      <c r="AU643">
        <v>2023</v>
      </c>
      <c r="AV643">
        <v>126</v>
      </c>
      <c r="AW643" t="s">
        <v>74</v>
      </c>
      <c r="AX643" t="s">
        <v>74</v>
      </c>
      <c r="AY643" t="s">
        <v>74</v>
      </c>
      <c r="AZ643" t="s">
        <v>74</v>
      </c>
      <c r="BA643" t="s">
        <v>74</v>
      </c>
      <c r="BB643">
        <v>171</v>
      </c>
      <c r="BC643">
        <v>180</v>
      </c>
      <c r="BD643" t="s">
        <v>74</v>
      </c>
      <c r="BE643" t="s">
        <v>11709</v>
      </c>
      <c r="BF643" t="str">
        <f>HYPERLINK("http://dx.doi.org/10.1016/j.jiec.2023.06.007","http://dx.doi.org/10.1016/j.jiec.2023.06.007")</f>
        <v>http://dx.doi.org/10.1016/j.jiec.2023.06.007</v>
      </c>
      <c r="BG643" t="s">
        <v>74</v>
      </c>
      <c r="BH643" t="s">
        <v>74</v>
      </c>
      <c r="BI643">
        <v>10</v>
      </c>
      <c r="BJ643" t="s">
        <v>11710</v>
      </c>
      <c r="BK643" t="s">
        <v>100</v>
      </c>
      <c r="BL643" t="s">
        <v>458</v>
      </c>
      <c r="BM643" t="s">
        <v>11711</v>
      </c>
      <c r="BN643" t="s">
        <v>74</v>
      </c>
      <c r="BO643" t="s">
        <v>74</v>
      </c>
      <c r="BP643" t="s">
        <v>74</v>
      </c>
      <c r="BQ643" t="s">
        <v>74</v>
      </c>
      <c r="BR643" t="s">
        <v>104</v>
      </c>
      <c r="BS643" t="s">
        <v>11712</v>
      </c>
      <c r="BT643" t="str">
        <f>HYPERLINK("https%3A%2F%2Fwww.webofscience.com%2Fwos%2Fwoscc%2Ffull-record%2FWOS:001044482900001","View Full Record in Web of Science")</f>
        <v>View Full Record in Web of Science</v>
      </c>
    </row>
    <row r="644" spans="1:72" x14ac:dyDescent="0.15">
      <c r="A644" t="s">
        <v>72</v>
      </c>
      <c r="B644" t="s">
        <v>11713</v>
      </c>
      <c r="C644" t="s">
        <v>74</v>
      </c>
      <c r="D644" t="s">
        <v>74</v>
      </c>
      <c r="E644" t="s">
        <v>74</v>
      </c>
      <c r="F644" t="s">
        <v>11714</v>
      </c>
      <c r="G644" t="s">
        <v>74</v>
      </c>
      <c r="H644" t="s">
        <v>74</v>
      </c>
      <c r="I644" t="s">
        <v>11715</v>
      </c>
      <c r="J644" t="s">
        <v>11716</v>
      </c>
      <c r="K644" t="s">
        <v>74</v>
      </c>
      <c r="L644" t="s">
        <v>74</v>
      </c>
      <c r="M644" t="s">
        <v>78</v>
      </c>
      <c r="N644" t="s">
        <v>79</v>
      </c>
      <c r="O644" t="s">
        <v>74</v>
      </c>
      <c r="P644" t="s">
        <v>74</v>
      </c>
      <c r="Q644" t="s">
        <v>74</v>
      </c>
      <c r="R644" t="s">
        <v>74</v>
      </c>
      <c r="S644" t="s">
        <v>74</v>
      </c>
      <c r="T644" t="s">
        <v>11717</v>
      </c>
      <c r="U644" t="s">
        <v>11718</v>
      </c>
      <c r="V644" t="s">
        <v>11719</v>
      </c>
      <c r="W644" t="s">
        <v>11720</v>
      </c>
      <c r="X644" t="s">
        <v>11721</v>
      </c>
      <c r="Y644" t="s">
        <v>11722</v>
      </c>
      <c r="Z644" t="s">
        <v>11723</v>
      </c>
      <c r="AA644" t="s">
        <v>74</v>
      </c>
      <c r="AB644" t="s">
        <v>74</v>
      </c>
      <c r="AC644" t="s">
        <v>11724</v>
      </c>
      <c r="AD644" t="s">
        <v>11725</v>
      </c>
      <c r="AE644" t="s">
        <v>11726</v>
      </c>
      <c r="AF644" t="s">
        <v>74</v>
      </c>
      <c r="AG644">
        <v>86</v>
      </c>
      <c r="AH644">
        <v>0</v>
      </c>
      <c r="AI644">
        <v>0</v>
      </c>
      <c r="AJ644">
        <v>0</v>
      </c>
      <c r="AK644">
        <v>0</v>
      </c>
      <c r="AL644" t="s">
        <v>90</v>
      </c>
      <c r="AM644" t="s">
        <v>91</v>
      </c>
      <c r="AN644" t="s">
        <v>92</v>
      </c>
      <c r="AO644" t="s">
        <v>11727</v>
      </c>
      <c r="AP644" t="s">
        <v>11728</v>
      </c>
      <c r="AQ644" t="s">
        <v>74</v>
      </c>
      <c r="AR644" t="s">
        <v>11729</v>
      </c>
      <c r="AS644" t="s">
        <v>11730</v>
      </c>
      <c r="AT644" t="s">
        <v>11635</v>
      </c>
      <c r="AU644">
        <v>2023</v>
      </c>
      <c r="AV644">
        <v>278</v>
      </c>
      <c r="AW644" t="s">
        <v>74</v>
      </c>
      <c r="AX644" t="s">
        <v>74</v>
      </c>
      <c r="AY644" t="s">
        <v>74</v>
      </c>
      <c r="AZ644" t="s">
        <v>74</v>
      </c>
      <c r="BA644" t="s">
        <v>74</v>
      </c>
      <c r="BB644" t="s">
        <v>74</v>
      </c>
      <c r="BC644" t="s">
        <v>74</v>
      </c>
      <c r="BD644">
        <v>110823</v>
      </c>
      <c r="BE644" t="s">
        <v>11731</v>
      </c>
      <c r="BF644" t="str">
        <f>HYPERLINK("http://dx.doi.org/10.1016/j.knosys.2023.110823","http://dx.doi.org/10.1016/j.knosys.2023.110823")</f>
        <v>http://dx.doi.org/10.1016/j.knosys.2023.110823</v>
      </c>
      <c r="BG644" t="s">
        <v>74</v>
      </c>
      <c r="BH644" t="s">
        <v>74</v>
      </c>
      <c r="BI644">
        <v>16</v>
      </c>
      <c r="BJ644" t="s">
        <v>562</v>
      </c>
      <c r="BK644" t="s">
        <v>100</v>
      </c>
      <c r="BL644" t="s">
        <v>563</v>
      </c>
      <c r="BM644" t="s">
        <v>11732</v>
      </c>
      <c r="BN644" t="s">
        <v>74</v>
      </c>
      <c r="BO644" t="s">
        <v>74</v>
      </c>
      <c r="BP644" t="s">
        <v>74</v>
      </c>
      <c r="BQ644" t="s">
        <v>74</v>
      </c>
      <c r="BR644" t="s">
        <v>104</v>
      </c>
      <c r="BS644" t="s">
        <v>11733</v>
      </c>
      <c r="BT644" t="str">
        <f>HYPERLINK("https%3A%2F%2Fwww.webofscience.com%2Fwos%2Fwoscc%2Ffull-record%2FWOS:001069895800001","View Full Record in Web of Science")</f>
        <v>View Full Record in Web of Science</v>
      </c>
    </row>
    <row r="645" spans="1:72" x14ac:dyDescent="0.15">
      <c r="A645" t="s">
        <v>72</v>
      </c>
      <c r="B645" t="s">
        <v>11734</v>
      </c>
      <c r="C645" t="s">
        <v>74</v>
      </c>
      <c r="D645" t="s">
        <v>74</v>
      </c>
      <c r="E645" t="s">
        <v>74</v>
      </c>
      <c r="F645" t="s">
        <v>11735</v>
      </c>
      <c r="G645" t="s">
        <v>74</v>
      </c>
      <c r="H645" t="s">
        <v>74</v>
      </c>
      <c r="I645" t="s">
        <v>11736</v>
      </c>
      <c r="J645" t="s">
        <v>11716</v>
      </c>
      <c r="K645" t="s">
        <v>74</v>
      </c>
      <c r="L645" t="s">
        <v>74</v>
      </c>
      <c r="M645" t="s">
        <v>78</v>
      </c>
      <c r="N645" t="s">
        <v>79</v>
      </c>
      <c r="O645" t="s">
        <v>74</v>
      </c>
      <c r="P645" t="s">
        <v>74</v>
      </c>
      <c r="Q645" t="s">
        <v>74</v>
      </c>
      <c r="R645" t="s">
        <v>74</v>
      </c>
      <c r="S645" t="s">
        <v>74</v>
      </c>
      <c r="T645" t="s">
        <v>11737</v>
      </c>
      <c r="U645" t="s">
        <v>74</v>
      </c>
      <c r="V645" t="s">
        <v>11738</v>
      </c>
      <c r="W645" t="s">
        <v>11739</v>
      </c>
      <c r="X645" t="s">
        <v>11740</v>
      </c>
      <c r="Y645" t="s">
        <v>11741</v>
      </c>
      <c r="Z645" t="s">
        <v>11742</v>
      </c>
      <c r="AA645" t="s">
        <v>74</v>
      </c>
      <c r="AB645" t="s">
        <v>74</v>
      </c>
      <c r="AC645" t="s">
        <v>11743</v>
      </c>
      <c r="AD645" t="s">
        <v>11744</v>
      </c>
      <c r="AE645" t="s">
        <v>11745</v>
      </c>
      <c r="AF645" t="s">
        <v>74</v>
      </c>
      <c r="AG645">
        <v>56</v>
      </c>
      <c r="AH645">
        <v>0</v>
      </c>
      <c r="AI645">
        <v>0</v>
      </c>
      <c r="AJ645">
        <v>2</v>
      </c>
      <c r="AK645">
        <v>2</v>
      </c>
      <c r="AL645" t="s">
        <v>90</v>
      </c>
      <c r="AM645" t="s">
        <v>91</v>
      </c>
      <c r="AN645" t="s">
        <v>92</v>
      </c>
      <c r="AO645" t="s">
        <v>11727</v>
      </c>
      <c r="AP645" t="s">
        <v>11728</v>
      </c>
      <c r="AQ645" t="s">
        <v>74</v>
      </c>
      <c r="AR645" t="s">
        <v>11729</v>
      </c>
      <c r="AS645" t="s">
        <v>11730</v>
      </c>
      <c r="AT645" t="s">
        <v>11635</v>
      </c>
      <c r="AU645">
        <v>2023</v>
      </c>
      <c r="AV645">
        <v>278</v>
      </c>
      <c r="AW645" t="s">
        <v>74</v>
      </c>
      <c r="AX645" t="s">
        <v>74</v>
      </c>
      <c r="AY645" t="s">
        <v>74</v>
      </c>
      <c r="AZ645" t="s">
        <v>74</v>
      </c>
      <c r="BA645" t="s">
        <v>74</v>
      </c>
      <c r="BB645" t="s">
        <v>74</v>
      </c>
      <c r="BC645" t="s">
        <v>74</v>
      </c>
      <c r="BD645">
        <v>110772</v>
      </c>
      <c r="BE645" t="s">
        <v>11746</v>
      </c>
      <c r="BF645" t="str">
        <f>HYPERLINK("http://dx.doi.org/10.1016/j.knosys.2023.110772","http://dx.doi.org/10.1016/j.knosys.2023.110772")</f>
        <v>http://dx.doi.org/10.1016/j.knosys.2023.110772</v>
      </c>
      <c r="BG645" t="s">
        <v>74</v>
      </c>
      <c r="BH645" t="s">
        <v>74</v>
      </c>
      <c r="BI645">
        <v>15</v>
      </c>
      <c r="BJ645" t="s">
        <v>562</v>
      </c>
      <c r="BK645" t="s">
        <v>100</v>
      </c>
      <c r="BL645" t="s">
        <v>563</v>
      </c>
      <c r="BM645" t="s">
        <v>11747</v>
      </c>
      <c r="BN645" t="s">
        <v>74</v>
      </c>
      <c r="BO645" t="s">
        <v>74</v>
      </c>
      <c r="BP645" t="s">
        <v>74</v>
      </c>
      <c r="BQ645" t="s">
        <v>74</v>
      </c>
      <c r="BR645" t="s">
        <v>104</v>
      </c>
      <c r="BS645" t="s">
        <v>11748</v>
      </c>
      <c r="BT645" t="str">
        <f>HYPERLINK("https%3A%2F%2Fwww.webofscience.com%2Fwos%2Fwoscc%2Ffull-record%2FWOS:001057843500001","View Full Record in Web of Science")</f>
        <v>View Full Record in Web of Science</v>
      </c>
    </row>
    <row r="646" spans="1:72" x14ac:dyDescent="0.15">
      <c r="A646" t="s">
        <v>72</v>
      </c>
      <c r="B646" t="s">
        <v>11749</v>
      </c>
      <c r="C646" t="s">
        <v>74</v>
      </c>
      <c r="D646" t="s">
        <v>74</v>
      </c>
      <c r="E646" t="s">
        <v>74</v>
      </c>
      <c r="F646" t="s">
        <v>11750</v>
      </c>
      <c r="G646" t="s">
        <v>74</v>
      </c>
      <c r="H646" t="s">
        <v>74</v>
      </c>
      <c r="I646" t="s">
        <v>11751</v>
      </c>
      <c r="J646" t="s">
        <v>5192</v>
      </c>
      <c r="K646" t="s">
        <v>74</v>
      </c>
      <c r="L646" t="s">
        <v>74</v>
      </c>
      <c r="M646" t="s">
        <v>78</v>
      </c>
      <c r="N646" t="s">
        <v>79</v>
      </c>
      <c r="O646" t="s">
        <v>74</v>
      </c>
      <c r="P646" t="s">
        <v>74</v>
      </c>
      <c r="Q646" t="s">
        <v>74</v>
      </c>
      <c r="R646" t="s">
        <v>74</v>
      </c>
      <c r="S646" t="s">
        <v>74</v>
      </c>
      <c r="T646" t="s">
        <v>11752</v>
      </c>
      <c r="U646" t="s">
        <v>11753</v>
      </c>
      <c r="V646" t="s">
        <v>11754</v>
      </c>
      <c r="W646" t="s">
        <v>11755</v>
      </c>
      <c r="X646" t="s">
        <v>11756</v>
      </c>
      <c r="Y646" t="s">
        <v>11757</v>
      </c>
      <c r="Z646" t="s">
        <v>11758</v>
      </c>
      <c r="AA646" t="s">
        <v>74</v>
      </c>
      <c r="AB646" t="s">
        <v>74</v>
      </c>
      <c r="AC646" t="s">
        <v>11759</v>
      </c>
      <c r="AD646" t="s">
        <v>11760</v>
      </c>
      <c r="AE646" t="s">
        <v>11761</v>
      </c>
      <c r="AF646" t="s">
        <v>74</v>
      </c>
      <c r="AG646">
        <v>48</v>
      </c>
      <c r="AH646">
        <v>0</v>
      </c>
      <c r="AI646">
        <v>0</v>
      </c>
      <c r="AJ646">
        <v>1</v>
      </c>
      <c r="AK646">
        <v>1</v>
      </c>
      <c r="AL646" t="s">
        <v>90</v>
      </c>
      <c r="AM646" t="s">
        <v>91</v>
      </c>
      <c r="AN646" t="s">
        <v>92</v>
      </c>
      <c r="AO646" t="s">
        <v>5203</v>
      </c>
      <c r="AP646" t="s">
        <v>5204</v>
      </c>
      <c r="AQ646" t="s">
        <v>74</v>
      </c>
      <c r="AR646" t="s">
        <v>5205</v>
      </c>
      <c r="AS646" t="s">
        <v>5206</v>
      </c>
      <c r="AT646" t="s">
        <v>11762</v>
      </c>
      <c r="AU646">
        <v>2023</v>
      </c>
      <c r="AV646">
        <v>675</v>
      </c>
      <c r="AW646" t="s">
        <v>74</v>
      </c>
      <c r="AX646" t="s">
        <v>74</v>
      </c>
      <c r="AY646" t="s">
        <v>74</v>
      </c>
      <c r="AZ646" t="s">
        <v>74</v>
      </c>
      <c r="BA646" t="s">
        <v>74</v>
      </c>
      <c r="BB646" t="s">
        <v>74</v>
      </c>
      <c r="BC646" t="s">
        <v>74</v>
      </c>
      <c r="BD646">
        <v>132033</v>
      </c>
      <c r="BE646" t="s">
        <v>11763</v>
      </c>
      <c r="BF646" t="str">
        <f>HYPERLINK("http://dx.doi.org/10.1016/j.colsurfa.2023.132033","http://dx.doi.org/10.1016/j.colsurfa.2023.132033")</f>
        <v>http://dx.doi.org/10.1016/j.colsurfa.2023.132033</v>
      </c>
      <c r="BG646" t="s">
        <v>74</v>
      </c>
      <c r="BH646" t="s">
        <v>74</v>
      </c>
      <c r="BI646">
        <v>10</v>
      </c>
      <c r="BJ646" t="s">
        <v>394</v>
      </c>
      <c r="BK646" t="s">
        <v>100</v>
      </c>
      <c r="BL646" t="s">
        <v>395</v>
      </c>
      <c r="BM646" t="s">
        <v>11764</v>
      </c>
      <c r="BN646" t="s">
        <v>74</v>
      </c>
      <c r="BO646" t="s">
        <v>74</v>
      </c>
      <c r="BP646" t="s">
        <v>74</v>
      </c>
      <c r="BQ646" t="s">
        <v>74</v>
      </c>
      <c r="BR646" t="s">
        <v>104</v>
      </c>
      <c r="BS646" t="s">
        <v>11765</v>
      </c>
      <c r="BT646" t="str">
        <f>HYPERLINK("https%3A%2F%2Fwww.webofscience.com%2Fwos%2Fwoscc%2Ffull-record%2FWOS:001057385000001","View Full Record in Web of Science")</f>
        <v>View Full Record in Web of Science</v>
      </c>
    </row>
    <row r="647" spans="1:72" x14ac:dyDescent="0.15">
      <c r="A647" t="s">
        <v>72</v>
      </c>
      <c r="B647" t="s">
        <v>11766</v>
      </c>
      <c r="C647" t="s">
        <v>74</v>
      </c>
      <c r="D647" t="s">
        <v>74</v>
      </c>
      <c r="E647" t="s">
        <v>74</v>
      </c>
      <c r="F647" t="s">
        <v>11767</v>
      </c>
      <c r="G647" t="s">
        <v>74</v>
      </c>
      <c r="H647" t="s">
        <v>74</v>
      </c>
      <c r="I647" t="s">
        <v>11768</v>
      </c>
      <c r="J647" t="s">
        <v>5192</v>
      </c>
      <c r="K647" t="s">
        <v>74</v>
      </c>
      <c r="L647" t="s">
        <v>74</v>
      </c>
      <c r="M647" t="s">
        <v>78</v>
      </c>
      <c r="N647" t="s">
        <v>79</v>
      </c>
      <c r="O647" t="s">
        <v>74</v>
      </c>
      <c r="P647" t="s">
        <v>74</v>
      </c>
      <c r="Q647" t="s">
        <v>74</v>
      </c>
      <c r="R647" t="s">
        <v>74</v>
      </c>
      <c r="S647" t="s">
        <v>74</v>
      </c>
      <c r="T647" t="s">
        <v>11769</v>
      </c>
      <c r="U647" t="s">
        <v>11770</v>
      </c>
      <c r="V647" t="s">
        <v>11771</v>
      </c>
      <c r="W647" t="s">
        <v>11772</v>
      </c>
      <c r="X647" t="s">
        <v>11773</v>
      </c>
      <c r="Y647" t="s">
        <v>11774</v>
      </c>
      <c r="Z647" t="s">
        <v>11775</v>
      </c>
      <c r="AA647" t="s">
        <v>74</v>
      </c>
      <c r="AB647" t="s">
        <v>74</v>
      </c>
      <c r="AC647" t="s">
        <v>11776</v>
      </c>
      <c r="AD647" t="s">
        <v>11777</v>
      </c>
      <c r="AE647" t="s">
        <v>11778</v>
      </c>
      <c r="AF647" t="s">
        <v>74</v>
      </c>
      <c r="AG647">
        <v>51</v>
      </c>
      <c r="AH647">
        <v>0</v>
      </c>
      <c r="AI647">
        <v>0</v>
      </c>
      <c r="AJ647">
        <v>5</v>
      </c>
      <c r="AK647">
        <v>5</v>
      </c>
      <c r="AL647" t="s">
        <v>90</v>
      </c>
      <c r="AM647" t="s">
        <v>91</v>
      </c>
      <c r="AN647" t="s">
        <v>92</v>
      </c>
      <c r="AO647" t="s">
        <v>5203</v>
      </c>
      <c r="AP647" t="s">
        <v>5204</v>
      </c>
      <c r="AQ647" t="s">
        <v>74</v>
      </c>
      <c r="AR647" t="s">
        <v>5205</v>
      </c>
      <c r="AS647" t="s">
        <v>5206</v>
      </c>
      <c r="AT647" t="s">
        <v>11762</v>
      </c>
      <c r="AU647">
        <v>2023</v>
      </c>
      <c r="AV647">
        <v>675</v>
      </c>
      <c r="AW647" t="s">
        <v>74</v>
      </c>
      <c r="AX647" t="s">
        <v>74</v>
      </c>
      <c r="AY647" t="s">
        <v>74</v>
      </c>
      <c r="AZ647" t="s">
        <v>74</v>
      </c>
      <c r="BA647" t="s">
        <v>74</v>
      </c>
      <c r="BB647" t="s">
        <v>74</v>
      </c>
      <c r="BC647" t="s">
        <v>74</v>
      </c>
      <c r="BD647">
        <v>131945</v>
      </c>
      <c r="BE647" t="s">
        <v>11779</v>
      </c>
      <c r="BF647" t="str">
        <f>HYPERLINK("http://dx.doi.org/10.1016/j.colsurfa.2023.131945","http://dx.doi.org/10.1016/j.colsurfa.2023.131945")</f>
        <v>http://dx.doi.org/10.1016/j.colsurfa.2023.131945</v>
      </c>
      <c r="BG647" t="s">
        <v>74</v>
      </c>
      <c r="BH647" t="s">
        <v>74</v>
      </c>
      <c r="BI647">
        <v>11</v>
      </c>
      <c r="BJ647" t="s">
        <v>394</v>
      </c>
      <c r="BK647" t="s">
        <v>100</v>
      </c>
      <c r="BL647" t="s">
        <v>395</v>
      </c>
      <c r="BM647" t="s">
        <v>11780</v>
      </c>
      <c r="BN647" t="s">
        <v>74</v>
      </c>
      <c r="BO647" t="s">
        <v>74</v>
      </c>
      <c r="BP647" t="s">
        <v>74</v>
      </c>
      <c r="BQ647" t="s">
        <v>74</v>
      </c>
      <c r="BR647" t="s">
        <v>104</v>
      </c>
      <c r="BS647" t="s">
        <v>11781</v>
      </c>
      <c r="BT647" t="str">
        <f>HYPERLINK("https%3A%2F%2Fwww.webofscience.com%2Fwos%2Fwoscc%2Ffull-record%2FWOS:001051857100001","View Full Record in Web of Science")</f>
        <v>View Full Record in Web of Science</v>
      </c>
    </row>
    <row r="648" spans="1:72" x14ac:dyDescent="0.15">
      <c r="A648" t="s">
        <v>72</v>
      </c>
      <c r="B648" t="s">
        <v>11782</v>
      </c>
      <c r="C648" t="s">
        <v>74</v>
      </c>
      <c r="D648" t="s">
        <v>74</v>
      </c>
      <c r="E648" t="s">
        <v>74</v>
      </c>
      <c r="F648" t="s">
        <v>11783</v>
      </c>
      <c r="G648" t="s">
        <v>74</v>
      </c>
      <c r="H648" t="s">
        <v>74</v>
      </c>
      <c r="I648" t="s">
        <v>11784</v>
      </c>
      <c r="J648" t="s">
        <v>5192</v>
      </c>
      <c r="K648" t="s">
        <v>74</v>
      </c>
      <c r="L648" t="s">
        <v>74</v>
      </c>
      <c r="M648" t="s">
        <v>78</v>
      </c>
      <c r="N648" t="s">
        <v>79</v>
      </c>
      <c r="O648" t="s">
        <v>74</v>
      </c>
      <c r="P648" t="s">
        <v>74</v>
      </c>
      <c r="Q648" t="s">
        <v>74</v>
      </c>
      <c r="R648" t="s">
        <v>74</v>
      </c>
      <c r="S648" t="s">
        <v>74</v>
      </c>
      <c r="T648" t="s">
        <v>11785</v>
      </c>
      <c r="U648" t="s">
        <v>11786</v>
      </c>
      <c r="V648" t="s">
        <v>11787</v>
      </c>
      <c r="W648" t="s">
        <v>11788</v>
      </c>
      <c r="X648" t="s">
        <v>11789</v>
      </c>
      <c r="Y648" t="s">
        <v>11790</v>
      </c>
      <c r="Z648" t="s">
        <v>11791</v>
      </c>
      <c r="AA648" t="s">
        <v>74</v>
      </c>
      <c r="AB648" t="s">
        <v>74</v>
      </c>
      <c r="AC648" t="s">
        <v>11792</v>
      </c>
      <c r="AD648" t="s">
        <v>11793</v>
      </c>
      <c r="AE648" t="s">
        <v>11794</v>
      </c>
      <c r="AF648" t="s">
        <v>74</v>
      </c>
      <c r="AG648">
        <v>58</v>
      </c>
      <c r="AH648">
        <v>0</v>
      </c>
      <c r="AI648">
        <v>0</v>
      </c>
      <c r="AJ648">
        <v>3</v>
      </c>
      <c r="AK648">
        <v>3</v>
      </c>
      <c r="AL648" t="s">
        <v>90</v>
      </c>
      <c r="AM648" t="s">
        <v>91</v>
      </c>
      <c r="AN648" t="s">
        <v>92</v>
      </c>
      <c r="AO648" t="s">
        <v>5203</v>
      </c>
      <c r="AP648" t="s">
        <v>5204</v>
      </c>
      <c r="AQ648" t="s">
        <v>74</v>
      </c>
      <c r="AR648" t="s">
        <v>5205</v>
      </c>
      <c r="AS648" t="s">
        <v>5206</v>
      </c>
      <c r="AT648" t="s">
        <v>11762</v>
      </c>
      <c r="AU648">
        <v>2023</v>
      </c>
      <c r="AV648">
        <v>675</v>
      </c>
      <c r="AW648" t="s">
        <v>74</v>
      </c>
      <c r="AX648" t="s">
        <v>74</v>
      </c>
      <c r="AY648" t="s">
        <v>74</v>
      </c>
      <c r="AZ648" t="s">
        <v>74</v>
      </c>
      <c r="BA648" t="s">
        <v>74</v>
      </c>
      <c r="BB648" t="s">
        <v>74</v>
      </c>
      <c r="BC648" t="s">
        <v>74</v>
      </c>
      <c r="BD648">
        <v>132008</v>
      </c>
      <c r="BE648" t="s">
        <v>11795</v>
      </c>
      <c r="BF648" t="str">
        <f>HYPERLINK("http://dx.doi.org/10.1016/j.colsurfa.2023.132008","http://dx.doi.org/10.1016/j.colsurfa.2023.132008")</f>
        <v>http://dx.doi.org/10.1016/j.colsurfa.2023.132008</v>
      </c>
      <c r="BG648" t="s">
        <v>74</v>
      </c>
      <c r="BH648" t="s">
        <v>74</v>
      </c>
      <c r="BI648">
        <v>10</v>
      </c>
      <c r="BJ648" t="s">
        <v>394</v>
      </c>
      <c r="BK648" t="s">
        <v>100</v>
      </c>
      <c r="BL648" t="s">
        <v>395</v>
      </c>
      <c r="BM648" t="s">
        <v>11796</v>
      </c>
      <c r="BN648" t="s">
        <v>74</v>
      </c>
      <c r="BO648" t="s">
        <v>74</v>
      </c>
      <c r="BP648" t="s">
        <v>74</v>
      </c>
      <c r="BQ648" t="s">
        <v>74</v>
      </c>
      <c r="BR648" t="s">
        <v>104</v>
      </c>
      <c r="BS648" t="s">
        <v>11797</v>
      </c>
      <c r="BT648" t="str">
        <f>HYPERLINK("https%3A%2F%2Fwww.webofscience.com%2Fwos%2Fwoscc%2Ffull-record%2FWOS:001054348300001","View Full Record in Web of Science")</f>
        <v>View Full Record in Web of Science</v>
      </c>
    </row>
    <row r="649" spans="1:72" x14ac:dyDescent="0.15">
      <c r="A649" t="s">
        <v>72</v>
      </c>
      <c r="B649" t="s">
        <v>11798</v>
      </c>
      <c r="C649" t="s">
        <v>74</v>
      </c>
      <c r="D649" t="s">
        <v>74</v>
      </c>
      <c r="E649" t="s">
        <v>74</v>
      </c>
      <c r="F649" t="s">
        <v>11799</v>
      </c>
      <c r="G649" t="s">
        <v>74</v>
      </c>
      <c r="H649" t="s">
        <v>74</v>
      </c>
      <c r="I649" t="s">
        <v>11800</v>
      </c>
      <c r="J649" t="s">
        <v>5192</v>
      </c>
      <c r="K649" t="s">
        <v>74</v>
      </c>
      <c r="L649" t="s">
        <v>74</v>
      </c>
      <c r="M649" t="s">
        <v>78</v>
      </c>
      <c r="N649" t="s">
        <v>79</v>
      </c>
      <c r="O649" t="s">
        <v>74</v>
      </c>
      <c r="P649" t="s">
        <v>74</v>
      </c>
      <c r="Q649" t="s">
        <v>74</v>
      </c>
      <c r="R649" t="s">
        <v>74</v>
      </c>
      <c r="S649" t="s">
        <v>74</v>
      </c>
      <c r="T649" t="s">
        <v>11801</v>
      </c>
      <c r="U649" t="s">
        <v>11802</v>
      </c>
      <c r="V649" t="s">
        <v>11803</v>
      </c>
      <c r="W649" t="s">
        <v>11804</v>
      </c>
      <c r="X649" t="s">
        <v>11805</v>
      </c>
      <c r="Y649" t="s">
        <v>11806</v>
      </c>
      <c r="Z649" t="s">
        <v>11807</v>
      </c>
      <c r="AA649" t="s">
        <v>74</v>
      </c>
      <c r="AB649" t="s">
        <v>74</v>
      </c>
      <c r="AC649" t="s">
        <v>11808</v>
      </c>
      <c r="AD649" t="s">
        <v>11809</v>
      </c>
      <c r="AE649" t="s">
        <v>11810</v>
      </c>
      <c r="AF649" t="s">
        <v>74</v>
      </c>
      <c r="AG649">
        <v>41</v>
      </c>
      <c r="AH649">
        <v>0</v>
      </c>
      <c r="AI649">
        <v>0</v>
      </c>
      <c r="AJ649">
        <v>3</v>
      </c>
      <c r="AK649">
        <v>3</v>
      </c>
      <c r="AL649" t="s">
        <v>90</v>
      </c>
      <c r="AM649" t="s">
        <v>91</v>
      </c>
      <c r="AN649" t="s">
        <v>92</v>
      </c>
      <c r="AO649" t="s">
        <v>5203</v>
      </c>
      <c r="AP649" t="s">
        <v>5204</v>
      </c>
      <c r="AQ649" t="s">
        <v>74</v>
      </c>
      <c r="AR649" t="s">
        <v>5205</v>
      </c>
      <c r="AS649" t="s">
        <v>5206</v>
      </c>
      <c r="AT649" t="s">
        <v>11762</v>
      </c>
      <c r="AU649">
        <v>2023</v>
      </c>
      <c r="AV649">
        <v>675</v>
      </c>
      <c r="AW649" t="s">
        <v>74</v>
      </c>
      <c r="AX649" t="s">
        <v>74</v>
      </c>
      <c r="AY649" t="s">
        <v>74</v>
      </c>
      <c r="AZ649" t="s">
        <v>74</v>
      </c>
      <c r="BA649" t="s">
        <v>74</v>
      </c>
      <c r="BB649" t="s">
        <v>74</v>
      </c>
      <c r="BC649" t="s">
        <v>74</v>
      </c>
      <c r="BD649">
        <v>132037</v>
      </c>
      <c r="BE649" t="s">
        <v>11811</v>
      </c>
      <c r="BF649" t="str">
        <f>HYPERLINK("http://dx.doi.org/10.1016/j.colsurfa.2023.132037","http://dx.doi.org/10.1016/j.colsurfa.2023.132037")</f>
        <v>http://dx.doi.org/10.1016/j.colsurfa.2023.132037</v>
      </c>
      <c r="BG649" t="s">
        <v>74</v>
      </c>
      <c r="BH649" t="s">
        <v>74</v>
      </c>
      <c r="BI649">
        <v>15</v>
      </c>
      <c r="BJ649" t="s">
        <v>394</v>
      </c>
      <c r="BK649" t="s">
        <v>100</v>
      </c>
      <c r="BL649" t="s">
        <v>395</v>
      </c>
      <c r="BM649" t="s">
        <v>11812</v>
      </c>
      <c r="BN649" t="s">
        <v>74</v>
      </c>
      <c r="BO649" t="s">
        <v>74</v>
      </c>
      <c r="BP649" t="s">
        <v>74</v>
      </c>
      <c r="BQ649" t="s">
        <v>74</v>
      </c>
      <c r="BR649" t="s">
        <v>104</v>
      </c>
      <c r="BS649" t="s">
        <v>11813</v>
      </c>
      <c r="BT649" t="str">
        <f>HYPERLINK("https%3A%2F%2Fwww.webofscience.com%2Fwos%2Fwoscc%2Ffull-record%2FWOS:001054682900001","View Full Record in Web of Science")</f>
        <v>View Full Record in Web of Science</v>
      </c>
    </row>
    <row r="650" spans="1:72" x14ac:dyDescent="0.15">
      <c r="A650" t="s">
        <v>72</v>
      </c>
      <c r="B650" t="s">
        <v>11814</v>
      </c>
      <c r="C650" t="s">
        <v>74</v>
      </c>
      <c r="D650" t="s">
        <v>74</v>
      </c>
      <c r="E650" t="s">
        <v>74</v>
      </c>
      <c r="F650" t="s">
        <v>11815</v>
      </c>
      <c r="G650" t="s">
        <v>74</v>
      </c>
      <c r="H650" t="s">
        <v>74</v>
      </c>
      <c r="I650" t="s">
        <v>11816</v>
      </c>
      <c r="J650" t="s">
        <v>5192</v>
      </c>
      <c r="K650" t="s">
        <v>74</v>
      </c>
      <c r="L650" t="s">
        <v>74</v>
      </c>
      <c r="M650" t="s">
        <v>78</v>
      </c>
      <c r="N650" t="s">
        <v>79</v>
      </c>
      <c r="O650" t="s">
        <v>74</v>
      </c>
      <c r="P650" t="s">
        <v>74</v>
      </c>
      <c r="Q650" t="s">
        <v>74</v>
      </c>
      <c r="R650" t="s">
        <v>74</v>
      </c>
      <c r="S650" t="s">
        <v>74</v>
      </c>
      <c r="T650" t="s">
        <v>11817</v>
      </c>
      <c r="U650" t="s">
        <v>11818</v>
      </c>
      <c r="V650" t="s">
        <v>11819</v>
      </c>
      <c r="W650" t="s">
        <v>11820</v>
      </c>
      <c r="X650" t="s">
        <v>11821</v>
      </c>
      <c r="Y650" t="s">
        <v>11822</v>
      </c>
      <c r="Z650" t="s">
        <v>11823</v>
      </c>
      <c r="AA650" t="s">
        <v>11824</v>
      </c>
      <c r="AB650" t="s">
        <v>11825</v>
      </c>
      <c r="AC650" t="s">
        <v>11826</v>
      </c>
      <c r="AD650" t="s">
        <v>11826</v>
      </c>
      <c r="AE650" t="s">
        <v>11827</v>
      </c>
      <c r="AF650" t="s">
        <v>74</v>
      </c>
      <c r="AG650">
        <v>68</v>
      </c>
      <c r="AH650">
        <v>0</v>
      </c>
      <c r="AI650">
        <v>0</v>
      </c>
      <c r="AJ650">
        <v>0</v>
      </c>
      <c r="AK650">
        <v>0</v>
      </c>
      <c r="AL650" t="s">
        <v>90</v>
      </c>
      <c r="AM650" t="s">
        <v>91</v>
      </c>
      <c r="AN650" t="s">
        <v>92</v>
      </c>
      <c r="AO650" t="s">
        <v>5203</v>
      </c>
      <c r="AP650" t="s">
        <v>5204</v>
      </c>
      <c r="AQ650" t="s">
        <v>74</v>
      </c>
      <c r="AR650" t="s">
        <v>5205</v>
      </c>
      <c r="AS650" t="s">
        <v>5206</v>
      </c>
      <c r="AT650" t="s">
        <v>11762</v>
      </c>
      <c r="AU650">
        <v>2023</v>
      </c>
      <c r="AV650">
        <v>675</v>
      </c>
      <c r="AW650" t="s">
        <v>74</v>
      </c>
      <c r="AX650" t="s">
        <v>74</v>
      </c>
      <c r="AY650" t="s">
        <v>74</v>
      </c>
      <c r="AZ650" t="s">
        <v>74</v>
      </c>
      <c r="BA650" t="s">
        <v>74</v>
      </c>
      <c r="BB650" t="s">
        <v>74</v>
      </c>
      <c r="BC650" t="s">
        <v>74</v>
      </c>
      <c r="BD650">
        <v>132022</v>
      </c>
      <c r="BE650" t="s">
        <v>11828</v>
      </c>
      <c r="BF650" t="str">
        <f>HYPERLINK("http://dx.doi.org/10.1016/j.colsurfa.2023.132022","http://dx.doi.org/10.1016/j.colsurfa.2023.132022")</f>
        <v>http://dx.doi.org/10.1016/j.colsurfa.2023.132022</v>
      </c>
      <c r="BG650" t="s">
        <v>74</v>
      </c>
      <c r="BH650" t="s">
        <v>74</v>
      </c>
      <c r="BI650">
        <v>21</v>
      </c>
      <c r="BJ650" t="s">
        <v>394</v>
      </c>
      <c r="BK650" t="s">
        <v>100</v>
      </c>
      <c r="BL650" t="s">
        <v>395</v>
      </c>
      <c r="BM650" t="s">
        <v>11829</v>
      </c>
      <c r="BN650" t="s">
        <v>74</v>
      </c>
      <c r="BO650" t="s">
        <v>74</v>
      </c>
      <c r="BP650" t="s">
        <v>74</v>
      </c>
      <c r="BQ650" t="s">
        <v>74</v>
      </c>
      <c r="BR650" t="s">
        <v>104</v>
      </c>
      <c r="BS650" t="s">
        <v>11830</v>
      </c>
      <c r="BT650" t="str">
        <f>HYPERLINK("https%3A%2F%2Fwww.webofscience.com%2Fwos%2Fwoscc%2Ffull-record%2FWOS:001054392600001","View Full Record in Web of Science")</f>
        <v>View Full Record in Web of Science</v>
      </c>
    </row>
    <row r="651" spans="1:72" x14ac:dyDescent="0.15">
      <c r="A651" t="s">
        <v>72</v>
      </c>
      <c r="B651" t="s">
        <v>11831</v>
      </c>
      <c r="C651" t="s">
        <v>74</v>
      </c>
      <c r="D651" t="s">
        <v>74</v>
      </c>
      <c r="E651" t="s">
        <v>74</v>
      </c>
      <c r="F651" t="s">
        <v>11832</v>
      </c>
      <c r="G651" t="s">
        <v>74</v>
      </c>
      <c r="H651" t="s">
        <v>74</v>
      </c>
      <c r="I651" t="s">
        <v>11833</v>
      </c>
      <c r="J651" t="s">
        <v>5192</v>
      </c>
      <c r="K651" t="s">
        <v>74</v>
      </c>
      <c r="L651" t="s">
        <v>74</v>
      </c>
      <c r="M651" t="s">
        <v>78</v>
      </c>
      <c r="N651" t="s">
        <v>79</v>
      </c>
      <c r="O651" t="s">
        <v>74</v>
      </c>
      <c r="P651" t="s">
        <v>74</v>
      </c>
      <c r="Q651" t="s">
        <v>74</v>
      </c>
      <c r="R651" t="s">
        <v>74</v>
      </c>
      <c r="S651" t="s">
        <v>74</v>
      </c>
      <c r="T651" t="s">
        <v>11834</v>
      </c>
      <c r="U651" t="s">
        <v>11835</v>
      </c>
      <c r="V651" t="s">
        <v>11836</v>
      </c>
      <c r="W651" t="s">
        <v>11837</v>
      </c>
      <c r="X651" t="s">
        <v>11838</v>
      </c>
      <c r="Y651" t="s">
        <v>11839</v>
      </c>
      <c r="Z651" t="s">
        <v>11840</v>
      </c>
      <c r="AA651" t="s">
        <v>74</v>
      </c>
      <c r="AB651" t="s">
        <v>74</v>
      </c>
      <c r="AC651" t="s">
        <v>11841</v>
      </c>
      <c r="AD651" t="s">
        <v>11842</v>
      </c>
      <c r="AE651" t="s">
        <v>11843</v>
      </c>
      <c r="AF651" t="s">
        <v>74</v>
      </c>
      <c r="AG651">
        <v>67</v>
      </c>
      <c r="AH651">
        <v>0</v>
      </c>
      <c r="AI651">
        <v>0</v>
      </c>
      <c r="AJ651">
        <v>0</v>
      </c>
      <c r="AK651">
        <v>0</v>
      </c>
      <c r="AL651" t="s">
        <v>90</v>
      </c>
      <c r="AM651" t="s">
        <v>91</v>
      </c>
      <c r="AN651" t="s">
        <v>92</v>
      </c>
      <c r="AO651" t="s">
        <v>5203</v>
      </c>
      <c r="AP651" t="s">
        <v>5204</v>
      </c>
      <c r="AQ651" t="s">
        <v>74</v>
      </c>
      <c r="AR651" t="s">
        <v>5205</v>
      </c>
      <c r="AS651" t="s">
        <v>5206</v>
      </c>
      <c r="AT651" t="s">
        <v>11762</v>
      </c>
      <c r="AU651">
        <v>2023</v>
      </c>
      <c r="AV651">
        <v>675</v>
      </c>
      <c r="AW651" t="s">
        <v>74</v>
      </c>
      <c r="AX651" t="s">
        <v>74</v>
      </c>
      <c r="AY651" t="s">
        <v>74</v>
      </c>
      <c r="AZ651" t="s">
        <v>74</v>
      </c>
      <c r="BA651" t="s">
        <v>74</v>
      </c>
      <c r="BB651" t="s">
        <v>74</v>
      </c>
      <c r="BC651" t="s">
        <v>74</v>
      </c>
      <c r="BD651">
        <v>131904</v>
      </c>
      <c r="BE651" t="s">
        <v>11844</v>
      </c>
      <c r="BF651" t="str">
        <f>HYPERLINK("http://dx.doi.org/10.1016/j.colsurfa.2023.131904","http://dx.doi.org/10.1016/j.colsurfa.2023.131904")</f>
        <v>http://dx.doi.org/10.1016/j.colsurfa.2023.131904</v>
      </c>
      <c r="BG651" t="s">
        <v>74</v>
      </c>
      <c r="BH651" t="s">
        <v>74</v>
      </c>
      <c r="BI651">
        <v>11</v>
      </c>
      <c r="BJ651" t="s">
        <v>394</v>
      </c>
      <c r="BK651" t="s">
        <v>100</v>
      </c>
      <c r="BL651" t="s">
        <v>395</v>
      </c>
      <c r="BM651" t="s">
        <v>11845</v>
      </c>
      <c r="BN651" t="s">
        <v>74</v>
      </c>
      <c r="BO651" t="s">
        <v>74</v>
      </c>
      <c r="BP651" t="s">
        <v>74</v>
      </c>
      <c r="BQ651" t="s">
        <v>74</v>
      </c>
      <c r="BR651" t="s">
        <v>104</v>
      </c>
      <c r="BS651" t="s">
        <v>11846</v>
      </c>
      <c r="BT651" t="str">
        <f>HYPERLINK("https%3A%2F%2Fwww.webofscience.com%2Fwos%2Fwoscc%2Ffull-record%2FWOS:001057230300001","View Full Record in Web of Science")</f>
        <v>View Full Record in Web of Science</v>
      </c>
    </row>
    <row r="652" spans="1:72" x14ac:dyDescent="0.15">
      <c r="A652" t="s">
        <v>72</v>
      </c>
      <c r="B652" t="s">
        <v>11847</v>
      </c>
      <c r="C652" t="s">
        <v>74</v>
      </c>
      <c r="D652" t="s">
        <v>74</v>
      </c>
      <c r="E652" t="s">
        <v>74</v>
      </c>
      <c r="F652" t="s">
        <v>11848</v>
      </c>
      <c r="G652" t="s">
        <v>74</v>
      </c>
      <c r="H652" t="s">
        <v>74</v>
      </c>
      <c r="I652" t="s">
        <v>11849</v>
      </c>
      <c r="J652" t="s">
        <v>6567</v>
      </c>
      <c r="K652" t="s">
        <v>74</v>
      </c>
      <c r="L652" t="s">
        <v>74</v>
      </c>
      <c r="M652" t="s">
        <v>78</v>
      </c>
      <c r="N652" t="s">
        <v>79</v>
      </c>
      <c r="O652" t="s">
        <v>74</v>
      </c>
      <c r="P652" t="s">
        <v>74</v>
      </c>
      <c r="Q652" t="s">
        <v>74</v>
      </c>
      <c r="R652" t="s">
        <v>74</v>
      </c>
      <c r="S652" t="s">
        <v>74</v>
      </c>
      <c r="T652" t="s">
        <v>11850</v>
      </c>
      <c r="U652" t="s">
        <v>11851</v>
      </c>
      <c r="V652" t="s">
        <v>11852</v>
      </c>
      <c r="W652" t="s">
        <v>11853</v>
      </c>
      <c r="X652" t="s">
        <v>10845</v>
      </c>
      <c r="Y652" t="s">
        <v>11854</v>
      </c>
      <c r="Z652" t="s">
        <v>11855</v>
      </c>
      <c r="AA652" t="s">
        <v>74</v>
      </c>
      <c r="AB652" t="s">
        <v>74</v>
      </c>
      <c r="AC652" t="s">
        <v>11856</v>
      </c>
      <c r="AD652" t="s">
        <v>11857</v>
      </c>
      <c r="AE652" t="s">
        <v>11858</v>
      </c>
      <c r="AF652" t="s">
        <v>74</v>
      </c>
      <c r="AG652">
        <v>37</v>
      </c>
      <c r="AH652">
        <v>0</v>
      </c>
      <c r="AI652">
        <v>0</v>
      </c>
      <c r="AJ652">
        <v>2</v>
      </c>
      <c r="AK652">
        <v>2</v>
      </c>
      <c r="AL652" t="s">
        <v>120</v>
      </c>
      <c r="AM652" t="s">
        <v>121</v>
      </c>
      <c r="AN652" t="s">
        <v>122</v>
      </c>
      <c r="AO652" t="s">
        <v>6578</v>
      </c>
      <c r="AP652" t="s">
        <v>6579</v>
      </c>
      <c r="AQ652" t="s">
        <v>74</v>
      </c>
      <c r="AR652" t="s">
        <v>6580</v>
      </c>
      <c r="AS652" t="s">
        <v>6581</v>
      </c>
      <c r="AT652" t="s">
        <v>11859</v>
      </c>
      <c r="AU652">
        <v>2023</v>
      </c>
      <c r="AV652">
        <v>401</v>
      </c>
      <c r="AW652" t="s">
        <v>74</v>
      </c>
      <c r="AX652" t="s">
        <v>74</v>
      </c>
      <c r="AY652" t="s">
        <v>74</v>
      </c>
      <c r="AZ652" t="s">
        <v>74</v>
      </c>
      <c r="BA652" t="s">
        <v>74</v>
      </c>
      <c r="BB652" t="s">
        <v>74</v>
      </c>
      <c r="BC652" t="s">
        <v>74</v>
      </c>
      <c r="BD652">
        <v>132701</v>
      </c>
      <c r="BE652" t="s">
        <v>11860</v>
      </c>
      <c r="BF652" t="str">
        <f>HYPERLINK("http://dx.doi.org/10.1016/j.conbuildmat.2023.132701","http://dx.doi.org/10.1016/j.conbuildmat.2023.132701")</f>
        <v>http://dx.doi.org/10.1016/j.conbuildmat.2023.132701</v>
      </c>
      <c r="BG652" t="s">
        <v>74</v>
      </c>
      <c r="BH652" t="s">
        <v>74</v>
      </c>
      <c r="BI652">
        <v>10</v>
      </c>
      <c r="BJ652" t="s">
        <v>2648</v>
      </c>
      <c r="BK652" t="s">
        <v>100</v>
      </c>
      <c r="BL652" t="s">
        <v>2649</v>
      </c>
      <c r="BM652" t="s">
        <v>11861</v>
      </c>
      <c r="BN652" t="s">
        <v>74</v>
      </c>
      <c r="BO652" t="s">
        <v>74</v>
      </c>
      <c r="BP652" t="s">
        <v>74</v>
      </c>
      <c r="BQ652" t="s">
        <v>74</v>
      </c>
      <c r="BR652" t="s">
        <v>104</v>
      </c>
      <c r="BS652" t="s">
        <v>11862</v>
      </c>
      <c r="BT652" t="str">
        <f>HYPERLINK("https%3A%2F%2Fwww.webofscience.com%2Fwos%2Fwoscc%2Ffull-record%2FWOS:001058798900001","View Full Record in Web of Science")</f>
        <v>View Full Record in Web of Science</v>
      </c>
    </row>
    <row r="653" spans="1:72" x14ac:dyDescent="0.15">
      <c r="A653" t="s">
        <v>72</v>
      </c>
      <c r="B653" t="s">
        <v>11863</v>
      </c>
      <c r="C653" t="s">
        <v>74</v>
      </c>
      <c r="D653" t="s">
        <v>74</v>
      </c>
      <c r="E653" t="s">
        <v>74</v>
      </c>
      <c r="F653" t="s">
        <v>11864</v>
      </c>
      <c r="G653" t="s">
        <v>74</v>
      </c>
      <c r="H653" t="s">
        <v>74</v>
      </c>
      <c r="I653" t="s">
        <v>11865</v>
      </c>
      <c r="J653" t="s">
        <v>11866</v>
      </c>
      <c r="K653" t="s">
        <v>74</v>
      </c>
      <c r="L653" t="s">
        <v>74</v>
      </c>
      <c r="M653" t="s">
        <v>78</v>
      </c>
      <c r="N653" t="s">
        <v>79</v>
      </c>
      <c r="O653" t="s">
        <v>74</v>
      </c>
      <c r="P653" t="s">
        <v>74</v>
      </c>
      <c r="Q653" t="s">
        <v>74</v>
      </c>
      <c r="R653" t="s">
        <v>74</v>
      </c>
      <c r="S653" t="s">
        <v>74</v>
      </c>
      <c r="T653" t="s">
        <v>11867</v>
      </c>
      <c r="U653" t="s">
        <v>11868</v>
      </c>
      <c r="V653" t="s">
        <v>11869</v>
      </c>
      <c r="W653" t="s">
        <v>11870</v>
      </c>
      <c r="X653" t="s">
        <v>11871</v>
      </c>
      <c r="Y653" t="s">
        <v>11872</v>
      </c>
      <c r="Z653" t="s">
        <v>11873</v>
      </c>
      <c r="AA653" t="s">
        <v>74</v>
      </c>
      <c r="AB653" t="s">
        <v>11874</v>
      </c>
      <c r="AC653" t="s">
        <v>11875</v>
      </c>
      <c r="AD653" t="s">
        <v>11876</v>
      </c>
      <c r="AE653" t="s">
        <v>11877</v>
      </c>
      <c r="AF653" t="s">
        <v>74</v>
      </c>
      <c r="AG653">
        <v>32</v>
      </c>
      <c r="AH653">
        <v>0</v>
      </c>
      <c r="AI653">
        <v>0</v>
      </c>
      <c r="AJ653">
        <v>2</v>
      </c>
      <c r="AK653">
        <v>2</v>
      </c>
      <c r="AL653" t="s">
        <v>90</v>
      </c>
      <c r="AM653" t="s">
        <v>91</v>
      </c>
      <c r="AN653" t="s">
        <v>92</v>
      </c>
      <c r="AO653" t="s">
        <v>11878</v>
      </c>
      <c r="AP653" t="s">
        <v>11879</v>
      </c>
      <c r="AQ653" t="s">
        <v>74</v>
      </c>
      <c r="AR653" t="s">
        <v>11880</v>
      </c>
      <c r="AS653" t="s">
        <v>11881</v>
      </c>
      <c r="AT653" t="s">
        <v>11882</v>
      </c>
      <c r="AU653">
        <v>2023</v>
      </c>
      <c r="AV653">
        <v>1278</v>
      </c>
      <c r="AW653" t="s">
        <v>74</v>
      </c>
      <c r="AX653" t="s">
        <v>74</v>
      </c>
      <c r="AY653" t="s">
        <v>74</v>
      </c>
      <c r="AZ653" t="s">
        <v>74</v>
      </c>
      <c r="BA653" t="s">
        <v>74</v>
      </c>
      <c r="BB653" t="s">
        <v>74</v>
      </c>
      <c r="BC653" t="s">
        <v>74</v>
      </c>
      <c r="BD653">
        <v>341673</v>
      </c>
      <c r="BE653" t="s">
        <v>11883</v>
      </c>
      <c r="BF653" t="str">
        <f>HYPERLINK("http://dx.doi.org/10.1016/j.aca.2023.341673","http://dx.doi.org/10.1016/j.aca.2023.341673")</f>
        <v>http://dx.doi.org/10.1016/j.aca.2023.341673</v>
      </c>
      <c r="BG653" t="s">
        <v>74</v>
      </c>
      <c r="BH653" t="s">
        <v>74</v>
      </c>
      <c r="BI653">
        <v>10</v>
      </c>
      <c r="BJ653" t="s">
        <v>541</v>
      </c>
      <c r="BK653" t="s">
        <v>100</v>
      </c>
      <c r="BL653" t="s">
        <v>395</v>
      </c>
      <c r="BM653" t="s">
        <v>11884</v>
      </c>
      <c r="BN653">
        <v>37709425</v>
      </c>
      <c r="BO653" t="s">
        <v>295</v>
      </c>
      <c r="BP653" t="s">
        <v>74</v>
      </c>
      <c r="BQ653" t="s">
        <v>74</v>
      </c>
      <c r="BR653" t="s">
        <v>104</v>
      </c>
      <c r="BS653" t="s">
        <v>11885</v>
      </c>
      <c r="BT653" t="str">
        <f>HYPERLINK("https%3A%2F%2Fwww.webofscience.com%2Fwos%2Fwoscc%2Ffull-record%2FWOS:001060831500001","View Full Record in Web of Science")</f>
        <v>View Full Record in Web of Science</v>
      </c>
    </row>
    <row r="654" spans="1:72" x14ac:dyDescent="0.15">
      <c r="A654" t="s">
        <v>72</v>
      </c>
      <c r="B654" t="s">
        <v>11886</v>
      </c>
      <c r="C654" t="s">
        <v>74</v>
      </c>
      <c r="D654" t="s">
        <v>74</v>
      </c>
      <c r="E654" t="s">
        <v>74</v>
      </c>
      <c r="F654" t="s">
        <v>11887</v>
      </c>
      <c r="G654" t="s">
        <v>74</v>
      </c>
      <c r="H654" t="s">
        <v>74</v>
      </c>
      <c r="I654" t="s">
        <v>11888</v>
      </c>
      <c r="J654" t="s">
        <v>11866</v>
      </c>
      <c r="K654" t="s">
        <v>74</v>
      </c>
      <c r="L654" t="s">
        <v>74</v>
      </c>
      <c r="M654" t="s">
        <v>78</v>
      </c>
      <c r="N654" t="s">
        <v>79</v>
      </c>
      <c r="O654" t="s">
        <v>74</v>
      </c>
      <c r="P654" t="s">
        <v>74</v>
      </c>
      <c r="Q654" t="s">
        <v>74</v>
      </c>
      <c r="R654" t="s">
        <v>74</v>
      </c>
      <c r="S654" t="s">
        <v>74</v>
      </c>
      <c r="T654" t="s">
        <v>11889</v>
      </c>
      <c r="U654" t="s">
        <v>11890</v>
      </c>
      <c r="V654" t="s">
        <v>11891</v>
      </c>
      <c r="W654" t="s">
        <v>11892</v>
      </c>
      <c r="X654" t="s">
        <v>11893</v>
      </c>
      <c r="Y654" t="s">
        <v>11894</v>
      </c>
      <c r="Z654" t="s">
        <v>11895</v>
      </c>
      <c r="AA654" t="s">
        <v>74</v>
      </c>
      <c r="AB654" t="s">
        <v>74</v>
      </c>
      <c r="AC654" t="s">
        <v>11896</v>
      </c>
      <c r="AD654" t="s">
        <v>11897</v>
      </c>
      <c r="AE654" t="s">
        <v>11898</v>
      </c>
      <c r="AF654" t="s">
        <v>74</v>
      </c>
      <c r="AG654">
        <v>57</v>
      </c>
      <c r="AH654">
        <v>0</v>
      </c>
      <c r="AI654">
        <v>0</v>
      </c>
      <c r="AJ654">
        <v>3</v>
      </c>
      <c r="AK654">
        <v>3</v>
      </c>
      <c r="AL654" t="s">
        <v>90</v>
      </c>
      <c r="AM654" t="s">
        <v>91</v>
      </c>
      <c r="AN654" t="s">
        <v>92</v>
      </c>
      <c r="AO654" t="s">
        <v>11878</v>
      </c>
      <c r="AP654" t="s">
        <v>11879</v>
      </c>
      <c r="AQ654" t="s">
        <v>74</v>
      </c>
      <c r="AR654" t="s">
        <v>11880</v>
      </c>
      <c r="AS654" t="s">
        <v>11881</v>
      </c>
      <c r="AT654" t="s">
        <v>11882</v>
      </c>
      <c r="AU654">
        <v>2023</v>
      </c>
      <c r="AV654">
        <v>1278</v>
      </c>
      <c r="AW654" t="s">
        <v>74</v>
      </c>
      <c r="AX654" t="s">
        <v>74</v>
      </c>
      <c r="AY654" t="s">
        <v>74</v>
      </c>
      <c r="AZ654" t="s">
        <v>74</v>
      </c>
      <c r="BA654" t="s">
        <v>74</v>
      </c>
      <c r="BB654" t="s">
        <v>74</v>
      </c>
      <c r="BC654" t="s">
        <v>74</v>
      </c>
      <c r="BD654">
        <v>341718</v>
      </c>
      <c r="BE654" t="s">
        <v>11899</v>
      </c>
      <c r="BF654" t="str">
        <f>HYPERLINK("http://dx.doi.org/10.1016/j.aca.2023.341718","http://dx.doi.org/10.1016/j.aca.2023.341718")</f>
        <v>http://dx.doi.org/10.1016/j.aca.2023.341718</v>
      </c>
      <c r="BG654" t="s">
        <v>74</v>
      </c>
      <c r="BH654" t="s">
        <v>74</v>
      </c>
      <c r="BI654">
        <v>9</v>
      </c>
      <c r="BJ654" t="s">
        <v>541</v>
      </c>
      <c r="BK654" t="s">
        <v>100</v>
      </c>
      <c r="BL654" t="s">
        <v>395</v>
      </c>
      <c r="BM654" t="s">
        <v>11900</v>
      </c>
      <c r="BN654">
        <v>37709429</v>
      </c>
      <c r="BO654" t="s">
        <v>295</v>
      </c>
      <c r="BP654" t="s">
        <v>74</v>
      </c>
      <c r="BQ654" t="s">
        <v>74</v>
      </c>
      <c r="BR654" t="s">
        <v>104</v>
      </c>
      <c r="BS654" t="s">
        <v>11901</v>
      </c>
      <c r="BT654" t="str">
        <f>HYPERLINK("https%3A%2F%2Fwww.webofscience.com%2Fwos%2Fwoscc%2Ffull-record%2FWOS:001060730800001","View Full Record in Web of Science")</f>
        <v>View Full Record in Web of Science</v>
      </c>
    </row>
    <row r="655" spans="1:72" x14ac:dyDescent="0.15">
      <c r="A655" t="s">
        <v>72</v>
      </c>
      <c r="B655" t="s">
        <v>11902</v>
      </c>
      <c r="C655" t="s">
        <v>74</v>
      </c>
      <c r="D655" t="s">
        <v>74</v>
      </c>
      <c r="E655" t="s">
        <v>74</v>
      </c>
      <c r="F655" t="s">
        <v>11903</v>
      </c>
      <c r="G655" t="s">
        <v>74</v>
      </c>
      <c r="H655" t="s">
        <v>74</v>
      </c>
      <c r="I655" t="s">
        <v>11904</v>
      </c>
      <c r="J655" t="s">
        <v>6645</v>
      </c>
      <c r="K655" t="s">
        <v>74</v>
      </c>
      <c r="L655" t="s">
        <v>74</v>
      </c>
      <c r="M655" t="s">
        <v>78</v>
      </c>
      <c r="N655" t="s">
        <v>79</v>
      </c>
      <c r="O655" t="s">
        <v>74</v>
      </c>
      <c r="P655" t="s">
        <v>74</v>
      </c>
      <c r="Q655" t="s">
        <v>74</v>
      </c>
      <c r="R655" t="s">
        <v>74</v>
      </c>
      <c r="S655" t="s">
        <v>74</v>
      </c>
      <c r="T655" t="s">
        <v>11905</v>
      </c>
      <c r="U655" t="s">
        <v>11906</v>
      </c>
      <c r="V655" t="s">
        <v>11907</v>
      </c>
      <c r="W655" t="s">
        <v>11908</v>
      </c>
      <c r="X655" t="s">
        <v>11909</v>
      </c>
      <c r="Y655" t="s">
        <v>11910</v>
      </c>
      <c r="Z655" t="s">
        <v>11911</v>
      </c>
      <c r="AA655" t="s">
        <v>74</v>
      </c>
      <c r="AB655" t="s">
        <v>74</v>
      </c>
      <c r="AC655" t="s">
        <v>11912</v>
      </c>
      <c r="AD655" t="s">
        <v>11913</v>
      </c>
      <c r="AE655" t="s">
        <v>11914</v>
      </c>
      <c r="AF655" t="s">
        <v>74</v>
      </c>
      <c r="AG655">
        <v>134</v>
      </c>
      <c r="AH655">
        <v>1</v>
      </c>
      <c r="AI655">
        <v>1</v>
      </c>
      <c r="AJ655">
        <v>0</v>
      </c>
      <c r="AK655">
        <v>0</v>
      </c>
      <c r="AL655" t="s">
        <v>90</v>
      </c>
      <c r="AM655" t="s">
        <v>91</v>
      </c>
      <c r="AN655" t="s">
        <v>92</v>
      </c>
      <c r="AO655" t="s">
        <v>74</v>
      </c>
      <c r="AP655" t="s">
        <v>6656</v>
      </c>
      <c r="AQ655" t="s">
        <v>74</v>
      </c>
      <c r="AR655" t="s">
        <v>6657</v>
      </c>
      <c r="AS655" t="s">
        <v>6658</v>
      </c>
      <c r="AT655" t="s">
        <v>11915</v>
      </c>
      <c r="AU655">
        <v>2023</v>
      </c>
      <c r="AV655">
        <v>77</v>
      </c>
      <c r="AW655" t="s">
        <v>74</v>
      </c>
      <c r="AX655" t="s">
        <v>74</v>
      </c>
      <c r="AY655" t="s">
        <v>74</v>
      </c>
      <c r="AZ655" t="s">
        <v>74</v>
      </c>
      <c r="BA655" t="s">
        <v>74</v>
      </c>
      <c r="BB655" t="s">
        <v>74</v>
      </c>
      <c r="BC655" t="s">
        <v>74</v>
      </c>
      <c r="BD655">
        <v>107522</v>
      </c>
      <c r="BE655" t="s">
        <v>11916</v>
      </c>
      <c r="BF655" t="str">
        <f>HYPERLINK("http://dx.doi.org/10.1016/j.jobe.2023.107522","http://dx.doi.org/10.1016/j.jobe.2023.107522")</f>
        <v>http://dx.doi.org/10.1016/j.jobe.2023.107522</v>
      </c>
      <c r="BG655" t="s">
        <v>74</v>
      </c>
      <c r="BH655" t="s">
        <v>74</v>
      </c>
      <c r="BI655">
        <v>17</v>
      </c>
      <c r="BJ655" t="s">
        <v>3898</v>
      </c>
      <c r="BK655" t="s">
        <v>100</v>
      </c>
      <c r="BL655" t="s">
        <v>3899</v>
      </c>
      <c r="BM655" t="s">
        <v>11917</v>
      </c>
      <c r="BN655" t="s">
        <v>74</v>
      </c>
      <c r="BO655" t="s">
        <v>74</v>
      </c>
      <c r="BP655" t="s">
        <v>74</v>
      </c>
      <c r="BQ655" t="s">
        <v>74</v>
      </c>
      <c r="BR655" t="s">
        <v>104</v>
      </c>
      <c r="BS655" t="s">
        <v>11918</v>
      </c>
      <c r="BT655" t="str">
        <f>HYPERLINK("https%3A%2F%2Fwww.webofscience.com%2Fwos%2Fwoscc%2Ffull-record%2FWOS:001062735900001","View Full Record in Web of Science")</f>
        <v>View Full Record in Web of Science</v>
      </c>
    </row>
    <row r="656" spans="1:72" x14ac:dyDescent="0.15">
      <c r="A656" t="s">
        <v>72</v>
      </c>
      <c r="B656" t="s">
        <v>11919</v>
      </c>
      <c r="C656" t="s">
        <v>74</v>
      </c>
      <c r="D656" t="s">
        <v>74</v>
      </c>
      <c r="E656" t="s">
        <v>74</v>
      </c>
      <c r="F656" t="s">
        <v>11920</v>
      </c>
      <c r="G656" t="s">
        <v>74</v>
      </c>
      <c r="H656" t="s">
        <v>74</v>
      </c>
      <c r="I656" t="s">
        <v>11921</v>
      </c>
      <c r="J656" t="s">
        <v>11922</v>
      </c>
      <c r="K656" t="s">
        <v>74</v>
      </c>
      <c r="L656" t="s">
        <v>74</v>
      </c>
      <c r="M656" t="s">
        <v>78</v>
      </c>
      <c r="N656" t="s">
        <v>79</v>
      </c>
      <c r="O656" t="s">
        <v>74</v>
      </c>
      <c r="P656" t="s">
        <v>74</v>
      </c>
      <c r="Q656" t="s">
        <v>74</v>
      </c>
      <c r="R656" t="s">
        <v>74</v>
      </c>
      <c r="S656" t="s">
        <v>74</v>
      </c>
      <c r="T656" t="s">
        <v>11923</v>
      </c>
      <c r="U656" t="s">
        <v>11924</v>
      </c>
      <c r="V656" t="s">
        <v>11925</v>
      </c>
      <c r="W656" t="s">
        <v>11926</v>
      </c>
      <c r="X656" t="s">
        <v>11927</v>
      </c>
      <c r="Y656" t="s">
        <v>11928</v>
      </c>
      <c r="Z656" t="s">
        <v>11929</v>
      </c>
      <c r="AA656" t="s">
        <v>74</v>
      </c>
      <c r="AB656" t="s">
        <v>74</v>
      </c>
      <c r="AC656" t="s">
        <v>74</v>
      </c>
      <c r="AD656" t="s">
        <v>74</v>
      </c>
      <c r="AE656" t="s">
        <v>74</v>
      </c>
      <c r="AF656" t="s">
        <v>74</v>
      </c>
      <c r="AG656">
        <v>60</v>
      </c>
      <c r="AH656">
        <v>0</v>
      </c>
      <c r="AI656">
        <v>0</v>
      </c>
      <c r="AJ656">
        <v>6</v>
      </c>
      <c r="AK656">
        <v>6</v>
      </c>
      <c r="AL656" t="s">
        <v>955</v>
      </c>
      <c r="AM656" t="s">
        <v>956</v>
      </c>
      <c r="AN656" t="s">
        <v>957</v>
      </c>
      <c r="AO656" t="s">
        <v>11930</v>
      </c>
      <c r="AP656" t="s">
        <v>11931</v>
      </c>
      <c r="AQ656" t="s">
        <v>74</v>
      </c>
      <c r="AR656" t="s">
        <v>11932</v>
      </c>
      <c r="AS656" t="s">
        <v>11933</v>
      </c>
      <c r="AT656" t="s">
        <v>11915</v>
      </c>
      <c r="AU656">
        <v>2023</v>
      </c>
      <c r="AV656">
        <v>470</v>
      </c>
      <c r="AW656" t="s">
        <v>74</v>
      </c>
      <c r="AX656" t="s">
        <v>74</v>
      </c>
      <c r="AY656" t="s">
        <v>74</v>
      </c>
      <c r="AZ656" t="s">
        <v>74</v>
      </c>
      <c r="BA656" t="s">
        <v>74</v>
      </c>
      <c r="BB656" t="s">
        <v>74</v>
      </c>
      <c r="BC656" t="s">
        <v>74</v>
      </c>
      <c r="BD656">
        <v>129815</v>
      </c>
      <c r="BE656" t="s">
        <v>11934</v>
      </c>
      <c r="BF656" t="str">
        <f>HYPERLINK("http://dx.doi.org/10.1016/j.surfcoat.2023.129815","http://dx.doi.org/10.1016/j.surfcoat.2023.129815")</f>
        <v>http://dx.doi.org/10.1016/j.surfcoat.2023.129815</v>
      </c>
      <c r="BG656" t="s">
        <v>74</v>
      </c>
      <c r="BH656" t="s">
        <v>74</v>
      </c>
      <c r="BI656">
        <v>17</v>
      </c>
      <c r="BJ656" t="s">
        <v>11935</v>
      </c>
      <c r="BK656" t="s">
        <v>100</v>
      </c>
      <c r="BL656" t="s">
        <v>3022</v>
      </c>
      <c r="BM656" t="s">
        <v>11936</v>
      </c>
      <c r="BN656" t="s">
        <v>74</v>
      </c>
      <c r="BO656" t="s">
        <v>74</v>
      </c>
      <c r="BP656" t="s">
        <v>74</v>
      </c>
      <c r="BQ656" t="s">
        <v>74</v>
      </c>
      <c r="BR656" t="s">
        <v>104</v>
      </c>
      <c r="BS656" t="s">
        <v>11937</v>
      </c>
      <c r="BT656" t="str">
        <f>HYPERLINK("https%3A%2F%2Fwww.webofscience.com%2Fwos%2Fwoscc%2Ffull-record%2FWOS:001046904500001","View Full Record in Web of Science")</f>
        <v>View Full Record in Web of Science</v>
      </c>
    </row>
    <row r="657" spans="1:72" x14ac:dyDescent="0.15">
      <c r="A657" t="s">
        <v>72</v>
      </c>
      <c r="B657" t="s">
        <v>11938</v>
      </c>
      <c r="C657" t="s">
        <v>74</v>
      </c>
      <c r="D657" t="s">
        <v>74</v>
      </c>
      <c r="E657" t="s">
        <v>74</v>
      </c>
      <c r="F657" t="s">
        <v>11939</v>
      </c>
      <c r="G657" t="s">
        <v>74</v>
      </c>
      <c r="H657" t="s">
        <v>74</v>
      </c>
      <c r="I657" t="s">
        <v>11940</v>
      </c>
      <c r="J657" t="s">
        <v>11941</v>
      </c>
      <c r="K657" t="s">
        <v>74</v>
      </c>
      <c r="L657" t="s">
        <v>74</v>
      </c>
      <c r="M657" t="s">
        <v>78</v>
      </c>
      <c r="N657" t="s">
        <v>79</v>
      </c>
      <c r="O657" t="s">
        <v>74</v>
      </c>
      <c r="P657" t="s">
        <v>74</v>
      </c>
      <c r="Q657" t="s">
        <v>74</v>
      </c>
      <c r="R657" t="s">
        <v>74</v>
      </c>
      <c r="S657" t="s">
        <v>74</v>
      </c>
      <c r="T657" t="s">
        <v>11942</v>
      </c>
      <c r="U657" t="s">
        <v>11943</v>
      </c>
      <c r="V657" t="s">
        <v>11944</v>
      </c>
      <c r="W657" t="s">
        <v>11945</v>
      </c>
      <c r="X657" t="s">
        <v>11946</v>
      </c>
      <c r="Y657" t="s">
        <v>11947</v>
      </c>
      <c r="Z657" t="s">
        <v>11948</v>
      </c>
      <c r="AA657" t="s">
        <v>11949</v>
      </c>
      <c r="AB657" t="s">
        <v>11950</v>
      </c>
      <c r="AC657" t="s">
        <v>11951</v>
      </c>
      <c r="AD657" t="s">
        <v>11952</v>
      </c>
      <c r="AE657" t="s">
        <v>11953</v>
      </c>
      <c r="AF657" t="s">
        <v>74</v>
      </c>
      <c r="AG657">
        <v>134</v>
      </c>
      <c r="AH657">
        <v>0</v>
      </c>
      <c r="AI657">
        <v>0</v>
      </c>
      <c r="AJ657">
        <v>22</v>
      </c>
      <c r="AK657">
        <v>22</v>
      </c>
      <c r="AL657" t="s">
        <v>90</v>
      </c>
      <c r="AM657" t="s">
        <v>91</v>
      </c>
      <c r="AN657" t="s">
        <v>92</v>
      </c>
      <c r="AO657" t="s">
        <v>11954</v>
      </c>
      <c r="AP657" t="s">
        <v>11955</v>
      </c>
      <c r="AQ657" t="s">
        <v>74</v>
      </c>
      <c r="AR657" t="s">
        <v>11956</v>
      </c>
      <c r="AS657" t="s">
        <v>11957</v>
      </c>
      <c r="AT657" t="s">
        <v>11915</v>
      </c>
      <c r="AU657">
        <v>2023</v>
      </c>
      <c r="AV657">
        <v>341</v>
      </c>
      <c r="AW657" t="s">
        <v>74</v>
      </c>
      <c r="AX657" t="s">
        <v>74</v>
      </c>
      <c r="AY657" t="s">
        <v>74</v>
      </c>
      <c r="AZ657" t="s">
        <v>74</v>
      </c>
      <c r="BA657" t="s">
        <v>74</v>
      </c>
      <c r="BB657" t="s">
        <v>74</v>
      </c>
      <c r="BC657" t="s">
        <v>74</v>
      </c>
      <c r="BD657">
        <v>109649</v>
      </c>
      <c r="BE657" t="s">
        <v>11958</v>
      </c>
      <c r="BF657" t="str">
        <f>HYPERLINK("http://dx.doi.org/10.1016/j.agrformet.2023.109649","http://dx.doi.org/10.1016/j.agrformet.2023.109649")</f>
        <v>http://dx.doi.org/10.1016/j.agrformet.2023.109649</v>
      </c>
      <c r="BG657" t="s">
        <v>74</v>
      </c>
      <c r="BH657" t="s">
        <v>74</v>
      </c>
      <c r="BI657">
        <v>14</v>
      </c>
      <c r="BJ657" t="s">
        <v>11959</v>
      </c>
      <c r="BK657" t="s">
        <v>100</v>
      </c>
      <c r="BL657" t="s">
        <v>11960</v>
      </c>
      <c r="BM657" t="s">
        <v>11961</v>
      </c>
      <c r="BN657" t="s">
        <v>74</v>
      </c>
      <c r="BO657" t="s">
        <v>74</v>
      </c>
      <c r="BP657" t="s">
        <v>74</v>
      </c>
      <c r="BQ657" t="s">
        <v>74</v>
      </c>
      <c r="BR657" t="s">
        <v>104</v>
      </c>
      <c r="BS657" t="s">
        <v>11962</v>
      </c>
      <c r="BT657" t="str">
        <f>HYPERLINK("https%3A%2F%2Fwww.webofscience.com%2Fwos%2Fwoscc%2Ffull-record%2FWOS:001052064500001","View Full Record in Web of Science")</f>
        <v>View Full Record in Web of Science</v>
      </c>
    </row>
    <row r="658" spans="1:72" x14ac:dyDescent="0.15">
      <c r="A658" t="s">
        <v>72</v>
      </c>
      <c r="B658" t="s">
        <v>11963</v>
      </c>
      <c r="C658" t="s">
        <v>74</v>
      </c>
      <c r="D658" t="s">
        <v>74</v>
      </c>
      <c r="E658" t="s">
        <v>74</v>
      </c>
      <c r="F658" t="s">
        <v>11964</v>
      </c>
      <c r="G658" t="s">
        <v>74</v>
      </c>
      <c r="H658" t="s">
        <v>74</v>
      </c>
      <c r="I658" t="s">
        <v>11965</v>
      </c>
      <c r="J658" t="s">
        <v>7707</v>
      </c>
      <c r="K658" t="s">
        <v>74</v>
      </c>
      <c r="L658" t="s">
        <v>74</v>
      </c>
      <c r="M658" t="s">
        <v>78</v>
      </c>
      <c r="N658" t="s">
        <v>79</v>
      </c>
      <c r="O658" t="s">
        <v>74</v>
      </c>
      <c r="P658" t="s">
        <v>74</v>
      </c>
      <c r="Q658" t="s">
        <v>74</v>
      </c>
      <c r="R658" t="s">
        <v>74</v>
      </c>
      <c r="S658" t="s">
        <v>74</v>
      </c>
      <c r="T658" t="s">
        <v>11966</v>
      </c>
      <c r="U658" t="s">
        <v>11967</v>
      </c>
      <c r="V658" t="s">
        <v>11968</v>
      </c>
      <c r="W658" t="s">
        <v>11969</v>
      </c>
      <c r="X658" t="s">
        <v>11970</v>
      </c>
      <c r="Y658" t="s">
        <v>11971</v>
      </c>
      <c r="Z658" t="s">
        <v>11972</v>
      </c>
      <c r="AA658" t="s">
        <v>74</v>
      </c>
      <c r="AB658" t="s">
        <v>74</v>
      </c>
      <c r="AC658" t="s">
        <v>11973</v>
      </c>
      <c r="AD658" t="s">
        <v>11974</v>
      </c>
      <c r="AE658" t="s">
        <v>11975</v>
      </c>
      <c r="AF658" t="s">
        <v>74</v>
      </c>
      <c r="AG658">
        <v>29</v>
      </c>
      <c r="AH658">
        <v>0</v>
      </c>
      <c r="AI658">
        <v>0</v>
      </c>
      <c r="AJ658">
        <v>1</v>
      </c>
      <c r="AK658">
        <v>1</v>
      </c>
      <c r="AL658" t="s">
        <v>955</v>
      </c>
      <c r="AM658" t="s">
        <v>956</v>
      </c>
      <c r="AN658" t="s">
        <v>957</v>
      </c>
      <c r="AO658" t="s">
        <v>74</v>
      </c>
      <c r="AP658" t="s">
        <v>7718</v>
      </c>
      <c r="AQ658" t="s">
        <v>74</v>
      </c>
      <c r="AR658" t="s">
        <v>7719</v>
      </c>
      <c r="AS658" t="s">
        <v>7720</v>
      </c>
      <c r="AT658" t="s">
        <v>11915</v>
      </c>
      <c r="AU658">
        <v>2023</v>
      </c>
      <c r="AV658">
        <v>393</v>
      </c>
      <c r="AW658" t="s">
        <v>74</v>
      </c>
      <c r="AX658" t="s">
        <v>74</v>
      </c>
      <c r="AY658" t="s">
        <v>74</v>
      </c>
      <c r="AZ658" t="s">
        <v>74</v>
      </c>
      <c r="BA658" t="s">
        <v>74</v>
      </c>
      <c r="BB658" t="s">
        <v>74</v>
      </c>
      <c r="BC658" t="s">
        <v>74</v>
      </c>
      <c r="BD658">
        <v>134178</v>
      </c>
      <c r="BE658" t="s">
        <v>11976</v>
      </c>
      <c r="BF658" t="str">
        <f>HYPERLINK("http://dx.doi.org/10.1016/j.snb.2023.134178","http://dx.doi.org/10.1016/j.snb.2023.134178")</f>
        <v>http://dx.doi.org/10.1016/j.snb.2023.134178</v>
      </c>
      <c r="BG658" t="s">
        <v>74</v>
      </c>
      <c r="BH658" t="s">
        <v>74</v>
      </c>
      <c r="BI658">
        <v>9</v>
      </c>
      <c r="BJ658" t="s">
        <v>7722</v>
      </c>
      <c r="BK658" t="s">
        <v>100</v>
      </c>
      <c r="BL658" t="s">
        <v>7723</v>
      </c>
      <c r="BM658" t="s">
        <v>11977</v>
      </c>
      <c r="BN658" t="s">
        <v>74</v>
      </c>
      <c r="BO658" t="s">
        <v>74</v>
      </c>
      <c r="BP658" t="s">
        <v>74</v>
      </c>
      <c r="BQ658" t="s">
        <v>74</v>
      </c>
      <c r="BR658" t="s">
        <v>104</v>
      </c>
      <c r="BS658" t="s">
        <v>11978</v>
      </c>
      <c r="BT658" t="str">
        <f>HYPERLINK("https%3A%2F%2Fwww.webofscience.com%2Fwos%2Fwoscc%2Ffull-record%2FWOS:001058490300001","View Full Record in Web of Science")</f>
        <v>View Full Record in Web of Science</v>
      </c>
    </row>
    <row r="659" spans="1:72" x14ac:dyDescent="0.15">
      <c r="A659" t="s">
        <v>72</v>
      </c>
      <c r="B659" t="s">
        <v>11979</v>
      </c>
      <c r="C659" t="s">
        <v>74</v>
      </c>
      <c r="D659" t="s">
        <v>74</v>
      </c>
      <c r="E659" t="s">
        <v>74</v>
      </c>
      <c r="F659" t="s">
        <v>11980</v>
      </c>
      <c r="G659" t="s">
        <v>74</v>
      </c>
      <c r="H659" t="s">
        <v>74</v>
      </c>
      <c r="I659" t="s">
        <v>11981</v>
      </c>
      <c r="J659" t="s">
        <v>8042</v>
      </c>
      <c r="K659" t="s">
        <v>74</v>
      </c>
      <c r="L659" t="s">
        <v>74</v>
      </c>
      <c r="M659" t="s">
        <v>78</v>
      </c>
      <c r="N659" t="s">
        <v>79</v>
      </c>
      <c r="O659" t="s">
        <v>74</v>
      </c>
      <c r="P659" t="s">
        <v>74</v>
      </c>
      <c r="Q659" t="s">
        <v>74</v>
      </c>
      <c r="R659" t="s">
        <v>74</v>
      </c>
      <c r="S659" t="s">
        <v>74</v>
      </c>
      <c r="T659" t="s">
        <v>11982</v>
      </c>
      <c r="U659" t="s">
        <v>11983</v>
      </c>
      <c r="V659" t="s">
        <v>11984</v>
      </c>
      <c r="W659" t="s">
        <v>11985</v>
      </c>
      <c r="X659" t="s">
        <v>11986</v>
      </c>
      <c r="Y659" t="s">
        <v>11987</v>
      </c>
      <c r="Z659" t="s">
        <v>11988</v>
      </c>
      <c r="AA659" t="s">
        <v>11989</v>
      </c>
      <c r="AB659" t="s">
        <v>11990</v>
      </c>
      <c r="AC659" t="s">
        <v>11991</v>
      </c>
      <c r="AD659" t="s">
        <v>11991</v>
      </c>
      <c r="AE659" t="s">
        <v>11992</v>
      </c>
      <c r="AF659" t="s">
        <v>74</v>
      </c>
      <c r="AG659">
        <v>58</v>
      </c>
      <c r="AH659">
        <v>0</v>
      </c>
      <c r="AI659">
        <v>0</v>
      </c>
      <c r="AJ659">
        <v>2</v>
      </c>
      <c r="AK659">
        <v>2</v>
      </c>
      <c r="AL659" t="s">
        <v>90</v>
      </c>
      <c r="AM659" t="s">
        <v>91</v>
      </c>
      <c r="AN659" t="s">
        <v>92</v>
      </c>
      <c r="AO659" t="s">
        <v>8054</v>
      </c>
      <c r="AP659" t="s">
        <v>8055</v>
      </c>
      <c r="AQ659" t="s">
        <v>74</v>
      </c>
      <c r="AR659" t="s">
        <v>8056</v>
      </c>
      <c r="AS659" t="s">
        <v>8057</v>
      </c>
      <c r="AT659" t="s">
        <v>11915</v>
      </c>
      <c r="AU659">
        <v>2023</v>
      </c>
      <c r="AV659">
        <v>339</v>
      </c>
      <c r="AW659" t="s">
        <v>74</v>
      </c>
      <c r="AX659" t="s">
        <v>74</v>
      </c>
      <c r="AY659" t="s">
        <v>74</v>
      </c>
      <c r="AZ659" t="s">
        <v>74</v>
      </c>
      <c r="BA659" t="s">
        <v>74</v>
      </c>
      <c r="BB659">
        <v>615</v>
      </c>
      <c r="BC659">
        <v>623</v>
      </c>
      <c r="BD659" t="s">
        <v>74</v>
      </c>
      <c r="BE659" t="s">
        <v>11993</v>
      </c>
      <c r="BF659" t="str">
        <f>HYPERLINK("http://dx.doi.org/10.1016/j.jad.2023.07.076","http://dx.doi.org/10.1016/j.jad.2023.07.076")</f>
        <v>http://dx.doi.org/10.1016/j.jad.2023.07.076</v>
      </c>
      <c r="BG659" t="s">
        <v>74</v>
      </c>
      <c r="BH659" t="s">
        <v>74</v>
      </c>
      <c r="BI659">
        <v>9</v>
      </c>
      <c r="BJ659" t="s">
        <v>8059</v>
      </c>
      <c r="BK659" t="s">
        <v>666</v>
      </c>
      <c r="BL659" t="s">
        <v>8060</v>
      </c>
      <c r="BM659" t="s">
        <v>11994</v>
      </c>
      <c r="BN659">
        <v>37467792</v>
      </c>
      <c r="BO659" t="s">
        <v>74</v>
      </c>
      <c r="BP659" t="s">
        <v>74</v>
      </c>
      <c r="BQ659" t="s">
        <v>74</v>
      </c>
      <c r="BR659" t="s">
        <v>104</v>
      </c>
      <c r="BS659" t="s">
        <v>11995</v>
      </c>
      <c r="BT659" t="str">
        <f>HYPERLINK("https%3A%2F%2Fwww.webofscience.com%2Fwos%2Fwoscc%2Ffull-record%2FWOS:001051302600001","View Full Record in Web of Science")</f>
        <v>View Full Record in Web of Science</v>
      </c>
    </row>
    <row r="660" spans="1:72" x14ac:dyDescent="0.15">
      <c r="A660" t="s">
        <v>72</v>
      </c>
      <c r="B660" t="s">
        <v>11996</v>
      </c>
      <c r="C660" t="s">
        <v>74</v>
      </c>
      <c r="D660" t="s">
        <v>74</v>
      </c>
      <c r="E660" t="s">
        <v>74</v>
      </c>
      <c r="F660" t="s">
        <v>11997</v>
      </c>
      <c r="G660" t="s">
        <v>74</v>
      </c>
      <c r="H660" t="s">
        <v>74</v>
      </c>
      <c r="I660" t="s">
        <v>11998</v>
      </c>
      <c r="J660" t="s">
        <v>11999</v>
      </c>
      <c r="K660" t="s">
        <v>74</v>
      </c>
      <c r="L660" t="s">
        <v>74</v>
      </c>
      <c r="M660" t="s">
        <v>78</v>
      </c>
      <c r="N660" t="s">
        <v>79</v>
      </c>
      <c r="O660" t="s">
        <v>74</v>
      </c>
      <c r="P660" t="s">
        <v>74</v>
      </c>
      <c r="Q660" t="s">
        <v>74</v>
      </c>
      <c r="R660" t="s">
        <v>74</v>
      </c>
      <c r="S660" t="s">
        <v>74</v>
      </c>
      <c r="T660" t="s">
        <v>12000</v>
      </c>
      <c r="U660" t="s">
        <v>12001</v>
      </c>
      <c r="V660" t="s">
        <v>12002</v>
      </c>
      <c r="W660" t="s">
        <v>12003</v>
      </c>
      <c r="X660" t="s">
        <v>12004</v>
      </c>
      <c r="Y660" t="s">
        <v>12005</v>
      </c>
      <c r="Z660" t="s">
        <v>12006</v>
      </c>
      <c r="AA660" t="s">
        <v>74</v>
      </c>
      <c r="AB660" t="s">
        <v>12007</v>
      </c>
      <c r="AC660" t="s">
        <v>12008</v>
      </c>
      <c r="AD660" t="s">
        <v>12009</v>
      </c>
      <c r="AE660" t="s">
        <v>12010</v>
      </c>
      <c r="AF660" t="s">
        <v>74</v>
      </c>
      <c r="AG660">
        <v>130</v>
      </c>
      <c r="AH660">
        <v>0</v>
      </c>
      <c r="AI660">
        <v>0</v>
      </c>
      <c r="AJ660">
        <v>0</v>
      </c>
      <c r="AK660">
        <v>0</v>
      </c>
      <c r="AL660" t="s">
        <v>90</v>
      </c>
      <c r="AM660" t="s">
        <v>91</v>
      </c>
      <c r="AN660" t="s">
        <v>92</v>
      </c>
      <c r="AO660" t="s">
        <v>12011</v>
      </c>
      <c r="AP660" t="s">
        <v>12012</v>
      </c>
      <c r="AQ660" t="s">
        <v>74</v>
      </c>
      <c r="AR660" t="s">
        <v>12013</v>
      </c>
      <c r="AS660" t="s">
        <v>12014</v>
      </c>
      <c r="AT660" t="s">
        <v>11915</v>
      </c>
      <c r="AU660">
        <v>2023</v>
      </c>
      <c r="AV660">
        <v>628</v>
      </c>
      <c r="AW660" t="s">
        <v>74</v>
      </c>
      <c r="AX660" t="s">
        <v>74</v>
      </c>
      <c r="AY660" t="s">
        <v>74</v>
      </c>
      <c r="AZ660" t="s">
        <v>74</v>
      </c>
      <c r="BA660" t="s">
        <v>74</v>
      </c>
      <c r="BB660" t="s">
        <v>74</v>
      </c>
      <c r="BC660" t="s">
        <v>74</v>
      </c>
      <c r="BD660">
        <v>111764</v>
      </c>
      <c r="BE660" t="s">
        <v>12015</v>
      </c>
      <c r="BF660" t="str">
        <f>HYPERLINK("http://dx.doi.org/10.1016/j.palaeo.2023.111764","http://dx.doi.org/10.1016/j.palaeo.2023.111764")</f>
        <v>http://dx.doi.org/10.1016/j.palaeo.2023.111764</v>
      </c>
      <c r="BG660" t="s">
        <v>74</v>
      </c>
      <c r="BH660" t="s">
        <v>74</v>
      </c>
      <c r="BI660">
        <v>14</v>
      </c>
      <c r="BJ660" t="s">
        <v>12016</v>
      </c>
      <c r="BK660" t="s">
        <v>100</v>
      </c>
      <c r="BL660" t="s">
        <v>12017</v>
      </c>
      <c r="BM660" t="s">
        <v>12018</v>
      </c>
      <c r="BN660" t="s">
        <v>74</v>
      </c>
      <c r="BO660" t="s">
        <v>295</v>
      </c>
      <c r="BP660" t="s">
        <v>74</v>
      </c>
      <c r="BQ660" t="s">
        <v>74</v>
      </c>
      <c r="BR660" t="s">
        <v>104</v>
      </c>
      <c r="BS660" t="s">
        <v>12019</v>
      </c>
      <c r="BT660" t="str">
        <f>HYPERLINK("https%3A%2F%2Fwww.webofscience.com%2Fwos%2Fwoscc%2Ffull-record%2FWOS:001070777200001","View Full Record in Web of Science")</f>
        <v>View Full Record in Web of Science</v>
      </c>
    </row>
    <row r="661" spans="1:72" x14ac:dyDescent="0.15">
      <c r="A661" t="s">
        <v>72</v>
      </c>
      <c r="B661" t="s">
        <v>12020</v>
      </c>
      <c r="C661" t="s">
        <v>74</v>
      </c>
      <c r="D661" t="s">
        <v>74</v>
      </c>
      <c r="E661" t="s">
        <v>74</v>
      </c>
      <c r="F661" t="s">
        <v>12021</v>
      </c>
      <c r="G661" t="s">
        <v>74</v>
      </c>
      <c r="H661" t="s">
        <v>74</v>
      </c>
      <c r="I661" t="s">
        <v>12022</v>
      </c>
      <c r="J661" t="s">
        <v>12023</v>
      </c>
      <c r="K661" t="s">
        <v>74</v>
      </c>
      <c r="L661" t="s">
        <v>74</v>
      </c>
      <c r="M661" t="s">
        <v>78</v>
      </c>
      <c r="N661" t="s">
        <v>79</v>
      </c>
      <c r="O661" t="s">
        <v>74</v>
      </c>
      <c r="P661" t="s">
        <v>74</v>
      </c>
      <c r="Q661" t="s">
        <v>74</v>
      </c>
      <c r="R661" t="s">
        <v>74</v>
      </c>
      <c r="S661" t="s">
        <v>74</v>
      </c>
      <c r="T661" t="s">
        <v>12024</v>
      </c>
      <c r="U661" t="s">
        <v>12025</v>
      </c>
      <c r="V661" t="s">
        <v>12026</v>
      </c>
      <c r="W661" t="s">
        <v>12027</v>
      </c>
      <c r="X661" t="s">
        <v>12028</v>
      </c>
      <c r="Y661" t="s">
        <v>12029</v>
      </c>
      <c r="Z661" t="s">
        <v>12030</v>
      </c>
      <c r="AA661" t="s">
        <v>74</v>
      </c>
      <c r="AB661" t="s">
        <v>74</v>
      </c>
      <c r="AC661" t="s">
        <v>74</v>
      </c>
      <c r="AD661" t="s">
        <v>74</v>
      </c>
      <c r="AE661" t="s">
        <v>74</v>
      </c>
      <c r="AF661" t="s">
        <v>74</v>
      </c>
      <c r="AG661">
        <v>55</v>
      </c>
      <c r="AH661">
        <v>0</v>
      </c>
      <c r="AI661">
        <v>0</v>
      </c>
      <c r="AJ661">
        <v>0</v>
      </c>
      <c r="AK661">
        <v>0</v>
      </c>
      <c r="AL661" t="s">
        <v>90</v>
      </c>
      <c r="AM661" t="s">
        <v>91</v>
      </c>
      <c r="AN661" t="s">
        <v>92</v>
      </c>
      <c r="AO661" t="s">
        <v>12031</v>
      </c>
      <c r="AP661" t="s">
        <v>12032</v>
      </c>
      <c r="AQ661" t="s">
        <v>74</v>
      </c>
      <c r="AR661" t="s">
        <v>12033</v>
      </c>
      <c r="AS661" t="s">
        <v>12034</v>
      </c>
      <c r="AT661" t="s">
        <v>11915</v>
      </c>
      <c r="AU661">
        <v>2023</v>
      </c>
      <c r="AV661">
        <v>667</v>
      </c>
      <c r="AW661" t="s">
        <v>74</v>
      </c>
      <c r="AX661" t="s">
        <v>74</v>
      </c>
      <c r="AY661" t="s">
        <v>74</v>
      </c>
      <c r="AZ661" t="s">
        <v>74</v>
      </c>
      <c r="BA661" t="s">
        <v>74</v>
      </c>
      <c r="BB661" t="s">
        <v>74</v>
      </c>
      <c r="BC661" t="s">
        <v>74</v>
      </c>
      <c r="BD661">
        <v>415211</v>
      </c>
      <c r="BE661" t="s">
        <v>12035</v>
      </c>
      <c r="BF661" t="str">
        <f>HYPERLINK("http://dx.doi.org/10.1016/j.physb.2023.415211","http://dx.doi.org/10.1016/j.physb.2023.415211")</f>
        <v>http://dx.doi.org/10.1016/j.physb.2023.415211</v>
      </c>
      <c r="BG661" t="s">
        <v>74</v>
      </c>
      <c r="BH661" t="s">
        <v>74</v>
      </c>
      <c r="BI661">
        <v>7</v>
      </c>
      <c r="BJ661" t="s">
        <v>12036</v>
      </c>
      <c r="BK661" t="s">
        <v>100</v>
      </c>
      <c r="BL661" t="s">
        <v>9937</v>
      </c>
      <c r="BM661" t="s">
        <v>12037</v>
      </c>
      <c r="BN661" t="s">
        <v>74</v>
      </c>
      <c r="BO661" t="s">
        <v>74</v>
      </c>
      <c r="BP661" t="s">
        <v>74</v>
      </c>
      <c r="BQ661" t="s">
        <v>74</v>
      </c>
      <c r="BR661" t="s">
        <v>104</v>
      </c>
      <c r="BS661" t="s">
        <v>12038</v>
      </c>
      <c r="BT661" t="str">
        <f>HYPERLINK("https%3A%2F%2Fwww.webofscience.com%2Fwos%2Fwoscc%2Ffull-record%2FWOS:001067466700001","View Full Record in Web of Science")</f>
        <v>View Full Record in Web of Science</v>
      </c>
    </row>
    <row r="662" spans="1:72" x14ac:dyDescent="0.15">
      <c r="A662" t="s">
        <v>72</v>
      </c>
      <c r="B662" t="s">
        <v>12039</v>
      </c>
      <c r="C662" t="s">
        <v>74</v>
      </c>
      <c r="D662" t="s">
        <v>74</v>
      </c>
      <c r="E662" t="s">
        <v>74</v>
      </c>
      <c r="F662" t="s">
        <v>12040</v>
      </c>
      <c r="G662" t="s">
        <v>74</v>
      </c>
      <c r="H662" t="s">
        <v>74</v>
      </c>
      <c r="I662" t="s">
        <v>12041</v>
      </c>
      <c r="J662" t="s">
        <v>5570</v>
      </c>
      <c r="K662" t="s">
        <v>74</v>
      </c>
      <c r="L662" t="s">
        <v>74</v>
      </c>
      <c r="M662" t="s">
        <v>78</v>
      </c>
      <c r="N662" t="s">
        <v>79</v>
      </c>
      <c r="O662" t="s">
        <v>74</v>
      </c>
      <c r="P662" t="s">
        <v>74</v>
      </c>
      <c r="Q662" t="s">
        <v>74</v>
      </c>
      <c r="R662" t="s">
        <v>74</v>
      </c>
      <c r="S662" t="s">
        <v>74</v>
      </c>
      <c r="T662" t="s">
        <v>12042</v>
      </c>
      <c r="U662" t="s">
        <v>12043</v>
      </c>
      <c r="V662" t="s">
        <v>12044</v>
      </c>
      <c r="W662" t="s">
        <v>12045</v>
      </c>
      <c r="X662" t="s">
        <v>12046</v>
      </c>
      <c r="Y662" t="s">
        <v>12047</v>
      </c>
      <c r="Z662" t="s">
        <v>12048</v>
      </c>
      <c r="AA662" t="s">
        <v>74</v>
      </c>
      <c r="AB662" t="s">
        <v>12049</v>
      </c>
      <c r="AC662" t="s">
        <v>74</v>
      </c>
      <c r="AD662" t="s">
        <v>74</v>
      </c>
      <c r="AE662" t="s">
        <v>74</v>
      </c>
      <c r="AF662" t="s">
        <v>74</v>
      </c>
      <c r="AG662">
        <v>21</v>
      </c>
      <c r="AH662">
        <v>0</v>
      </c>
      <c r="AI662">
        <v>0</v>
      </c>
      <c r="AJ662">
        <v>3</v>
      </c>
      <c r="AK662">
        <v>3</v>
      </c>
      <c r="AL662" t="s">
        <v>955</v>
      </c>
      <c r="AM662" t="s">
        <v>956</v>
      </c>
      <c r="AN662" t="s">
        <v>957</v>
      </c>
      <c r="AO662" t="s">
        <v>5580</v>
      </c>
      <c r="AP662" t="s">
        <v>5581</v>
      </c>
      <c r="AQ662" t="s">
        <v>74</v>
      </c>
      <c r="AR662" t="s">
        <v>5570</v>
      </c>
      <c r="AS662" t="s">
        <v>5582</v>
      </c>
      <c r="AT662" t="s">
        <v>11915</v>
      </c>
      <c r="AU662">
        <v>2023</v>
      </c>
      <c r="AV662">
        <v>530</v>
      </c>
      <c r="AW662" t="s">
        <v>74</v>
      </c>
      <c r="AX662" t="s">
        <v>74</v>
      </c>
      <c r="AY662" t="s">
        <v>74</v>
      </c>
      <c r="AZ662" t="s">
        <v>74</v>
      </c>
      <c r="BA662" t="s">
        <v>74</v>
      </c>
      <c r="BB662" t="s">
        <v>74</v>
      </c>
      <c r="BC662" t="s">
        <v>74</v>
      </c>
      <c r="BD662">
        <v>205064</v>
      </c>
      <c r="BE662" t="s">
        <v>12050</v>
      </c>
      <c r="BF662" t="str">
        <f>HYPERLINK("http://dx.doi.org/10.1016/j.wear.2023.205064","http://dx.doi.org/10.1016/j.wear.2023.205064")</f>
        <v>http://dx.doi.org/10.1016/j.wear.2023.205064</v>
      </c>
      <c r="BG662" t="s">
        <v>74</v>
      </c>
      <c r="BH662" t="s">
        <v>74</v>
      </c>
      <c r="BI662">
        <v>13</v>
      </c>
      <c r="BJ662" t="s">
        <v>5584</v>
      </c>
      <c r="BK662" t="s">
        <v>100</v>
      </c>
      <c r="BL662" t="s">
        <v>156</v>
      </c>
      <c r="BM662" t="s">
        <v>12051</v>
      </c>
      <c r="BN662" t="s">
        <v>74</v>
      </c>
      <c r="BO662" t="s">
        <v>295</v>
      </c>
      <c r="BP662" t="s">
        <v>74</v>
      </c>
      <c r="BQ662" t="s">
        <v>74</v>
      </c>
      <c r="BR662" t="s">
        <v>104</v>
      </c>
      <c r="BS662" t="s">
        <v>12052</v>
      </c>
      <c r="BT662" t="str">
        <f>HYPERLINK("https%3A%2F%2Fwww.webofscience.com%2Fwos%2Fwoscc%2Ffull-record%2FWOS:001051352200001","View Full Record in Web of Science")</f>
        <v>View Full Record in Web of Science</v>
      </c>
    </row>
    <row r="663" spans="1:72" x14ac:dyDescent="0.15">
      <c r="A663" t="s">
        <v>72</v>
      </c>
      <c r="B663" t="s">
        <v>12053</v>
      </c>
      <c r="C663" t="s">
        <v>74</v>
      </c>
      <c r="D663" t="s">
        <v>74</v>
      </c>
      <c r="E663" t="s">
        <v>74</v>
      </c>
      <c r="F663" t="s">
        <v>12054</v>
      </c>
      <c r="G663" t="s">
        <v>74</v>
      </c>
      <c r="H663" t="s">
        <v>74</v>
      </c>
      <c r="I663" t="s">
        <v>12055</v>
      </c>
      <c r="J663" t="s">
        <v>5570</v>
      </c>
      <c r="K663" t="s">
        <v>74</v>
      </c>
      <c r="L663" t="s">
        <v>74</v>
      </c>
      <c r="M663" t="s">
        <v>78</v>
      </c>
      <c r="N663" t="s">
        <v>79</v>
      </c>
      <c r="O663" t="s">
        <v>74</v>
      </c>
      <c r="P663" t="s">
        <v>74</v>
      </c>
      <c r="Q663" t="s">
        <v>74</v>
      </c>
      <c r="R663" t="s">
        <v>74</v>
      </c>
      <c r="S663" t="s">
        <v>74</v>
      </c>
      <c r="T663" t="s">
        <v>12056</v>
      </c>
      <c r="U663" t="s">
        <v>12057</v>
      </c>
      <c r="V663" t="s">
        <v>12058</v>
      </c>
      <c r="W663" t="s">
        <v>12059</v>
      </c>
      <c r="X663" t="s">
        <v>12060</v>
      </c>
      <c r="Y663" t="s">
        <v>12061</v>
      </c>
      <c r="Z663" t="s">
        <v>12062</v>
      </c>
      <c r="AA663" t="s">
        <v>74</v>
      </c>
      <c r="AB663" t="s">
        <v>12063</v>
      </c>
      <c r="AC663" t="s">
        <v>74</v>
      </c>
      <c r="AD663" t="s">
        <v>74</v>
      </c>
      <c r="AE663" t="s">
        <v>74</v>
      </c>
      <c r="AF663" t="s">
        <v>74</v>
      </c>
      <c r="AG663">
        <v>31</v>
      </c>
      <c r="AH663">
        <v>0</v>
      </c>
      <c r="AI663">
        <v>0</v>
      </c>
      <c r="AJ663">
        <v>3</v>
      </c>
      <c r="AK663">
        <v>3</v>
      </c>
      <c r="AL663" t="s">
        <v>955</v>
      </c>
      <c r="AM663" t="s">
        <v>956</v>
      </c>
      <c r="AN663" t="s">
        <v>957</v>
      </c>
      <c r="AO663" t="s">
        <v>5580</v>
      </c>
      <c r="AP663" t="s">
        <v>5581</v>
      </c>
      <c r="AQ663" t="s">
        <v>74</v>
      </c>
      <c r="AR663" t="s">
        <v>5570</v>
      </c>
      <c r="AS663" t="s">
        <v>5582</v>
      </c>
      <c r="AT663" t="s">
        <v>11915</v>
      </c>
      <c r="AU663">
        <v>2023</v>
      </c>
      <c r="AV663">
        <v>530</v>
      </c>
      <c r="AW663" t="s">
        <v>74</v>
      </c>
      <c r="AX663" t="s">
        <v>74</v>
      </c>
      <c r="AY663" t="s">
        <v>74</v>
      </c>
      <c r="AZ663" t="s">
        <v>74</v>
      </c>
      <c r="BA663" t="s">
        <v>74</v>
      </c>
      <c r="BB663" t="s">
        <v>74</v>
      </c>
      <c r="BC663" t="s">
        <v>74</v>
      </c>
      <c r="BD663">
        <v>205059</v>
      </c>
      <c r="BE663" t="s">
        <v>12064</v>
      </c>
      <c r="BF663" t="str">
        <f>HYPERLINK("http://dx.doi.org/10.1016/j.wear.2023.205059","http://dx.doi.org/10.1016/j.wear.2023.205059")</f>
        <v>http://dx.doi.org/10.1016/j.wear.2023.205059</v>
      </c>
      <c r="BG663" t="s">
        <v>74</v>
      </c>
      <c r="BH663" t="s">
        <v>74</v>
      </c>
      <c r="BI663">
        <v>15</v>
      </c>
      <c r="BJ663" t="s">
        <v>5584</v>
      </c>
      <c r="BK663" t="s">
        <v>100</v>
      </c>
      <c r="BL663" t="s">
        <v>156</v>
      </c>
      <c r="BM663" t="s">
        <v>12065</v>
      </c>
      <c r="BN663" t="s">
        <v>74</v>
      </c>
      <c r="BO663" t="s">
        <v>295</v>
      </c>
      <c r="BP663" t="s">
        <v>74</v>
      </c>
      <c r="BQ663" t="s">
        <v>74</v>
      </c>
      <c r="BR663" t="s">
        <v>104</v>
      </c>
      <c r="BS663" t="s">
        <v>12066</v>
      </c>
      <c r="BT663" t="str">
        <f>HYPERLINK("https%3A%2F%2Fwww.webofscience.com%2Fwos%2Fwoscc%2Ffull-record%2FWOS:001051256800001","View Full Record in Web of Science")</f>
        <v>View Full Record in Web of Science</v>
      </c>
    </row>
    <row r="664" spans="1:72" x14ac:dyDescent="0.15">
      <c r="A664" t="s">
        <v>72</v>
      </c>
      <c r="B664" t="s">
        <v>12067</v>
      </c>
      <c r="C664" t="s">
        <v>74</v>
      </c>
      <c r="D664" t="s">
        <v>74</v>
      </c>
      <c r="E664" t="s">
        <v>74</v>
      </c>
      <c r="F664" t="s">
        <v>12068</v>
      </c>
      <c r="G664" t="s">
        <v>74</v>
      </c>
      <c r="H664" t="s">
        <v>74</v>
      </c>
      <c r="I664" t="s">
        <v>12069</v>
      </c>
      <c r="J664" t="s">
        <v>8042</v>
      </c>
      <c r="K664" t="s">
        <v>74</v>
      </c>
      <c r="L664" t="s">
        <v>74</v>
      </c>
      <c r="M664" t="s">
        <v>78</v>
      </c>
      <c r="N664" t="s">
        <v>79</v>
      </c>
      <c r="O664" t="s">
        <v>74</v>
      </c>
      <c r="P664" t="s">
        <v>74</v>
      </c>
      <c r="Q664" t="s">
        <v>74</v>
      </c>
      <c r="R664" t="s">
        <v>74</v>
      </c>
      <c r="S664" t="s">
        <v>74</v>
      </c>
      <c r="T664" t="s">
        <v>74</v>
      </c>
      <c r="U664" t="s">
        <v>12070</v>
      </c>
      <c r="V664" t="s">
        <v>12071</v>
      </c>
      <c r="W664" t="s">
        <v>12072</v>
      </c>
      <c r="X664" t="s">
        <v>12073</v>
      </c>
      <c r="Y664" t="s">
        <v>12074</v>
      </c>
      <c r="Z664" t="s">
        <v>12075</v>
      </c>
      <c r="AA664" t="s">
        <v>74</v>
      </c>
      <c r="AB664" t="s">
        <v>12076</v>
      </c>
      <c r="AC664" t="s">
        <v>74</v>
      </c>
      <c r="AD664" t="s">
        <v>74</v>
      </c>
      <c r="AE664" t="s">
        <v>74</v>
      </c>
      <c r="AF664" t="s">
        <v>74</v>
      </c>
      <c r="AG664">
        <v>39</v>
      </c>
      <c r="AH664">
        <v>0</v>
      </c>
      <c r="AI664">
        <v>0</v>
      </c>
      <c r="AJ664">
        <v>0</v>
      </c>
      <c r="AK664">
        <v>0</v>
      </c>
      <c r="AL664" t="s">
        <v>90</v>
      </c>
      <c r="AM664" t="s">
        <v>91</v>
      </c>
      <c r="AN664" t="s">
        <v>92</v>
      </c>
      <c r="AO664" t="s">
        <v>8054</v>
      </c>
      <c r="AP664" t="s">
        <v>8055</v>
      </c>
      <c r="AQ664" t="s">
        <v>74</v>
      </c>
      <c r="AR664" t="s">
        <v>8056</v>
      </c>
      <c r="AS664" t="s">
        <v>8057</v>
      </c>
      <c r="AT664" t="s">
        <v>11915</v>
      </c>
      <c r="AU664">
        <v>2023</v>
      </c>
      <c r="AV664">
        <v>339</v>
      </c>
      <c r="AW664" t="s">
        <v>74</v>
      </c>
      <c r="AX664" t="s">
        <v>74</v>
      </c>
      <c r="AY664" t="s">
        <v>74</v>
      </c>
      <c r="AZ664" t="s">
        <v>74</v>
      </c>
      <c r="BA664" t="s">
        <v>74</v>
      </c>
      <c r="BB664">
        <v>660</v>
      </c>
      <c r="BC664">
        <v>675</v>
      </c>
      <c r="BD664" t="s">
        <v>74</v>
      </c>
      <c r="BE664" t="s">
        <v>12077</v>
      </c>
      <c r="BF664" t="str">
        <f>HYPERLINK("http://dx.doi.org/10.1016/j.jad.2023.07.011","http://dx.doi.org/10.1016/j.jad.2023.07.011")</f>
        <v>http://dx.doi.org/10.1016/j.jad.2023.07.011</v>
      </c>
      <c r="BG664" t="s">
        <v>74</v>
      </c>
      <c r="BH664" t="s">
        <v>74</v>
      </c>
      <c r="BI664">
        <v>16</v>
      </c>
      <c r="BJ664" t="s">
        <v>8059</v>
      </c>
      <c r="BK664" t="s">
        <v>666</v>
      </c>
      <c r="BL664" t="s">
        <v>8060</v>
      </c>
      <c r="BM664" t="s">
        <v>12078</v>
      </c>
      <c r="BN664">
        <v>37467801</v>
      </c>
      <c r="BO664" t="s">
        <v>295</v>
      </c>
      <c r="BP664" t="s">
        <v>74</v>
      </c>
      <c r="BQ664" t="s">
        <v>74</v>
      </c>
      <c r="BR664" t="s">
        <v>104</v>
      </c>
      <c r="BS664" t="s">
        <v>12079</v>
      </c>
      <c r="BT664" t="str">
        <f>HYPERLINK("https%3A%2F%2Fwww.webofscience.com%2Fwos%2Fwoscc%2Ffull-record%2FWOS:001059759400001","View Full Record in Web of Science")</f>
        <v>View Full Record in Web of Science</v>
      </c>
    </row>
    <row r="665" spans="1:72" x14ac:dyDescent="0.15">
      <c r="A665" t="s">
        <v>72</v>
      </c>
      <c r="B665" t="s">
        <v>12080</v>
      </c>
      <c r="C665" t="s">
        <v>74</v>
      </c>
      <c r="D665" t="s">
        <v>74</v>
      </c>
      <c r="E665" t="s">
        <v>74</v>
      </c>
      <c r="F665" t="s">
        <v>12081</v>
      </c>
      <c r="G665" t="s">
        <v>74</v>
      </c>
      <c r="H665" t="s">
        <v>74</v>
      </c>
      <c r="I665" t="s">
        <v>12082</v>
      </c>
      <c r="J665" t="s">
        <v>7867</v>
      </c>
      <c r="K665" t="s">
        <v>74</v>
      </c>
      <c r="L665" t="s">
        <v>74</v>
      </c>
      <c r="M665" t="s">
        <v>78</v>
      </c>
      <c r="N665" t="s">
        <v>79</v>
      </c>
      <c r="O665" t="s">
        <v>74</v>
      </c>
      <c r="P665" t="s">
        <v>74</v>
      </c>
      <c r="Q665" t="s">
        <v>74</v>
      </c>
      <c r="R665" t="s">
        <v>74</v>
      </c>
      <c r="S665" t="s">
        <v>74</v>
      </c>
      <c r="T665" t="s">
        <v>12083</v>
      </c>
      <c r="U665" t="s">
        <v>12084</v>
      </c>
      <c r="V665" t="s">
        <v>12085</v>
      </c>
      <c r="W665" t="s">
        <v>12086</v>
      </c>
      <c r="X665" t="s">
        <v>12087</v>
      </c>
      <c r="Y665" t="s">
        <v>12088</v>
      </c>
      <c r="Z665" t="s">
        <v>12089</v>
      </c>
      <c r="AA665" t="s">
        <v>74</v>
      </c>
      <c r="AB665" t="s">
        <v>74</v>
      </c>
      <c r="AC665" t="s">
        <v>12090</v>
      </c>
      <c r="AD665" t="s">
        <v>12091</v>
      </c>
      <c r="AE665" t="s">
        <v>12092</v>
      </c>
      <c r="AF665" t="s">
        <v>74</v>
      </c>
      <c r="AG665">
        <v>46</v>
      </c>
      <c r="AH665">
        <v>0</v>
      </c>
      <c r="AI665">
        <v>0</v>
      </c>
      <c r="AJ665">
        <v>39</v>
      </c>
      <c r="AK665">
        <v>39</v>
      </c>
      <c r="AL665" t="s">
        <v>7022</v>
      </c>
      <c r="AM665" t="s">
        <v>121</v>
      </c>
      <c r="AN665" t="s">
        <v>7023</v>
      </c>
      <c r="AO665" t="s">
        <v>7878</v>
      </c>
      <c r="AP665" t="s">
        <v>7879</v>
      </c>
      <c r="AQ665" t="s">
        <v>74</v>
      </c>
      <c r="AR665" t="s">
        <v>7880</v>
      </c>
      <c r="AS665" t="s">
        <v>7881</v>
      </c>
      <c r="AT665" t="s">
        <v>11915</v>
      </c>
      <c r="AU665">
        <v>2023</v>
      </c>
      <c r="AV665">
        <v>238</v>
      </c>
      <c r="AW665" t="s">
        <v>74</v>
      </c>
      <c r="AX665" t="s">
        <v>74</v>
      </c>
      <c r="AY665" t="s">
        <v>74</v>
      </c>
      <c r="AZ665" t="s">
        <v>74</v>
      </c>
      <c r="BA665" t="s">
        <v>74</v>
      </c>
      <c r="BB665" t="s">
        <v>74</v>
      </c>
      <c r="BC665" t="s">
        <v>74</v>
      </c>
      <c r="BD665">
        <v>115559</v>
      </c>
      <c r="BE665" t="s">
        <v>12093</v>
      </c>
      <c r="BF665" t="str">
        <f>HYPERLINK("http://dx.doi.org/10.1016/j.bios.2023.115559","http://dx.doi.org/10.1016/j.bios.2023.115559")</f>
        <v>http://dx.doi.org/10.1016/j.bios.2023.115559</v>
      </c>
      <c r="BG665" t="s">
        <v>74</v>
      </c>
      <c r="BH665" t="s">
        <v>74</v>
      </c>
      <c r="BI665">
        <v>7</v>
      </c>
      <c r="BJ665" t="s">
        <v>7883</v>
      </c>
      <c r="BK665" t="s">
        <v>100</v>
      </c>
      <c r="BL665" t="s">
        <v>7884</v>
      </c>
      <c r="BM665" t="s">
        <v>12094</v>
      </c>
      <c r="BN665">
        <v>37542976</v>
      </c>
      <c r="BO665" t="s">
        <v>74</v>
      </c>
      <c r="BP665" t="s">
        <v>74</v>
      </c>
      <c r="BQ665" t="s">
        <v>74</v>
      </c>
      <c r="BR665" t="s">
        <v>104</v>
      </c>
      <c r="BS665" t="s">
        <v>12095</v>
      </c>
      <c r="BT665" t="str">
        <f>HYPERLINK("https%3A%2F%2Fwww.webofscience.com%2Fwos%2Fwoscc%2Ffull-record%2FWOS:001052034700001","View Full Record in Web of Science")</f>
        <v>View Full Record in Web of Science</v>
      </c>
    </row>
    <row r="666" spans="1:72" x14ac:dyDescent="0.15">
      <c r="A666" t="s">
        <v>72</v>
      </c>
      <c r="B666" t="s">
        <v>12096</v>
      </c>
      <c r="C666" t="s">
        <v>74</v>
      </c>
      <c r="D666" t="s">
        <v>74</v>
      </c>
      <c r="E666" t="s">
        <v>74</v>
      </c>
      <c r="F666" t="s">
        <v>12097</v>
      </c>
      <c r="G666" t="s">
        <v>74</v>
      </c>
      <c r="H666" t="s">
        <v>74</v>
      </c>
      <c r="I666" t="s">
        <v>12098</v>
      </c>
      <c r="J666" t="s">
        <v>5302</v>
      </c>
      <c r="K666" t="s">
        <v>74</v>
      </c>
      <c r="L666" t="s">
        <v>74</v>
      </c>
      <c r="M666" t="s">
        <v>78</v>
      </c>
      <c r="N666" t="s">
        <v>79</v>
      </c>
      <c r="O666" t="s">
        <v>74</v>
      </c>
      <c r="P666" t="s">
        <v>74</v>
      </c>
      <c r="Q666" t="s">
        <v>74</v>
      </c>
      <c r="R666" t="s">
        <v>74</v>
      </c>
      <c r="S666" t="s">
        <v>74</v>
      </c>
      <c r="T666" t="s">
        <v>12099</v>
      </c>
      <c r="U666" t="s">
        <v>12100</v>
      </c>
      <c r="V666" t="s">
        <v>12101</v>
      </c>
      <c r="W666" t="s">
        <v>12102</v>
      </c>
      <c r="X666" t="s">
        <v>12103</v>
      </c>
      <c r="Y666" t="s">
        <v>12104</v>
      </c>
      <c r="Z666" t="s">
        <v>12105</v>
      </c>
      <c r="AA666" t="s">
        <v>12106</v>
      </c>
      <c r="AB666" t="s">
        <v>12107</v>
      </c>
      <c r="AC666" t="s">
        <v>74</v>
      </c>
      <c r="AD666" t="s">
        <v>74</v>
      </c>
      <c r="AE666" t="s">
        <v>74</v>
      </c>
      <c r="AF666" t="s">
        <v>74</v>
      </c>
      <c r="AG666">
        <v>79</v>
      </c>
      <c r="AH666">
        <v>0</v>
      </c>
      <c r="AI666">
        <v>0</v>
      </c>
      <c r="AJ666">
        <v>11</v>
      </c>
      <c r="AK666">
        <v>11</v>
      </c>
      <c r="AL666" t="s">
        <v>475</v>
      </c>
      <c r="AM666" t="s">
        <v>476</v>
      </c>
      <c r="AN666" t="s">
        <v>477</v>
      </c>
      <c r="AO666" t="s">
        <v>5315</v>
      </c>
      <c r="AP666" t="s">
        <v>5316</v>
      </c>
      <c r="AQ666" t="s">
        <v>74</v>
      </c>
      <c r="AR666" t="s">
        <v>5317</v>
      </c>
      <c r="AS666" t="s">
        <v>5318</v>
      </c>
      <c r="AT666" t="s">
        <v>11915</v>
      </c>
      <c r="AU666">
        <v>2023</v>
      </c>
      <c r="AV666">
        <v>235</v>
      </c>
      <c r="AW666" t="s">
        <v>74</v>
      </c>
      <c r="AX666" t="s">
        <v>74</v>
      </c>
      <c r="AY666" t="s">
        <v>74</v>
      </c>
      <c r="AZ666" t="s">
        <v>74</v>
      </c>
      <c r="BA666" t="s">
        <v>74</v>
      </c>
      <c r="BB666" t="s">
        <v>74</v>
      </c>
      <c r="BC666" t="s">
        <v>74</v>
      </c>
      <c r="BD666">
        <v>116616</v>
      </c>
      <c r="BE666" t="s">
        <v>12108</v>
      </c>
      <c r="BF666" t="str">
        <f>HYPERLINK("http://dx.doi.org/10.1016/j.envres.2023.116616","http://dx.doi.org/10.1016/j.envres.2023.116616")</f>
        <v>http://dx.doi.org/10.1016/j.envres.2023.116616</v>
      </c>
      <c r="BG666" t="s">
        <v>74</v>
      </c>
      <c r="BH666" t="s">
        <v>74</v>
      </c>
      <c r="BI666">
        <v>12</v>
      </c>
      <c r="BJ666" t="s">
        <v>5320</v>
      </c>
      <c r="BK666" t="s">
        <v>100</v>
      </c>
      <c r="BL666" t="s">
        <v>5321</v>
      </c>
      <c r="BM666" t="s">
        <v>12109</v>
      </c>
      <c r="BN666">
        <v>37437866</v>
      </c>
      <c r="BO666" t="s">
        <v>295</v>
      </c>
      <c r="BP666" t="s">
        <v>74</v>
      </c>
      <c r="BQ666" t="s">
        <v>74</v>
      </c>
      <c r="BR666" t="s">
        <v>104</v>
      </c>
      <c r="BS666" t="s">
        <v>12110</v>
      </c>
      <c r="BT666" t="str">
        <f>HYPERLINK("https%3A%2F%2Fwww.webofscience.com%2Fwos%2Fwoscc%2Ffull-record%2FWOS:001042748500001","View Full Record in Web of Science")</f>
        <v>View Full Record in Web of Science</v>
      </c>
    </row>
    <row r="667" spans="1:72" x14ac:dyDescent="0.15">
      <c r="A667" t="s">
        <v>72</v>
      </c>
      <c r="B667" t="s">
        <v>12111</v>
      </c>
      <c r="C667" t="s">
        <v>74</v>
      </c>
      <c r="D667" t="s">
        <v>74</v>
      </c>
      <c r="E667" t="s">
        <v>74</v>
      </c>
      <c r="F667" t="s">
        <v>12112</v>
      </c>
      <c r="G667" t="s">
        <v>74</v>
      </c>
      <c r="H667" t="s">
        <v>74</v>
      </c>
      <c r="I667" t="s">
        <v>12113</v>
      </c>
      <c r="J667" t="s">
        <v>12114</v>
      </c>
      <c r="K667" t="s">
        <v>74</v>
      </c>
      <c r="L667" t="s">
        <v>74</v>
      </c>
      <c r="M667" t="s">
        <v>78</v>
      </c>
      <c r="N667" t="s">
        <v>79</v>
      </c>
      <c r="O667" t="s">
        <v>74</v>
      </c>
      <c r="P667" t="s">
        <v>74</v>
      </c>
      <c r="Q667" t="s">
        <v>74</v>
      </c>
      <c r="R667" t="s">
        <v>74</v>
      </c>
      <c r="S667" t="s">
        <v>74</v>
      </c>
      <c r="T667" t="s">
        <v>12115</v>
      </c>
      <c r="U667" t="s">
        <v>12116</v>
      </c>
      <c r="V667" t="s">
        <v>12117</v>
      </c>
      <c r="W667" t="s">
        <v>12118</v>
      </c>
      <c r="X667" t="s">
        <v>12119</v>
      </c>
      <c r="Y667" t="s">
        <v>12120</v>
      </c>
      <c r="Z667" t="s">
        <v>12121</v>
      </c>
      <c r="AA667" t="s">
        <v>74</v>
      </c>
      <c r="AB667" t="s">
        <v>74</v>
      </c>
      <c r="AC667" t="s">
        <v>12122</v>
      </c>
      <c r="AD667" t="s">
        <v>12123</v>
      </c>
      <c r="AE667" t="s">
        <v>12124</v>
      </c>
      <c r="AF667" t="s">
        <v>74</v>
      </c>
      <c r="AG667">
        <v>37</v>
      </c>
      <c r="AH667">
        <v>0</v>
      </c>
      <c r="AI667">
        <v>0</v>
      </c>
      <c r="AJ667">
        <v>11</v>
      </c>
      <c r="AK667">
        <v>11</v>
      </c>
      <c r="AL667" t="s">
        <v>120</v>
      </c>
      <c r="AM667" t="s">
        <v>121</v>
      </c>
      <c r="AN667" t="s">
        <v>122</v>
      </c>
      <c r="AO667" t="s">
        <v>12125</v>
      </c>
      <c r="AP667" t="s">
        <v>12126</v>
      </c>
      <c r="AQ667" t="s">
        <v>74</v>
      </c>
      <c r="AR667" t="s">
        <v>12127</v>
      </c>
      <c r="AS667" t="s">
        <v>12128</v>
      </c>
      <c r="AT667" t="s">
        <v>11915</v>
      </c>
      <c r="AU667">
        <v>2023</v>
      </c>
      <c r="AV667">
        <v>322</v>
      </c>
      <c r="AW667" t="s">
        <v>74</v>
      </c>
      <c r="AX667" t="s">
        <v>74</v>
      </c>
      <c r="AY667" t="s">
        <v>74</v>
      </c>
      <c r="AZ667" t="s">
        <v>74</v>
      </c>
      <c r="BA667" t="s">
        <v>74</v>
      </c>
      <c r="BB667" t="s">
        <v>74</v>
      </c>
      <c r="BC667" t="s">
        <v>74</v>
      </c>
      <c r="BD667">
        <v>117362</v>
      </c>
      <c r="BE667" t="s">
        <v>12129</v>
      </c>
      <c r="BF667" t="str">
        <f>HYPERLINK("http://dx.doi.org/10.1016/j.compstruct.2023.117362","http://dx.doi.org/10.1016/j.compstruct.2023.117362")</f>
        <v>http://dx.doi.org/10.1016/j.compstruct.2023.117362</v>
      </c>
      <c r="BG667" t="s">
        <v>74</v>
      </c>
      <c r="BH667" t="s">
        <v>74</v>
      </c>
      <c r="BI667">
        <v>9</v>
      </c>
      <c r="BJ667" t="s">
        <v>12130</v>
      </c>
      <c r="BK667" t="s">
        <v>100</v>
      </c>
      <c r="BL667" t="s">
        <v>12131</v>
      </c>
      <c r="BM667" t="s">
        <v>12132</v>
      </c>
      <c r="BN667" t="s">
        <v>74</v>
      </c>
      <c r="BO667" t="s">
        <v>74</v>
      </c>
      <c r="BP667" t="s">
        <v>74</v>
      </c>
      <c r="BQ667" t="s">
        <v>74</v>
      </c>
      <c r="BR667" t="s">
        <v>104</v>
      </c>
      <c r="BS667" t="s">
        <v>12133</v>
      </c>
      <c r="BT667" t="str">
        <f>HYPERLINK("https%3A%2F%2Fwww.webofscience.com%2Fwos%2Fwoscc%2Ffull-record%2FWOS:001044178100001","View Full Record in Web of Science")</f>
        <v>View Full Record in Web of Science</v>
      </c>
    </row>
    <row r="668" spans="1:72" x14ac:dyDescent="0.15">
      <c r="A668" t="s">
        <v>72</v>
      </c>
      <c r="B668" t="s">
        <v>12134</v>
      </c>
      <c r="C668" t="s">
        <v>74</v>
      </c>
      <c r="D668" t="s">
        <v>74</v>
      </c>
      <c r="E668" t="s">
        <v>74</v>
      </c>
      <c r="F668" t="s">
        <v>12135</v>
      </c>
      <c r="G668" t="s">
        <v>74</v>
      </c>
      <c r="H668" t="s">
        <v>74</v>
      </c>
      <c r="I668" t="s">
        <v>12136</v>
      </c>
      <c r="J668" t="s">
        <v>12137</v>
      </c>
      <c r="K668" t="s">
        <v>74</v>
      </c>
      <c r="L668" t="s">
        <v>74</v>
      </c>
      <c r="M668" t="s">
        <v>78</v>
      </c>
      <c r="N668" t="s">
        <v>79</v>
      </c>
      <c r="O668" t="s">
        <v>74</v>
      </c>
      <c r="P668" t="s">
        <v>74</v>
      </c>
      <c r="Q668" t="s">
        <v>74</v>
      </c>
      <c r="R668" t="s">
        <v>74</v>
      </c>
      <c r="S668" t="s">
        <v>74</v>
      </c>
      <c r="T668" t="s">
        <v>12138</v>
      </c>
      <c r="U668" t="s">
        <v>12139</v>
      </c>
      <c r="V668" t="s">
        <v>12140</v>
      </c>
      <c r="W668" t="s">
        <v>12141</v>
      </c>
      <c r="X668" t="s">
        <v>8660</v>
      </c>
      <c r="Y668" t="s">
        <v>12142</v>
      </c>
      <c r="Z668" t="s">
        <v>12143</v>
      </c>
      <c r="AA668" t="s">
        <v>74</v>
      </c>
      <c r="AB668" t="s">
        <v>74</v>
      </c>
      <c r="AC668" t="s">
        <v>12144</v>
      </c>
      <c r="AD668" t="s">
        <v>12145</v>
      </c>
      <c r="AE668" t="s">
        <v>12146</v>
      </c>
      <c r="AF668" t="s">
        <v>74</v>
      </c>
      <c r="AG668">
        <v>74</v>
      </c>
      <c r="AH668">
        <v>0</v>
      </c>
      <c r="AI668">
        <v>0</v>
      </c>
      <c r="AJ668">
        <v>11</v>
      </c>
      <c r="AK668">
        <v>11</v>
      </c>
      <c r="AL668" t="s">
        <v>120</v>
      </c>
      <c r="AM668" t="s">
        <v>121</v>
      </c>
      <c r="AN668" t="s">
        <v>122</v>
      </c>
      <c r="AO668" t="s">
        <v>12147</v>
      </c>
      <c r="AP668" t="s">
        <v>12148</v>
      </c>
      <c r="AQ668" t="s">
        <v>74</v>
      </c>
      <c r="AR668" t="s">
        <v>12149</v>
      </c>
      <c r="AS668" t="s">
        <v>12150</v>
      </c>
      <c r="AT668" t="s">
        <v>11915</v>
      </c>
      <c r="AU668">
        <v>2023</v>
      </c>
      <c r="AV668">
        <v>335</v>
      </c>
      <c r="AW668" t="s">
        <v>74</v>
      </c>
      <c r="AX668" t="s">
        <v>74</v>
      </c>
      <c r="AY668" t="s">
        <v>74</v>
      </c>
      <c r="AZ668" t="s">
        <v>74</v>
      </c>
      <c r="BA668" t="s">
        <v>74</v>
      </c>
      <c r="BB668" t="s">
        <v>74</v>
      </c>
      <c r="BC668" t="s">
        <v>74</v>
      </c>
      <c r="BD668">
        <v>122249</v>
      </c>
      <c r="BE668" t="s">
        <v>12151</v>
      </c>
      <c r="BF668" t="str">
        <f>HYPERLINK("http://dx.doi.org/10.1016/j.envpol.2023.122249","http://dx.doi.org/10.1016/j.envpol.2023.122249")</f>
        <v>http://dx.doi.org/10.1016/j.envpol.2023.122249</v>
      </c>
      <c r="BG668" t="s">
        <v>74</v>
      </c>
      <c r="BH668" t="s">
        <v>74</v>
      </c>
      <c r="BI668">
        <v>10</v>
      </c>
      <c r="BJ668" t="s">
        <v>1539</v>
      </c>
      <c r="BK668" t="s">
        <v>100</v>
      </c>
      <c r="BL668" t="s">
        <v>1540</v>
      </c>
      <c r="BM668" t="s">
        <v>12152</v>
      </c>
      <c r="BN668">
        <v>37487872</v>
      </c>
      <c r="BO668" t="s">
        <v>74</v>
      </c>
      <c r="BP668" t="s">
        <v>74</v>
      </c>
      <c r="BQ668" t="s">
        <v>74</v>
      </c>
      <c r="BR668" t="s">
        <v>104</v>
      </c>
      <c r="BS668" t="s">
        <v>12153</v>
      </c>
      <c r="BT668" t="str">
        <f>HYPERLINK("https%3A%2F%2Fwww.webofscience.com%2Fwos%2Fwoscc%2Ffull-record%2FWOS:001049497200001","View Full Record in Web of Science")</f>
        <v>View Full Record in Web of Science</v>
      </c>
    </row>
    <row r="669" spans="1:72" x14ac:dyDescent="0.15">
      <c r="A669" t="s">
        <v>72</v>
      </c>
      <c r="B669" t="s">
        <v>12154</v>
      </c>
      <c r="C669" t="s">
        <v>74</v>
      </c>
      <c r="D669" t="s">
        <v>74</v>
      </c>
      <c r="E669" t="s">
        <v>74</v>
      </c>
      <c r="F669" t="s">
        <v>12155</v>
      </c>
      <c r="G669" t="s">
        <v>74</v>
      </c>
      <c r="H669" t="s">
        <v>74</v>
      </c>
      <c r="I669" t="s">
        <v>12156</v>
      </c>
      <c r="J669" t="s">
        <v>12157</v>
      </c>
      <c r="K669" t="s">
        <v>74</v>
      </c>
      <c r="L669" t="s">
        <v>74</v>
      </c>
      <c r="M669" t="s">
        <v>78</v>
      </c>
      <c r="N669" t="s">
        <v>79</v>
      </c>
      <c r="O669" t="s">
        <v>74</v>
      </c>
      <c r="P669" t="s">
        <v>74</v>
      </c>
      <c r="Q669" t="s">
        <v>74</v>
      </c>
      <c r="R669" t="s">
        <v>74</v>
      </c>
      <c r="S669" t="s">
        <v>74</v>
      </c>
      <c r="T669" t="s">
        <v>12158</v>
      </c>
      <c r="U669" t="s">
        <v>12159</v>
      </c>
      <c r="V669" t="s">
        <v>12160</v>
      </c>
      <c r="W669" t="s">
        <v>12161</v>
      </c>
      <c r="X669" t="s">
        <v>12162</v>
      </c>
      <c r="Y669" t="s">
        <v>12163</v>
      </c>
      <c r="Z669" t="s">
        <v>12164</v>
      </c>
      <c r="AA669" t="s">
        <v>74</v>
      </c>
      <c r="AB669" t="s">
        <v>74</v>
      </c>
      <c r="AC669" t="s">
        <v>12165</v>
      </c>
      <c r="AD669" t="s">
        <v>12166</v>
      </c>
      <c r="AE669" t="s">
        <v>12167</v>
      </c>
      <c r="AF669" t="s">
        <v>74</v>
      </c>
      <c r="AG669">
        <v>80</v>
      </c>
      <c r="AH669">
        <v>0</v>
      </c>
      <c r="AI669">
        <v>0</v>
      </c>
      <c r="AJ669">
        <v>7</v>
      </c>
      <c r="AK669">
        <v>7</v>
      </c>
      <c r="AL669" t="s">
        <v>90</v>
      </c>
      <c r="AM669" t="s">
        <v>91</v>
      </c>
      <c r="AN669" t="s">
        <v>92</v>
      </c>
      <c r="AO669" t="s">
        <v>12168</v>
      </c>
      <c r="AP669" t="s">
        <v>12169</v>
      </c>
      <c r="AQ669" t="s">
        <v>74</v>
      </c>
      <c r="AR669" t="s">
        <v>12170</v>
      </c>
      <c r="AS669" t="s">
        <v>12171</v>
      </c>
      <c r="AT669" t="s">
        <v>11915</v>
      </c>
      <c r="AU669">
        <v>2023</v>
      </c>
      <c r="AV669">
        <v>356</v>
      </c>
      <c r="AW669" t="s">
        <v>74</v>
      </c>
      <c r="AX669" t="s">
        <v>74</v>
      </c>
      <c r="AY669" t="s">
        <v>74</v>
      </c>
      <c r="AZ669" t="s">
        <v>74</v>
      </c>
      <c r="BA669" t="s">
        <v>74</v>
      </c>
      <c r="BB669" t="s">
        <v>74</v>
      </c>
      <c r="BC669" t="s">
        <v>74</v>
      </c>
      <c r="BD669">
        <v>108632</v>
      </c>
      <c r="BE669" t="s">
        <v>12172</v>
      </c>
      <c r="BF669" t="str">
        <f>HYPERLINK("http://dx.doi.org/10.1016/j.agee.2023.108632","http://dx.doi.org/10.1016/j.agee.2023.108632")</f>
        <v>http://dx.doi.org/10.1016/j.agee.2023.108632</v>
      </c>
      <c r="BG669" t="s">
        <v>74</v>
      </c>
      <c r="BH669" t="s">
        <v>74</v>
      </c>
      <c r="BI669">
        <v>15</v>
      </c>
      <c r="BJ669" t="s">
        <v>12173</v>
      </c>
      <c r="BK669" t="s">
        <v>100</v>
      </c>
      <c r="BL669" t="s">
        <v>12174</v>
      </c>
      <c r="BM669" t="s">
        <v>12175</v>
      </c>
      <c r="BN669" t="s">
        <v>74</v>
      </c>
      <c r="BO669" t="s">
        <v>295</v>
      </c>
      <c r="BP669" t="s">
        <v>74</v>
      </c>
      <c r="BQ669" t="s">
        <v>74</v>
      </c>
      <c r="BR669" t="s">
        <v>104</v>
      </c>
      <c r="BS669" t="s">
        <v>12176</v>
      </c>
      <c r="BT669" t="str">
        <f>HYPERLINK("https%3A%2F%2Fwww.webofscience.com%2Fwos%2Fwoscc%2Ffull-record%2FWOS:001053255700001","View Full Record in Web of Science")</f>
        <v>View Full Record in Web of Science</v>
      </c>
    </row>
    <row r="670" spans="1:72" x14ac:dyDescent="0.15">
      <c r="A670" t="s">
        <v>72</v>
      </c>
      <c r="B670" t="s">
        <v>12177</v>
      </c>
      <c r="C670" t="s">
        <v>74</v>
      </c>
      <c r="D670" t="s">
        <v>74</v>
      </c>
      <c r="E670" t="s">
        <v>74</v>
      </c>
      <c r="F670" t="s">
        <v>12178</v>
      </c>
      <c r="G670" t="s">
        <v>74</v>
      </c>
      <c r="H670" t="s">
        <v>74</v>
      </c>
      <c r="I670" t="s">
        <v>12179</v>
      </c>
      <c r="J670" t="s">
        <v>1587</v>
      </c>
      <c r="K670" t="s">
        <v>74</v>
      </c>
      <c r="L670" t="s">
        <v>74</v>
      </c>
      <c r="M670" t="s">
        <v>78</v>
      </c>
      <c r="N670" t="s">
        <v>79</v>
      </c>
      <c r="O670" t="s">
        <v>74</v>
      </c>
      <c r="P670" t="s">
        <v>74</v>
      </c>
      <c r="Q670" t="s">
        <v>74</v>
      </c>
      <c r="R670" t="s">
        <v>74</v>
      </c>
      <c r="S670" t="s">
        <v>74</v>
      </c>
      <c r="T670" t="s">
        <v>12180</v>
      </c>
      <c r="U670" t="s">
        <v>12181</v>
      </c>
      <c r="V670" t="s">
        <v>12182</v>
      </c>
      <c r="W670" t="s">
        <v>12183</v>
      </c>
      <c r="X670" t="s">
        <v>12184</v>
      </c>
      <c r="Y670" t="s">
        <v>12185</v>
      </c>
      <c r="Z670" t="s">
        <v>12186</v>
      </c>
      <c r="AA670" t="s">
        <v>12187</v>
      </c>
      <c r="AB670" t="s">
        <v>12188</v>
      </c>
      <c r="AC670" t="s">
        <v>12189</v>
      </c>
      <c r="AD670" t="s">
        <v>12190</v>
      </c>
      <c r="AE670" t="s">
        <v>12191</v>
      </c>
      <c r="AF670" t="s">
        <v>74</v>
      </c>
      <c r="AG670">
        <v>86</v>
      </c>
      <c r="AH670">
        <v>0</v>
      </c>
      <c r="AI670">
        <v>0</v>
      </c>
      <c r="AJ670">
        <v>12</v>
      </c>
      <c r="AK670">
        <v>12</v>
      </c>
      <c r="AL670" t="s">
        <v>90</v>
      </c>
      <c r="AM670" t="s">
        <v>91</v>
      </c>
      <c r="AN670" t="s">
        <v>92</v>
      </c>
      <c r="AO670" t="s">
        <v>1598</v>
      </c>
      <c r="AP670" t="s">
        <v>1599</v>
      </c>
      <c r="AQ670" t="s">
        <v>74</v>
      </c>
      <c r="AR670" t="s">
        <v>1600</v>
      </c>
      <c r="AS670" t="s">
        <v>1601</v>
      </c>
      <c r="AT670" t="s">
        <v>11915</v>
      </c>
      <c r="AU670">
        <v>2023</v>
      </c>
      <c r="AV670">
        <v>323</v>
      </c>
      <c r="AW670" t="s">
        <v>74</v>
      </c>
      <c r="AX670" t="s">
        <v>74</v>
      </c>
      <c r="AY670" t="s">
        <v>74</v>
      </c>
      <c r="AZ670" t="s">
        <v>74</v>
      </c>
      <c r="BA670" t="s">
        <v>74</v>
      </c>
      <c r="BB670" t="s">
        <v>74</v>
      </c>
      <c r="BC670" t="s">
        <v>74</v>
      </c>
      <c r="BD670">
        <v>124405</v>
      </c>
      <c r="BE670" t="s">
        <v>12192</v>
      </c>
      <c r="BF670" t="str">
        <f>HYPERLINK("http://dx.doi.org/10.1016/j.seppur.2023.124405","http://dx.doi.org/10.1016/j.seppur.2023.124405")</f>
        <v>http://dx.doi.org/10.1016/j.seppur.2023.124405</v>
      </c>
      <c r="BG670" t="s">
        <v>74</v>
      </c>
      <c r="BH670" t="s">
        <v>74</v>
      </c>
      <c r="BI670">
        <v>11</v>
      </c>
      <c r="BJ670" t="s">
        <v>1603</v>
      </c>
      <c r="BK670" t="s">
        <v>100</v>
      </c>
      <c r="BL670" t="s">
        <v>873</v>
      </c>
      <c r="BM670" t="s">
        <v>12193</v>
      </c>
      <c r="BN670" t="s">
        <v>74</v>
      </c>
      <c r="BO670" t="s">
        <v>74</v>
      </c>
      <c r="BP670" t="s">
        <v>74</v>
      </c>
      <c r="BQ670" t="s">
        <v>74</v>
      </c>
      <c r="BR670" t="s">
        <v>104</v>
      </c>
      <c r="BS670" t="s">
        <v>12194</v>
      </c>
      <c r="BT670" t="str">
        <f>HYPERLINK("https%3A%2F%2Fwww.webofscience.com%2Fwos%2Fwoscc%2Ffull-record%2FWOS:001038879200001","View Full Record in Web of Science")</f>
        <v>View Full Record in Web of Science</v>
      </c>
    </row>
    <row r="671" spans="1:72" x14ac:dyDescent="0.15">
      <c r="A671" t="s">
        <v>72</v>
      </c>
      <c r="B671" t="s">
        <v>12195</v>
      </c>
      <c r="C671" t="s">
        <v>74</v>
      </c>
      <c r="D671" t="s">
        <v>74</v>
      </c>
      <c r="E671" t="s">
        <v>74</v>
      </c>
      <c r="F671" t="s">
        <v>12196</v>
      </c>
      <c r="G671" t="s">
        <v>74</v>
      </c>
      <c r="H671" t="s">
        <v>74</v>
      </c>
      <c r="I671" t="s">
        <v>12197</v>
      </c>
      <c r="J671" t="s">
        <v>12198</v>
      </c>
      <c r="K671" t="s">
        <v>74</v>
      </c>
      <c r="L671" t="s">
        <v>74</v>
      </c>
      <c r="M671" t="s">
        <v>78</v>
      </c>
      <c r="N671" t="s">
        <v>79</v>
      </c>
      <c r="O671" t="s">
        <v>74</v>
      </c>
      <c r="P671" t="s">
        <v>74</v>
      </c>
      <c r="Q671" t="s">
        <v>74</v>
      </c>
      <c r="R671" t="s">
        <v>74</v>
      </c>
      <c r="S671" t="s">
        <v>74</v>
      </c>
      <c r="T671" t="s">
        <v>12199</v>
      </c>
      <c r="U671" t="s">
        <v>12200</v>
      </c>
      <c r="V671" t="s">
        <v>12201</v>
      </c>
      <c r="W671" t="s">
        <v>12202</v>
      </c>
      <c r="X671" t="s">
        <v>12203</v>
      </c>
      <c r="Y671" t="s">
        <v>12204</v>
      </c>
      <c r="Z671" t="s">
        <v>12205</v>
      </c>
      <c r="AA671" t="s">
        <v>74</v>
      </c>
      <c r="AB671" t="s">
        <v>12206</v>
      </c>
      <c r="AC671" t="s">
        <v>74</v>
      </c>
      <c r="AD671" t="s">
        <v>74</v>
      </c>
      <c r="AE671" t="s">
        <v>74</v>
      </c>
      <c r="AF671" t="s">
        <v>74</v>
      </c>
      <c r="AG671">
        <v>44</v>
      </c>
      <c r="AH671">
        <v>0</v>
      </c>
      <c r="AI671">
        <v>0</v>
      </c>
      <c r="AJ671">
        <v>0</v>
      </c>
      <c r="AK671">
        <v>0</v>
      </c>
      <c r="AL671" t="s">
        <v>554</v>
      </c>
      <c r="AM671" t="s">
        <v>555</v>
      </c>
      <c r="AN671" t="s">
        <v>556</v>
      </c>
      <c r="AO671" t="s">
        <v>12207</v>
      </c>
      <c r="AP671" t="s">
        <v>12208</v>
      </c>
      <c r="AQ671" t="s">
        <v>74</v>
      </c>
      <c r="AR671" t="s">
        <v>12209</v>
      </c>
      <c r="AS671" t="s">
        <v>12210</v>
      </c>
      <c r="AT671" t="s">
        <v>11915</v>
      </c>
      <c r="AU671">
        <v>2023</v>
      </c>
      <c r="AV671">
        <v>201</v>
      </c>
      <c r="AW671" t="s">
        <v>74</v>
      </c>
      <c r="AX671" t="s">
        <v>74</v>
      </c>
      <c r="AY671" t="s">
        <v>74</v>
      </c>
      <c r="AZ671" t="s">
        <v>74</v>
      </c>
      <c r="BA671" t="s">
        <v>74</v>
      </c>
      <c r="BB671" t="s">
        <v>74</v>
      </c>
      <c r="BC671" t="s">
        <v>74</v>
      </c>
      <c r="BD671">
        <v>110651</v>
      </c>
      <c r="BE671" t="s">
        <v>12211</v>
      </c>
      <c r="BF671" t="str">
        <f>HYPERLINK("http://dx.doi.org/10.1016/j.ymssp.2023.110651","http://dx.doi.org/10.1016/j.ymssp.2023.110651")</f>
        <v>http://dx.doi.org/10.1016/j.ymssp.2023.110651</v>
      </c>
      <c r="BG671" t="s">
        <v>74</v>
      </c>
      <c r="BH671" t="s">
        <v>74</v>
      </c>
      <c r="BI671">
        <v>15</v>
      </c>
      <c r="BJ671" t="s">
        <v>7187</v>
      </c>
      <c r="BK671" t="s">
        <v>100</v>
      </c>
      <c r="BL671" t="s">
        <v>873</v>
      </c>
      <c r="BM671" t="s">
        <v>12212</v>
      </c>
      <c r="BN671" t="s">
        <v>74</v>
      </c>
      <c r="BO671" t="s">
        <v>74</v>
      </c>
      <c r="BP671" t="s">
        <v>74</v>
      </c>
      <c r="BQ671" t="s">
        <v>74</v>
      </c>
      <c r="BR671" t="s">
        <v>104</v>
      </c>
      <c r="BS671" t="s">
        <v>12213</v>
      </c>
      <c r="BT671" t="str">
        <f>HYPERLINK("https%3A%2F%2Fwww.webofscience.com%2Fwos%2Fwoscc%2Ffull-record%2FWOS:001063749600001","View Full Record in Web of Science")</f>
        <v>View Full Record in Web of Science</v>
      </c>
    </row>
    <row r="672" spans="1:72" x14ac:dyDescent="0.15">
      <c r="A672" t="s">
        <v>72</v>
      </c>
      <c r="B672" t="s">
        <v>12214</v>
      </c>
      <c r="C672" t="s">
        <v>74</v>
      </c>
      <c r="D672" t="s">
        <v>74</v>
      </c>
      <c r="E672" t="s">
        <v>74</v>
      </c>
      <c r="F672" t="s">
        <v>12215</v>
      </c>
      <c r="G672" t="s">
        <v>74</v>
      </c>
      <c r="H672" t="s">
        <v>74</v>
      </c>
      <c r="I672" t="s">
        <v>12216</v>
      </c>
      <c r="J672" t="s">
        <v>11941</v>
      </c>
      <c r="K672" t="s">
        <v>74</v>
      </c>
      <c r="L672" t="s">
        <v>74</v>
      </c>
      <c r="M672" t="s">
        <v>78</v>
      </c>
      <c r="N672" t="s">
        <v>79</v>
      </c>
      <c r="O672" t="s">
        <v>74</v>
      </c>
      <c r="P672" t="s">
        <v>74</v>
      </c>
      <c r="Q672" t="s">
        <v>74</v>
      </c>
      <c r="R672" t="s">
        <v>74</v>
      </c>
      <c r="S672" t="s">
        <v>74</v>
      </c>
      <c r="T672" t="s">
        <v>12217</v>
      </c>
      <c r="U672" t="s">
        <v>12218</v>
      </c>
      <c r="V672" t="s">
        <v>12219</v>
      </c>
      <c r="W672" t="s">
        <v>12220</v>
      </c>
      <c r="X672" t="s">
        <v>12221</v>
      </c>
      <c r="Y672" t="s">
        <v>12222</v>
      </c>
      <c r="Z672" t="s">
        <v>74</v>
      </c>
      <c r="AA672" t="s">
        <v>74</v>
      </c>
      <c r="AB672" t="s">
        <v>12223</v>
      </c>
      <c r="AC672" t="s">
        <v>12224</v>
      </c>
      <c r="AD672" t="s">
        <v>12225</v>
      </c>
      <c r="AE672" t="s">
        <v>12226</v>
      </c>
      <c r="AF672" t="s">
        <v>74</v>
      </c>
      <c r="AG672">
        <v>42</v>
      </c>
      <c r="AH672">
        <v>0</v>
      </c>
      <c r="AI672">
        <v>0</v>
      </c>
      <c r="AJ672">
        <v>3</v>
      </c>
      <c r="AK672">
        <v>3</v>
      </c>
      <c r="AL672" t="s">
        <v>90</v>
      </c>
      <c r="AM672" t="s">
        <v>91</v>
      </c>
      <c r="AN672" t="s">
        <v>92</v>
      </c>
      <c r="AO672" t="s">
        <v>11954</v>
      </c>
      <c r="AP672" t="s">
        <v>11955</v>
      </c>
      <c r="AQ672" t="s">
        <v>74</v>
      </c>
      <c r="AR672" t="s">
        <v>11956</v>
      </c>
      <c r="AS672" t="s">
        <v>11957</v>
      </c>
      <c r="AT672" t="s">
        <v>11915</v>
      </c>
      <c r="AU672">
        <v>2023</v>
      </c>
      <c r="AV672">
        <v>341</v>
      </c>
      <c r="AW672" t="s">
        <v>74</v>
      </c>
      <c r="AX672" t="s">
        <v>74</v>
      </c>
      <c r="AY672" t="s">
        <v>74</v>
      </c>
      <c r="AZ672" t="s">
        <v>74</v>
      </c>
      <c r="BA672" t="s">
        <v>74</v>
      </c>
      <c r="BB672" t="s">
        <v>74</v>
      </c>
      <c r="BC672" t="s">
        <v>74</v>
      </c>
      <c r="BD672">
        <v>109637</v>
      </c>
      <c r="BE672" t="s">
        <v>12227</v>
      </c>
      <c r="BF672" t="str">
        <f>HYPERLINK("http://dx.doi.org/10.1016/j.agrformet.2023.109637","http://dx.doi.org/10.1016/j.agrformet.2023.109637")</f>
        <v>http://dx.doi.org/10.1016/j.agrformet.2023.109637</v>
      </c>
      <c r="BG672" t="s">
        <v>74</v>
      </c>
      <c r="BH672" t="s">
        <v>74</v>
      </c>
      <c r="BI672">
        <v>12</v>
      </c>
      <c r="BJ672" t="s">
        <v>11959</v>
      </c>
      <c r="BK672" t="s">
        <v>100</v>
      </c>
      <c r="BL672" t="s">
        <v>11960</v>
      </c>
      <c r="BM672" t="s">
        <v>12228</v>
      </c>
      <c r="BN672" t="s">
        <v>74</v>
      </c>
      <c r="BO672" t="s">
        <v>74</v>
      </c>
      <c r="BP672" t="s">
        <v>74</v>
      </c>
      <c r="BQ672" t="s">
        <v>74</v>
      </c>
      <c r="BR672" t="s">
        <v>104</v>
      </c>
      <c r="BS672" t="s">
        <v>12229</v>
      </c>
      <c r="BT672" t="str">
        <f>HYPERLINK("https%3A%2F%2Fwww.webofscience.com%2Fwos%2Fwoscc%2Ffull-record%2FWOS:001052194700001","View Full Record in Web of Science")</f>
        <v>View Full Record in Web of Science</v>
      </c>
    </row>
    <row r="673" spans="1:72" x14ac:dyDescent="0.15">
      <c r="A673" t="s">
        <v>72</v>
      </c>
      <c r="B673" t="s">
        <v>12230</v>
      </c>
      <c r="C673" t="s">
        <v>74</v>
      </c>
      <c r="D673" t="s">
        <v>74</v>
      </c>
      <c r="E673" t="s">
        <v>74</v>
      </c>
      <c r="F673" t="s">
        <v>12231</v>
      </c>
      <c r="G673" t="s">
        <v>74</v>
      </c>
      <c r="H673" t="s">
        <v>74</v>
      </c>
      <c r="I673" t="s">
        <v>12232</v>
      </c>
      <c r="J673" t="s">
        <v>12233</v>
      </c>
      <c r="K673" t="s">
        <v>74</v>
      </c>
      <c r="L673" t="s">
        <v>74</v>
      </c>
      <c r="M673" t="s">
        <v>78</v>
      </c>
      <c r="N673" t="s">
        <v>79</v>
      </c>
      <c r="O673" t="s">
        <v>74</v>
      </c>
      <c r="P673" t="s">
        <v>74</v>
      </c>
      <c r="Q673" t="s">
        <v>74</v>
      </c>
      <c r="R673" t="s">
        <v>74</v>
      </c>
      <c r="S673" t="s">
        <v>74</v>
      </c>
      <c r="T673" t="s">
        <v>12234</v>
      </c>
      <c r="U673" t="s">
        <v>12235</v>
      </c>
      <c r="V673" t="s">
        <v>12236</v>
      </c>
      <c r="W673" t="s">
        <v>12237</v>
      </c>
      <c r="X673" t="s">
        <v>12238</v>
      </c>
      <c r="Y673" t="s">
        <v>12239</v>
      </c>
      <c r="Z673" t="s">
        <v>12240</v>
      </c>
      <c r="AA673" t="s">
        <v>74</v>
      </c>
      <c r="AB673" t="s">
        <v>74</v>
      </c>
      <c r="AC673" t="s">
        <v>12241</v>
      </c>
      <c r="AD673" t="s">
        <v>12242</v>
      </c>
      <c r="AE673" t="s">
        <v>12243</v>
      </c>
      <c r="AF673" t="s">
        <v>74</v>
      </c>
      <c r="AG673">
        <v>35</v>
      </c>
      <c r="AH673">
        <v>0</v>
      </c>
      <c r="AI673">
        <v>0</v>
      </c>
      <c r="AJ673">
        <v>1</v>
      </c>
      <c r="AK673">
        <v>1</v>
      </c>
      <c r="AL673" t="s">
        <v>475</v>
      </c>
      <c r="AM673" t="s">
        <v>476</v>
      </c>
      <c r="AN673" t="s">
        <v>477</v>
      </c>
      <c r="AO673" t="s">
        <v>12244</v>
      </c>
      <c r="AP673" t="s">
        <v>12245</v>
      </c>
      <c r="AQ673" t="s">
        <v>74</v>
      </c>
      <c r="AR673" t="s">
        <v>12246</v>
      </c>
      <c r="AS673" t="s">
        <v>12247</v>
      </c>
      <c r="AT673" t="s">
        <v>11915</v>
      </c>
      <c r="AU673">
        <v>2023</v>
      </c>
      <c r="AV673">
        <v>677</v>
      </c>
      <c r="AW673" t="s">
        <v>74</v>
      </c>
      <c r="AX673" t="s">
        <v>74</v>
      </c>
      <c r="AY673" t="s">
        <v>74</v>
      </c>
      <c r="AZ673" t="s">
        <v>74</v>
      </c>
      <c r="BA673" t="s">
        <v>74</v>
      </c>
      <c r="BB673">
        <v>31</v>
      </c>
      <c r="BC673">
        <v>37</v>
      </c>
      <c r="BD673" t="s">
        <v>74</v>
      </c>
      <c r="BE673" t="s">
        <v>12248</v>
      </c>
      <c r="BF673" t="str">
        <f>HYPERLINK("http://dx.doi.org/10.1016/j.bbrc.2023.07.058","http://dx.doi.org/10.1016/j.bbrc.2023.07.058")</f>
        <v>http://dx.doi.org/10.1016/j.bbrc.2023.07.058</v>
      </c>
      <c r="BG673" t="s">
        <v>74</v>
      </c>
      <c r="BH673" t="s">
        <v>74</v>
      </c>
      <c r="BI673">
        <v>7</v>
      </c>
      <c r="BJ673" t="s">
        <v>3342</v>
      </c>
      <c r="BK673" t="s">
        <v>100</v>
      </c>
      <c r="BL673" t="s">
        <v>3342</v>
      </c>
      <c r="BM673" t="s">
        <v>12249</v>
      </c>
      <c r="BN673">
        <v>37542773</v>
      </c>
      <c r="BO673" t="s">
        <v>74</v>
      </c>
      <c r="BP673" t="s">
        <v>74</v>
      </c>
      <c r="BQ673" t="s">
        <v>74</v>
      </c>
      <c r="BR673" t="s">
        <v>104</v>
      </c>
      <c r="BS673" t="s">
        <v>12250</v>
      </c>
      <c r="BT673" t="str">
        <f>HYPERLINK("https%3A%2F%2Fwww.webofscience.com%2Fwos%2Fwoscc%2Ffull-record%2FWOS:001051591900001","View Full Record in Web of Science")</f>
        <v>View Full Record in Web of Science</v>
      </c>
    </row>
    <row r="674" spans="1:72" x14ac:dyDescent="0.15">
      <c r="A674" t="s">
        <v>72</v>
      </c>
      <c r="B674" t="s">
        <v>12251</v>
      </c>
      <c r="C674" t="s">
        <v>74</v>
      </c>
      <c r="D674" t="s">
        <v>74</v>
      </c>
      <c r="E674" t="s">
        <v>74</v>
      </c>
      <c r="F674" t="s">
        <v>12252</v>
      </c>
      <c r="G674" t="s">
        <v>74</v>
      </c>
      <c r="H674" t="s">
        <v>74</v>
      </c>
      <c r="I674" t="s">
        <v>12253</v>
      </c>
      <c r="J674" t="s">
        <v>12254</v>
      </c>
      <c r="K674" t="s">
        <v>74</v>
      </c>
      <c r="L674" t="s">
        <v>74</v>
      </c>
      <c r="M674" t="s">
        <v>78</v>
      </c>
      <c r="N674" t="s">
        <v>79</v>
      </c>
      <c r="O674" t="s">
        <v>74</v>
      </c>
      <c r="P674" t="s">
        <v>74</v>
      </c>
      <c r="Q674" t="s">
        <v>74</v>
      </c>
      <c r="R674" t="s">
        <v>74</v>
      </c>
      <c r="S674" t="s">
        <v>74</v>
      </c>
      <c r="T674" t="s">
        <v>12255</v>
      </c>
      <c r="U674" t="s">
        <v>12256</v>
      </c>
      <c r="V674" t="s">
        <v>12257</v>
      </c>
      <c r="W674" t="s">
        <v>12258</v>
      </c>
      <c r="X674" t="s">
        <v>12259</v>
      </c>
      <c r="Y674" t="s">
        <v>12260</v>
      </c>
      <c r="Z674" t="s">
        <v>12261</v>
      </c>
      <c r="AA674" t="s">
        <v>74</v>
      </c>
      <c r="AB674" t="s">
        <v>74</v>
      </c>
      <c r="AC674" t="s">
        <v>12262</v>
      </c>
      <c r="AD674" t="s">
        <v>12263</v>
      </c>
      <c r="AE674" t="s">
        <v>12264</v>
      </c>
      <c r="AF674" t="s">
        <v>74</v>
      </c>
      <c r="AG674">
        <v>29</v>
      </c>
      <c r="AH674">
        <v>0</v>
      </c>
      <c r="AI674">
        <v>0</v>
      </c>
      <c r="AJ674">
        <v>0</v>
      </c>
      <c r="AK674">
        <v>0</v>
      </c>
      <c r="AL674" t="s">
        <v>12265</v>
      </c>
      <c r="AM674" t="s">
        <v>12266</v>
      </c>
      <c r="AN674" t="s">
        <v>12267</v>
      </c>
      <c r="AO674" t="s">
        <v>12268</v>
      </c>
      <c r="AP674" t="s">
        <v>12269</v>
      </c>
      <c r="AQ674" t="s">
        <v>74</v>
      </c>
      <c r="AR674" t="s">
        <v>12270</v>
      </c>
      <c r="AS674" t="s">
        <v>12271</v>
      </c>
      <c r="AT674" t="s">
        <v>11915</v>
      </c>
      <c r="AU674">
        <v>2023</v>
      </c>
      <c r="AV674">
        <v>205</v>
      </c>
      <c r="AW674" t="s">
        <v>74</v>
      </c>
      <c r="AX674" t="s">
        <v>74</v>
      </c>
      <c r="AY674" t="s">
        <v>74</v>
      </c>
      <c r="AZ674" t="s">
        <v>74</v>
      </c>
      <c r="BA674" t="s">
        <v>74</v>
      </c>
      <c r="BB674">
        <v>75</v>
      </c>
      <c r="BC674">
        <v>83</v>
      </c>
      <c r="BD674" t="s">
        <v>74</v>
      </c>
      <c r="BE674" t="s">
        <v>12272</v>
      </c>
      <c r="BF674" t="str">
        <f>HYPERLINK("http://dx.doi.org/10.1016/j.amjcard.2023.07.165","http://dx.doi.org/10.1016/j.amjcard.2023.07.165")</f>
        <v>http://dx.doi.org/10.1016/j.amjcard.2023.07.165</v>
      </c>
      <c r="BG674" t="s">
        <v>74</v>
      </c>
      <c r="BH674" t="s">
        <v>74</v>
      </c>
      <c r="BI674">
        <v>9</v>
      </c>
      <c r="BJ674" t="s">
        <v>8079</v>
      </c>
      <c r="BK674" t="s">
        <v>100</v>
      </c>
      <c r="BL674" t="s">
        <v>8080</v>
      </c>
      <c r="BM674" t="s">
        <v>12273</v>
      </c>
      <c r="BN674">
        <v>37595411</v>
      </c>
      <c r="BO674" t="s">
        <v>295</v>
      </c>
      <c r="BP674" t="s">
        <v>74</v>
      </c>
      <c r="BQ674" t="s">
        <v>74</v>
      </c>
      <c r="BR674" t="s">
        <v>104</v>
      </c>
      <c r="BS674" t="s">
        <v>12274</v>
      </c>
      <c r="BT674" t="str">
        <f>HYPERLINK("https%3A%2F%2Fwww.webofscience.com%2Fwos%2Fwoscc%2Ffull-record%2FWOS:001062339300001","View Full Record in Web of Science")</f>
        <v>View Full Record in Web of Science</v>
      </c>
    </row>
    <row r="675" spans="1:72" x14ac:dyDescent="0.15">
      <c r="A675" t="s">
        <v>72</v>
      </c>
      <c r="B675" t="s">
        <v>12275</v>
      </c>
      <c r="C675" t="s">
        <v>74</v>
      </c>
      <c r="D675" t="s">
        <v>74</v>
      </c>
      <c r="E675" t="s">
        <v>74</v>
      </c>
      <c r="F675" t="s">
        <v>12276</v>
      </c>
      <c r="G675" t="s">
        <v>74</v>
      </c>
      <c r="H675" t="s">
        <v>74</v>
      </c>
      <c r="I675" t="s">
        <v>12277</v>
      </c>
      <c r="J675" t="s">
        <v>12278</v>
      </c>
      <c r="K675" t="s">
        <v>74</v>
      </c>
      <c r="L675" t="s">
        <v>74</v>
      </c>
      <c r="M675" t="s">
        <v>78</v>
      </c>
      <c r="N675" t="s">
        <v>79</v>
      </c>
      <c r="O675" t="s">
        <v>74</v>
      </c>
      <c r="P675" t="s">
        <v>74</v>
      </c>
      <c r="Q675" t="s">
        <v>74</v>
      </c>
      <c r="R675" t="s">
        <v>74</v>
      </c>
      <c r="S675" t="s">
        <v>74</v>
      </c>
      <c r="T675" t="s">
        <v>12279</v>
      </c>
      <c r="U675" t="s">
        <v>12280</v>
      </c>
      <c r="V675" t="s">
        <v>12281</v>
      </c>
      <c r="W675" t="s">
        <v>12282</v>
      </c>
      <c r="X675" t="s">
        <v>12283</v>
      </c>
      <c r="Y675" t="s">
        <v>12284</v>
      </c>
      <c r="Z675" t="s">
        <v>12285</v>
      </c>
      <c r="AA675" t="s">
        <v>74</v>
      </c>
      <c r="AB675" t="s">
        <v>74</v>
      </c>
      <c r="AC675" t="s">
        <v>74</v>
      </c>
      <c r="AD675" t="s">
        <v>74</v>
      </c>
      <c r="AE675" t="s">
        <v>74</v>
      </c>
      <c r="AF675" t="s">
        <v>74</v>
      </c>
      <c r="AG675">
        <v>104</v>
      </c>
      <c r="AH675">
        <v>0</v>
      </c>
      <c r="AI675">
        <v>0</v>
      </c>
      <c r="AJ675">
        <v>0</v>
      </c>
      <c r="AK675">
        <v>0</v>
      </c>
      <c r="AL675" t="s">
        <v>90</v>
      </c>
      <c r="AM675" t="s">
        <v>91</v>
      </c>
      <c r="AN675" t="s">
        <v>92</v>
      </c>
      <c r="AO675" t="s">
        <v>12286</v>
      </c>
      <c r="AP675" t="s">
        <v>12287</v>
      </c>
      <c r="AQ675" t="s">
        <v>74</v>
      </c>
      <c r="AR675" t="s">
        <v>12288</v>
      </c>
      <c r="AS675" t="s">
        <v>12289</v>
      </c>
      <c r="AT675" t="s">
        <v>11915</v>
      </c>
      <c r="AU675">
        <v>2023</v>
      </c>
      <c r="AV675">
        <v>546</v>
      </c>
      <c r="AW675" t="s">
        <v>74</v>
      </c>
      <c r="AX675" t="s">
        <v>74</v>
      </c>
      <c r="AY675" t="s">
        <v>74</v>
      </c>
      <c r="AZ675" t="s">
        <v>74</v>
      </c>
      <c r="BA675" t="s">
        <v>74</v>
      </c>
      <c r="BB675" t="s">
        <v>74</v>
      </c>
      <c r="BC675" t="s">
        <v>74</v>
      </c>
      <c r="BD675">
        <v>121350</v>
      </c>
      <c r="BE675" t="s">
        <v>12290</v>
      </c>
      <c r="BF675" t="str">
        <f>HYPERLINK("http://dx.doi.org/10.1016/j.foreco.2023.121350","http://dx.doi.org/10.1016/j.foreco.2023.121350")</f>
        <v>http://dx.doi.org/10.1016/j.foreco.2023.121350</v>
      </c>
      <c r="BG675" t="s">
        <v>74</v>
      </c>
      <c r="BH675" t="s">
        <v>74</v>
      </c>
      <c r="BI675">
        <v>11</v>
      </c>
      <c r="BJ675" t="s">
        <v>12291</v>
      </c>
      <c r="BK675" t="s">
        <v>100</v>
      </c>
      <c r="BL675" t="s">
        <v>12291</v>
      </c>
      <c r="BM675" t="s">
        <v>12292</v>
      </c>
      <c r="BN675" t="s">
        <v>74</v>
      </c>
      <c r="BO675" t="s">
        <v>74</v>
      </c>
      <c r="BP675" t="s">
        <v>74</v>
      </c>
      <c r="BQ675" t="s">
        <v>74</v>
      </c>
      <c r="BR675" t="s">
        <v>104</v>
      </c>
      <c r="BS675" t="s">
        <v>12293</v>
      </c>
      <c r="BT675" t="str">
        <f>HYPERLINK("https%3A%2F%2Fwww.webofscience.com%2Fwos%2Fwoscc%2Ffull-record%2FWOS:001067072300001","View Full Record in Web of Science")</f>
        <v>View Full Record in Web of Science</v>
      </c>
    </row>
    <row r="676" spans="1:72" x14ac:dyDescent="0.15">
      <c r="A676" t="s">
        <v>72</v>
      </c>
      <c r="B676" t="s">
        <v>12294</v>
      </c>
      <c r="C676" t="s">
        <v>74</v>
      </c>
      <c r="D676" t="s">
        <v>74</v>
      </c>
      <c r="E676" t="s">
        <v>74</v>
      </c>
      <c r="F676" t="s">
        <v>12295</v>
      </c>
      <c r="G676" t="s">
        <v>74</v>
      </c>
      <c r="H676" t="s">
        <v>74</v>
      </c>
      <c r="I676" t="s">
        <v>12296</v>
      </c>
      <c r="J676" t="s">
        <v>6645</v>
      </c>
      <c r="K676" t="s">
        <v>74</v>
      </c>
      <c r="L676" t="s">
        <v>74</v>
      </c>
      <c r="M676" t="s">
        <v>78</v>
      </c>
      <c r="N676" t="s">
        <v>79</v>
      </c>
      <c r="O676" t="s">
        <v>74</v>
      </c>
      <c r="P676" t="s">
        <v>74</v>
      </c>
      <c r="Q676" t="s">
        <v>74</v>
      </c>
      <c r="R676" t="s">
        <v>74</v>
      </c>
      <c r="S676" t="s">
        <v>74</v>
      </c>
      <c r="T676" t="s">
        <v>12297</v>
      </c>
      <c r="U676" t="s">
        <v>74</v>
      </c>
      <c r="V676" t="s">
        <v>12298</v>
      </c>
      <c r="W676" t="s">
        <v>12299</v>
      </c>
      <c r="X676" t="s">
        <v>12300</v>
      </c>
      <c r="Y676" t="s">
        <v>12301</v>
      </c>
      <c r="Z676" t="s">
        <v>12302</v>
      </c>
      <c r="AA676" t="s">
        <v>12303</v>
      </c>
      <c r="AB676" t="s">
        <v>12304</v>
      </c>
      <c r="AC676" t="s">
        <v>74</v>
      </c>
      <c r="AD676" t="s">
        <v>74</v>
      </c>
      <c r="AE676" t="s">
        <v>74</v>
      </c>
      <c r="AF676" t="s">
        <v>74</v>
      </c>
      <c r="AG676">
        <v>45</v>
      </c>
      <c r="AH676">
        <v>0</v>
      </c>
      <c r="AI676">
        <v>0</v>
      </c>
      <c r="AJ676">
        <v>3</v>
      </c>
      <c r="AK676">
        <v>3</v>
      </c>
      <c r="AL676" t="s">
        <v>90</v>
      </c>
      <c r="AM676" t="s">
        <v>91</v>
      </c>
      <c r="AN676" t="s">
        <v>92</v>
      </c>
      <c r="AO676" t="s">
        <v>74</v>
      </c>
      <c r="AP676" t="s">
        <v>6656</v>
      </c>
      <c r="AQ676" t="s">
        <v>74</v>
      </c>
      <c r="AR676" t="s">
        <v>6657</v>
      </c>
      <c r="AS676" t="s">
        <v>6658</v>
      </c>
      <c r="AT676" t="s">
        <v>11915</v>
      </c>
      <c r="AU676">
        <v>2023</v>
      </c>
      <c r="AV676">
        <v>77</v>
      </c>
      <c r="AW676" t="s">
        <v>74</v>
      </c>
      <c r="AX676" t="s">
        <v>74</v>
      </c>
      <c r="AY676" t="s">
        <v>74</v>
      </c>
      <c r="AZ676" t="s">
        <v>74</v>
      </c>
      <c r="BA676" t="s">
        <v>74</v>
      </c>
      <c r="BB676" t="s">
        <v>74</v>
      </c>
      <c r="BC676" t="s">
        <v>74</v>
      </c>
      <c r="BD676">
        <v>107430</v>
      </c>
      <c r="BE676" t="s">
        <v>12305</v>
      </c>
      <c r="BF676" t="str">
        <f>HYPERLINK("http://dx.doi.org/10.1016/j.jobe.2023.107430","http://dx.doi.org/10.1016/j.jobe.2023.107430")</f>
        <v>http://dx.doi.org/10.1016/j.jobe.2023.107430</v>
      </c>
      <c r="BG676" t="s">
        <v>74</v>
      </c>
      <c r="BH676" t="s">
        <v>74</v>
      </c>
      <c r="BI676">
        <v>17</v>
      </c>
      <c r="BJ676" t="s">
        <v>3898</v>
      </c>
      <c r="BK676" t="s">
        <v>100</v>
      </c>
      <c r="BL676" t="s">
        <v>3899</v>
      </c>
      <c r="BM676" t="s">
        <v>12306</v>
      </c>
      <c r="BN676" t="s">
        <v>74</v>
      </c>
      <c r="BO676" t="s">
        <v>74</v>
      </c>
      <c r="BP676" t="s">
        <v>74</v>
      </c>
      <c r="BQ676" t="s">
        <v>74</v>
      </c>
      <c r="BR676" t="s">
        <v>104</v>
      </c>
      <c r="BS676" t="s">
        <v>12307</v>
      </c>
      <c r="BT676" t="str">
        <f>HYPERLINK("https%3A%2F%2Fwww.webofscience.com%2Fwos%2Fwoscc%2Ffull-record%2FWOS:001050218900001","View Full Record in Web of Science")</f>
        <v>View Full Record in Web of Science</v>
      </c>
    </row>
    <row r="677" spans="1:72" x14ac:dyDescent="0.15">
      <c r="A677" t="s">
        <v>72</v>
      </c>
      <c r="B677" t="s">
        <v>12308</v>
      </c>
      <c r="C677" t="s">
        <v>74</v>
      </c>
      <c r="D677" t="s">
        <v>74</v>
      </c>
      <c r="E677" t="s">
        <v>74</v>
      </c>
      <c r="F677" t="s">
        <v>12309</v>
      </c>
      <c r="G677" t="s">
        <v>74</v>
      </c>
      <c r="H677" t="s">
        <v>74</v>
      </c>
      <c r="I677" t="s">
        <v>12310</v>
      </c>
      <c r="J677" t="s">
        <v>12311</v>
      </c>
      <c r="K677" t="s">
        <v>74</v>
      </c>
      <c r="L677" t="s">
        <v>74</v>
      </c>
      <c r="M677" t="s">
        <v>78</v>
      </c>
      <c r="N677" t="s">
        <v>79</v>
      </c>
      <c r="O677" t="s">
        <v>74</v>
      </c>
      <c r="P677" t="s">
        <v>74</v>
      </c>
      <c r="Q677" t="s">
        <v>74</v>
      </c>
      <c r="R677" t="s">
        <v>74</v>
      </c>
      <c r="S677" t="s">
        <v>74</v>
      </c>
      <c r="T677" t="s">
        <v>12312</v>
      </c>
      <c r="U677" t="s">
        <v>12313</v>
      </c>
      <c r="V677" t="s">
        <v>12314</v>
      </c>
      <c r="W677" t="s">
        <v>12315</v>
      </c>
      <c r="X677" t="s">
        <v>12316</v>
      </c>
      <c r="Y677" t="s">
        <v>12317</v>
      </c>
      <c r="Z677" t="s">
        <v>12318</v>
      </c>
      <c r="AA677" t="s">
        <v>12319</v>
      </c>
      <c r="AB677" t="s">
        <v>12320</v>
      </c>
      <c r="AC677" t="s">
        <v>12321</v>
      </c>
      <c r="AD677" t="s">
        <v>12322</v>
      </c>
      <c r="AE677" t="s">
        <v>12323</v>
      </c>
      <c r="AF677" t="s">
        <v>74</v>
      </c>
      <c r="AG677">
        <v>39</v>
      </c>
      <c r="AH677">
        <v>0</v>
      </c>
      <c r="AI677">
        <v>0</v>
      </c>
      <c r="AJ677">
        <v>5</v>
      </c>
      <c r="AK677">
        <v>5</v>
      </c>
      <c r="AL677" t="s">
        <v>173</v>
      </c>
      <c r="AM677" t="s">
        <v>121</v>
      </c>
      <c r="AN677" t="s">
        <v>174</v>
      </c>
      <c r="AO677" t="s">
        <v>12324</v>
      </c>
      <c r="AP677" t="s">
        <v>12325</v>
      </c>
      <c r="AQ677" t="s">
        <v>74</v>
      </c>
      <c r="AR677" t="s">
        <v>12326</v>
      </c>
      <c r="AS677" t="s">
        <v>12327</v>
      </c>
      <c r="AT677" t="s">
        <v>11915</v>
      </c>
      <c r="AU677">
        <v>2023</v>
      </c>
      <c r="AV677">
        <v>286</v>
      </c>
      <c r="AW677" t="s">
        <v>74</v>
      </c>
      <c r="AX677">
        <v>1</v>
      </c>
      <c r="AY677" t="s">
        <v>74</v>
      </c>
      <c r="AZ677" t="s">
        <v>74</v>
      </c>
      <c r="BA677" t="s">
        <v>74</v>
      </c>
      <c r="BB677" t="s">
        <v>74</v>
      </c>
      <c r="BC677" t="s">
        <v>74</v>
      </c>
      <c r="BD677">
        <v>115483</v>
      </c>
      <c r="BE677" t="s">
        <v>12328</v>
      </c>
      <c r="BF677" t="str">
        <f>HYPERLINK("http://dx.doi.org/10.1016/j.oceaneng.2023.115483","http://dx.doi.org/10.1016/j.oceaneng.2023.115483")</f>
        <v>http://dx.doi.org/10.1016/j.oceaneng.2023.115483</v>
      </c>
      <c r="BG677" t="s">
        <v>74</v>
      </c>
      <c r="BH677" t="s">
        <v>74</v>
      </c>
      <c r="BI677">
        <v>16</v>
      </c>
      <c r="BJ677" t="s">
        <v>12329</v>
      </c>
      <c r="BK677" t="s">
        <v>100</v>
      </c>
      <c r="BL677" t="s">
        <v>12330</v>
      </c>
      <c r="BM677" t="s">
        <v>12331</v>
      </c>
      <c r="BN677" t="s">
        <v>74</v>
      </c>
      <c r="BO677" t="s">
        <v>74</v>
      </c>
      <c r="BP677" t="s">
        <v>74</v>
      </c>
      <c r="BQ677" t="s">
        <v>74</v>
      </c>
      <c r="BR677" t="s">
        <v>104</v>
      </c>
      <c r="BS677" t="s">
        <v>12332</v>
      </c>
      <c r="BT677" t="str">
        <f>HYPERLINK("https%3A%2F%2Fwww.webofscience.com%2Fwos%2Fwoscc%2Ffull-record%2FWOS:001053066600001","View Full Record in Web of Science")</f>
        <v>View Full Record in Web of Science</v>
      </c>
    </row>
    <row r="678" spans="1:72" x14ac:dyDescent="0.15">
      <c r="A678" t="s">
        <v>72</v>
      </c>
      <c r="B678" t="s">
        <v>12333</v>
      </c>
      <c r="C678" t="s">
        <v>74</v>
      </c>
      <c r="D678" t="s">
        <v>74</v>
      </c>
      <c r="E678" t="s">
        <v>74</v>
      </c>
      <c r="F678" t="s">
        <v>12334</v>
      </c>
      <c r="G678" t="s">
        <v>74</v>
      </c>
      <c r="H678" t="s">
        <v>74</v>
      </c>
      <c r="I678" t="s">
        <v>12335</v>
      </c>
      <c r="J678" t="s">
        <v>1793</v>
      </c>
      <c r="K678" t="s">
        <v>74</v>
      </c>
      <c r="L678" t="s">
        <v>74</v>
      </c>
      <c r="M678" t="s">
        <v>78</v>
      </c>
      <c r="N678" t="s">
        <v>79</v>
      </c>
      <c r="O678" t="s">
        <v>74</v>
      </c>
      <c r="P678" t="s">
        <v>74</v>
      </c>
      <c r="Q678" t="s">
        <v>74</v>
      </c>
      <c r="R678" t="s">
        <v>74</v>
      </c>
      <c r="S678" t="s">
        <v>74</v>
      </c>
      <c r="T678" t="s">
        <v>12336</v>
      </c>
      <c r="U678" t="s">
        <v>12337</v>
      </c>
      <c r="V678" t="s">
        <v>12338</v>
      </c>
      <c r="W678" t="s">
        <v>12339</v>
      </c>
      <c r="X678" t="s">
        <v>12340</v>
      </c>
      <c r="Y678" t="s">
        <v>12341</v>
      </c>
      <c r="Z678" t="s">
        <v>12342</v>
      </c>
      <c r="AA678" t="s">
        <v>74</v>
      </c>
      <c r="AB678" t="s">
        <v>74</v>
      </c>
      <c r="AC678" t="s">
        <v>12343</v>
      </c>
      <c r="AD678" t="s">
        <v>12344</v>
      </c>
      <c r="AE678" t="s">
        <v>12345</v>
      </c>
      <c r="AF678" t="s">
        <v>74</v>
      </c>
      <c r="AG678">
        <v>62</v>
      </c>
      <c r="AH678">
        <v>0</v>
      </c>
      <c r="AI678">
        <v>0</v>
      </c>
      <c r="AJ678">
        <v>15</v>
      </c>
      <c r="AK678">
        <v>15</v>
      </c>
      <c r="AL678" t="s">
        <v>173</v>
      </c>
      <c r="AM678" t="s">
        <v>121</v>
      </c>
      <c r="AN678" t="s">
        <v>174</v>
      </c>
      <c r="AO678" t="s">
        <v>1805</v>
      </c>
      <c r="AP678" t="s">
        <v>1806</v>
      </c>
      <c r="AQ678" t="s">
        <v>74</v>
      </c>
      <c r="AR678" t="s">
        <v>1807</v>
      </c>
      <c r="AS678" t="s">
        <v>1808</v>
      </c>
      <c r="AT678" t="s">
        <v>11915</v>
      </c>
      <c r="AU678">
        <v>2023</v>
      </c>
      <c r="AV678">
        <v>299</v>
      </c>
      <c r="AW678" t="s">
        <v>74</v>
      </c>
      <c r="AX678" t="s">
        <v>74</v>
      </c>
      <c r="AY678" t="s">
        <v>74</v>
      </c>
      <c r="AZ678" t="s">
        <v>74</v>
      </c>
      <c r="BA678" t="s">
        <v>74</v>
      </c>
      <c r="BB678" t="s">
        <v>74</v>
      </c>
      <c r="BC678" t="s">
        <v>74</v>
      </c>
      <c r="BD678">
        <v>122818</v>
      </c>
      <c r="BE678" t="s">
        <v>12346</v>
      </c>
      <c r="BF678" t="str">
        <f>HYPERLINK("http://dx.doi.org/10.1016/j.saa.2023.122818","http://dx.doi.org/10.1016/j.saa.2023.122818")</f>
        <v>http://dx.doi.org/10.1016/j.saa.2023.122818</v>
      </c>
      <c r="BG678" t="s">
        <v>74</v>
      </c>
      <c r="BH678" t="s">
        <v>74</v>
      </c>
      <c r="BI678">
        <v>9</v>
      </c>
      <c r="BJ678" t="s">
        <v>1810</v>
      </c>
      <c r="BK678" t="s">
        <v>100</v>
      </c>
      <c r="BL678" t="s">
        <v>1810</v>
      </c>
      <c r="BM678" t="s">
        <v>12347</v>
      </c>
      <c r="BN678">
        <v>37167742</v>
      </c>
      <c r="BO678" t="s">
        <v>74</v>
      </c>
      <c r="BP678" t="s">
        <v>74</v>
      </c>
      <c r="BQ678" t="s">
        <v>74</v>
      </c>
      <c r="BR678" t="s">
        <v>104</v>
      </c>
      <c r="BS678" t="s">
        <v>12348</v>
      </c>
      <c r="BT678" t="str">
        <f>HYPERLINK("https%3A%2F%2Fwww.webofscience.com%2Fwos%2Fwoscc%2Ffull-record%2FWOS:001053096200001","View Full Record in Web of Science")</f>
        <v>View Full Record in Web of Science</v>
      </c>
    </row>
    <row r="679" spans="1:72" x14ac:dyDescent="0.15">
      <c r="A679" t="s">
        <v>72</v>
      </c>
      <c r="B679" t="s">
        <v>12349</v>
      </c>
      <c r="C679" t="s">
        <v>74</v>
      </c>
      <c r="D679" t="s">
        <v>74</v>
      </c>
      <c r="E679" t="s">
        <v>74</v>
      </c>
      <c r="F679" t="s">
        <v>12350</v>
      </c>
      <c r="G679" t="s">
        <v>74</v>
      </c>
      <c r="H679" t="s">
        <v>74</v>
      </c>
      <c r="I679" t="s">
        <v>12351</v>
      </c>
      <c r="J679" t="s">
        <v>12137</v>
      </c>
      <c r="K679" t="s">
        <v>74</v>
      </c>
      <c r="L679" t="s">
        <v>74</v>
      </c>
      <c r="M679" t="s">
        <v>78</v>
      </c>
      <c r="N679" t="s">
        <v>79</v>
      </c>
      <c r="O679" t="s">
        <v>74</v>
      </c>
      <c r="P679" t="s">
        <v>74</v>
      </c>
      <c r="Q679" t="s">
        <v>74</v>
      </c>
      <c r="R679" t="s">
        <v>74</v>
      </c>
      <c r="S679" t="s">
        <v>74</v>
      </c>
      <c r="T679" t="s">
        <v>12352</v>
      </c>
      <c r="U679" t="s">
        <v>12353</v>
      </c>
      <c r="V679" t="s">
        <v>12354</v>
      </c>
      <c r="W679" t="s">
        <v>12355</v>
      </c>
      <c r="X679" t="s">
        <v>11789</v>
      </c>
      <c r="Y679" t="s">
        <v>12356</v>
      </c>
      <c r="Z679" t="s">
        <v>12357</v>
      </c>
      <c r="AA679" t="s">
        <v>74</v>
      </c>
      <c r="AB679" t="s">
        <v>74</v>
      </c>
      <c r="AC679" t="s">
        <v>12358</v>
      </c>
      <c r="AD679" t="s">
        <v>12359</v>
      </c>
      <c r="AE679" t="s">
        <v>12360</v>
      </c>
      <c r="AF679" t="s">
        <v>74</v>
      </c>
      <c r="AG679">
        <v>73</v>
      </c>
      <c r="AH679">
        <v>0</v>
      </c>
      <c r="AI679">
        <v>0</v>
      </c>
      <c r="AJ679">
        <v>8</v>
      </c>
      <c r="AK679">
        <v>8</v>
      </c>
      <c r="AL679" t="s">
        <v>120</v>
      </c>
      <c r="AM679" t="s">
        <v>121</v>
      </c>
      <c r="AN679" t="s">
        <v>122</v>
      </c>
      <c r="AO679" t="s">
        <v>12147</v>
      </c>
      <c r="AP679" t="s">
        <v>12148</v>
      </c>
      <c r="AQ679" t="s">
        <v>74</v>
      </c>
      <c r="AR679" t="s">
        <v>12149</v>
      </c>
      <c r="AS679" t="s">
        <v>12150</v>
      </c>
      <c r="AT679" t="s">
        <v>11915</v>
      </c>
      <c r="AU679">
        <v>2023</v>
      </c>
      <c r="AV679">
        <v>335</v>
      </c>
      <c r="AW679" t="s">
        <v>74</v>
      </c>
      <c r="AX679" t="s">
        <v>74</v>
      </c>
      <c r="AY679" t="s">
        <v>74</v>
      </c>
      <c r="AZ679" t="s">
        <v>74</v>
      </c>
      <c r="BA679" t="s">
        <v>74</v>
      </c>
      <c r="BB679" t="s">
        <v>74</v>
      </c>
      <c r="BC679" t="s">
        <v>74</v>
      </c>
      <c r="BD679">
        <v>122273</v>
      </c>
      <c r="BE679" t="s">
        <v>12361</v>
      </c>
      <c r="BF679" t="str">
        <f>HYPERLINK("http://dx.doi.org/10.1016/j.envpol.2023.122273","http://dx.doi.org/10.1016/j.envpol.2023.122273")</f>
        <v>http://dx.doi.org/10.1016/j.envpol.2023.122273</v>
      </c>
      <c r="BG679" t="s">
        <v>74</v>
      </c>
      <c r="BH679" t="s">
        <v>74</v>
      </c>
      <c r="BI679">
        <v>12</v>
      </c>
      <c r="BJ679" t="s">
        <v>1539</v>
      </c>
      <c r="BK679" t="s">
        <v>100</v>
      </c>
      <c r="BL679" t="s">
        <v>1540</v>
      </c>
      <c r="BM679" t="s">
        <v>12362</v>
      </c>
      <c r="BN679">
        <v>37506800</v>
      </c>
      <c r="BO679" t="s">
        <v>74</v>
      </c>
      <c r="BP679" t="s">
        <v>74</v>
      </c>
      <c r="BQ679" t="s">
        <v>74</v>
      </c>
      <c r="BR679" t="s">
        <v>104</v>
      </c>
      <c r="BS679" t="s">
        <v>12363</v>
      </c>
      <c r="BT679" t="str">
        <f>HYPERLINK("https%3A%2F%2Fwww.webofscience.com%2Fwos%2Fwoscc%2Ffull-record%2FWOS:001051646600001","View Full Record in Web of Science")</f>
        <v>View Full Record in Web of Science</v>
      </c>
    </row>
    <row r="680" spans="1:72" x14ac:dyDescent="0.15">
      <c r="A680" t="s">
        <v>72</v>
      </c>
      <c r="B680" t="s">
        <v>12364</v>
      </c>
      <c r="C680" t="s">
        <v>74</v>
      </c>
      <c r="D680" t="s">
        <v>74</v>
      </c>
      <c r="E680" t="s">
        <v>74</v>
      </c>
      <c r="F680" t="s">
        <v>12365</v>
      </c>
      <c r="G680" t="s">
        <v>74</v>
      </c>
      <c r="H680" t="s">
        <v>74</v>
      </c>
      <c r="I680" t="s">
        <v>12366</v>
      </c>
      <c r="J680" t="s">
        <v>6645</v>
      </c>
      <c r="K680" t="s">
        <v>74</v>
      </c>
      <c r="L680" t="s">
        <v>74</v>
      </c>
      <c r="M680" t="s">
        <v>78</v>
      </c>
      <c r="N680" t="s">
        <v>79</v>
      </c>
      <c r="O680" t="s">
        <v>74</v>
      </c>
      <c r="P680" t="s">
        <v>74</v>
      </c>
      <c r="Q680" t="s">
        <v>74</v>
      </c>
      <c r="R680" t="s">
        <v>74</v>
      </c>
      <c r="S680" t="s">
        <v>74</v>
      </c>
      <c r="T680" t="s">
        <v>12367</v>
      </c>
      <c r="U680" t="s">
        <v>12368</v>
      </c>
      <c r="V680" t="s">
        <v>12369</v>
      </c>
      <c r="W680" t="s">
        <v>12370</v>
      </c>
      <c r="X680" t="s">
        <v>12371</v>
      </c>
      <c r="Y680" t="s">
        <v>12372</v>
      </c>
      <c r="Z680" t="s">
        <v>12373</v>
      </c>
      <c r="AA680" t="s">
        <v>74</v>
      </c>
      <c r="AB680" t="s">
        <v>12374</v>
      </c>
      <c r="AC680" t="s">
        <v>74</v>
      </c>
      <c r="AD680" t="s">
        <v>74</v>
      </c>
      <c r="AE680" t="s">
        <v>74</v>
      </c>
      <c r="AF680" t="s">
        <v>74</v>
      </c>
      <c r="AG680">
        <v>23</v>
      </c>
      <c r="AH680">
        <v>0</v>
      </c>
      <c r="AI680">
        <v>0</v>
      </c>
      <c r="AJ680">
        <v>0</v>
      </c>
      <c r="AK680">
        <v>0</v>
      </c>
      <c r="AL680" t="s">
        <v>90</v>
      </c>
      <c r="AM680" t="s">
        <v>91</v>
      </c>
      <c r="AN680" t="s">
        <v>92</v>
      </c>
      <c r="AO680" t="s">
        <v>74</v>
      </c>
      <c r="AP680" t="s">
        <v>6656</v>
      </c>
      <c r="AQ680" t="s">
        <v>74</v>
      </c>
      <c r="AR680" t="s">
        <v>6657</v>
      </c>
      <c r="AS680" t="s">
        <v>6658</v>
      </c>
      <c r="AT680" t="s">
        <v>11915</v>
      </c>
      <c r="AU680">
        <v>2023</v>
      </c>
      <c r="AV680">
        <v>77</v>
      </c>
      <c r="AW680" t="s">
        <v>74</v>
      </c>
      <c r="AX680" t="s">
        <v>74</v>
      </c>
      <c r="AY680" t="s">
        <v>74</v>
      </c>
      <c r="AZ680" t="s">
        <v>74</v>
      </c>
      <c r="BA680" t="s">
        <v>74</v>
      </c>
      <c r="BB680" t="s">
        <v>74</v>
      </c>
      <c r="BC680" t="s">
        <v>74</v>
      </c>
      <c r="BD680">
        <v>107506</v>
      </c>
      <c r="BE680" t="s">
        <v>12375</v>
      </c>
      <c r="BF680" t="str">
        <f>HYPERLINK("http://dx.doi.org/10.1016/j.jobe.2023.107506","http://dx.doi.org/10.1016/j.jobe.2023.107506")</f>
        <v>http://dx.doi.org/10.1016/j.jobe.2023.107506</v>
      </c>
      <c r="BG680" t="s">
        <v>74</v>
      </c>
      <c r="BH680" t="s">
        <v>74</v>
      </c>
      <c r="BI680">
        <v>13</v>
      </c>
      <c r="BJ680" t="s">
        <v>3898</v>
      </c>
      <c r="BK680" t="s">
        <v>100</v>
      </c>
      <c r="BL680" t="s">
        <v>3899</v>
      </c>
      <c r="BM680" t="s">
        <v>12376</v>
      </c>
      <c r="BN680" t="s">
        <v>74</v>
      </c>
      <c r="BO680" t="s">
        <v>74</v>
      </c>
      <c r="BP680" t="s">
        <v>74</v>
      </c>
      <c r="BQ680" t="s">
        <v>74</v>
      </c>
      <c r="BR680" t="s">
        <v>104</v>
      </c>
      <c r="BS680" t="s">
        <v>12377</v>
      </c>
      <c r="BT680" t="str">
        <f>HYPERLINK("https%3A%2F%2Fwww.webofscience.com%2Fwos%2Fwoscc%2Ffull-record%2FWOS:001066212000001","View Full Record in Web of Science")</f>
        <v>View Full Record in Web of Science</v>
      </c>
    </row>
    <row r="681" spans="1:72" x14ac:dyDescent="0.15">
      <c r="A681" t="s">
        <v>72</v>
      </c>
      <c r="B681" t="s">
        <v>12378</v>
      </c>
      <c r="C681" t="s">
        <v>74</v>
      </c>
      <c r="D681" t="s">
        <v>74</v>
      </c>
      <c r="E681" t="s">
        <v>74</v>
      </c>
      <c r="F681" t="s">
        <v>12379</v>
      </c>
      <c r="G681" t="s">
        <v>74</v>
      </c>
      <c r="H681" t="s">
        <v>74</v>
      </c>
      <c r="I681" t="s">
        <v>12380</v>
      </c>
      <c r="J681" t="s">
        <v>12198</v>
      </c>
      <c r="K681" t="s">
        <v>74</v>
      </c>
      <c r="L681" t="s">
        <v>74</v>
      </c>
      <c r="M681" t="s">
        <v>78</v>
      </c>
      <c r="N681" t="s">
        <v>79</v>
      </c>
      <c r="O681" t="s">
        <v>74</v>
      </c>
      <c r="P681" t="s">
        <v>74</v>
      </c>
      <c r="Q681" t="s">
        <v>74</v>
      </c>
      <c r="R681" t="s">
        <v>74</v>
      </c>
      <c r="S681" t="s">
        <v>74</v>
      </c>
      <c r="T681" t="s">
        <v>12381</v>
      </c>
      <c r="U681" t="s">
        <v>12382</v>
      </c>
      <c r="V681" t="s">
        <v>12383</v>
      </c>
      <c r="W681" t="s">
        <v>12384</v>
      </c>
      <c r="X681" t="s">
        <v>12385</v>
      </c>
      <c r="Y681" t="s">
        <v>12386</v>
      </c>
      <c r="Z681" t="s">
        <v>12387</v>
      </c>
      <c r="AA681" t="s">
        <v>74</v>
      </c>
      <c r="AB681" t="s">
        <v>74</v>
      </c>
      <c r="AC681" t="s">
        <v>12388</v>
      </c>
      <c r="AD681" t="s">
        <v>12389</v>
      </c>
      <c r="AE681" t="s">
        <v>12390</v>
      </c>
      <c r="AF681" t="s">
        <v>74</v>
      </c>
      <c r="AG681">
        <v>29</v>
      </c>
      <c r="AH681">
        <v>0</v>
      </c>
      <c r="AI681">
        <v>0</v>
      </c>
      <c r="AJ681">
        <v>2</v>
      </c>
      <c r="AK681">
        <v>2</v>
      </c>
      <c r="AL681" t="s">
        <v>554</v>
      </c>
      <c r="AM681" t="s">
        <v>555</v>
      </c>
      <c r="AN681" t="s">
        <v>556</v>
      </c>
      <c r="AO681" t="s">
        <v>12207</v>
      </c>
      <c r="AP681" t="s">
        <v>12208</v>
      </c>
      <c r="AQ681" t="s">
        <v>74</v>
      </c>
      <c r="AR681" t="s">
        <v>12209</v>
      </c>
      <c r="AS681" t="s">
        <v>12210</v>
      </c>
      <c r="AT681" t="s">
        <v>11915</v>
      </c>
      <c r="AU681">
        <v>2023</v>
      </c>
      <c r="AV681">
        <v>201</v>
      </c>
      <c r="AW681" t="s">
        <v>74</v>
      </c>
      <c r="AX681" t="s">
        <v>74</v>
      </c>
      <c r="AY681" t="s">
        <v>74</v>
      </c>
      <c r="AZ681" t="s">
        <v>74</v>
      </c>
      <c r="BA681" t="s">
        <v>74</v>
      </c>
      <c r="BB681" t="s">
        <v>74</v>
      </c>
      <c r="BC681" t="s">
        <v>74</v>
      </c>
      <c r="BD681">
        <v>110649</v>
      </c>
      <c r="BE681" t="s">
        <v>12391</v>
      </c>
      <c r="BF681" t="str">
        <f>HYPERLINK("http://dx.doi.org/10.1016/j.ymssp.2023.110649","http://dx.doi.org/10.1016/j.ymssp.2023.110649")</f>
        <v>http://dx.doi.org/10.1016/j.ymssp.2023.110649</v>
      </c>
      <c r="BG681" t="s">
        <v>74</v>
      </c>
      <c r="BH681" t="s">
        <v>74</v>
      </c>
      <c r="BI681">
        <v>13</v>
      </c>
      <c r="BJ681" t="s">
        <v>7187</v>
      </c>
      <c r="BK681" t="s">
        <v>100</v>
      </c>
      <c r="BL681" t="s">
        <v>873</v>
      </c>
      <c r="BM681" t="s">
        <v>12392</v>
      </c>
      <c r="BN681" t="s">
        <v>74</v>
      </c>
      <c r="BO681" t="s">
        <v>74</v>
      </c>
      <c r="BP681" t="s">
        <v>74</v>
      </c>
      <c r="BQ681" t="s">
        <v>74</v>
      </c>
      <c r="BR681" t="s">
        <v>104</v>
      </c>
      <c r="BS681" t="s">
        <v>12393</v>
      </c>
      <c r="BT681" t="str">
        <f>HYPERLINK("https%3A%2F%2Fwww.webofscience.com%2Fwos%2Fwoscc%2Ffull-record%2FWOS:001063056500001","View Full Record in Web of Science")</f>
        <v>View Full Record in Web of Science</v>
      </c>
    </row>
    <row r="682" spans="1:72" x14ac:dyDescent="0.15">
      <c r="A682" t="s">
        <v>72</v>
      </c>
      <c r="B682" t="s">
        <v>12394</v>
      </c>
      <c r="C682" t="s">
        <v>74</v>
      </c>
      <c r="D682" t="s">
        <v>74</v>
      </c>
      <c r="E682" t="s">
        <v>74</v>
      </c>
      <c r="F682" t="s">
        <v>12395</v>
      </c>
      <c r="G682" t="s">
        <v>74</v>
      </c>
      <c r="H682" t="s">
        <v>74</v>
      </c>
      <c r="I682" t="s">
        <v>12396</v>
      </c>
      <c r="J682" t="s">
        <v>12397</v>
      </c>
      <c r="K682" t="s">
        <v>74</v>
      </c>
      <c r="L682" t="s">
        <v>74</v>
      </c>
      <c r="M682" t="s">
        <v>78</v>
      </c>
      <c r="N682" t="s">
        <v>79</v>
      </c>
      <c r="O682" t="s">
        <v>74</v>
      </c>
      <c r="P682" t="s">
        <v>74</v>
      </c>
      <c r="Q682" t="s">
        <v>74</v>
      </c>
      <c r="R682" t="s">
        <v>74</v>
      </c>
      <c r="S682" t="s">
        <v>74</v>
      </c>
      <c r="T682" t="s">
        <v>12398</v>
      </c>
      <c r="U682" t="s">
        <v>12399</v>
      </c>
      <c r="V682" t="s">
        <v>12400</v>
      </c>
      <c r="W682" t="s">
        <v>12401</v>
      </c>
      <c r="X682" t="s">
        <v>12402</v>
      </c>
      <c r="Y682" t="s">
        <v>12403</v>
      </c>
      <c r="Z682" t="s">
        <v>12404</v>
      </c>
      <c r="AA682" t="s">
        <v>12405</v>
      </c>
      <c r="AB682" t="s">
        <v>12406</v>
      </c>
      <c r="AC682" t="s">
        <v>12407</v>
      </c>
      <c r="AD682" t="s">
        <v>12408</v>
      </c>
      <c r="AE682" t="s">
        <v>12409</v>
      </c>
      <c r="AF682" t="s">
        <v>74</v>
      </c>
      <c r="AG682">
        <v>68</v>
      </c>
      <c r="AH682">
        <v>0</v>
      </c>
      <c r="AI682">
        <v>0</v>
      </c>
      <c r="AJ682">
        <v>20</v>
      </c>
      <c r="AK682">
        <v>20</v>
      </c>
      <c r="AL682" t="s">
        <v>955</v>
      </c>
      <c r="AM682" t="s">
        <v>956</v>
      </c>
      <c r="AN682" t="s">
        <v>957</v>
      </c>
      <c r="AO682" t="s">
        <v>12410</v>
      </c>
      <c r="AP682" t="s">
        <v>12411</v>
      </c>
      <c r="AQ682" t="s">
        <v>74</v>
      </c>
      <c r="AR682" t="s">
        <v>12412</v>
      </c>
      <c r="AS682" t="s">
        <v>12413</v>
      </c>
      <c r="AT682" t="s">
        <v>11915</v>
      </c>
      <c r="AU682">
        <v>2023</v>
      </c>
      <c r="AV682">
        <v>297</v>
      </c>
      <c r="AW682" t="s">
        <v>74</v>
      </c>
      <c r="AX682" t="s">
        <v>74</v>
      </c>
      <c r="AY682" t="s">
        <v>74</v>
      </c>
      <c r="AZ682" t="s">
        <v>74</v>
      </c>
      <c r="BA682" t="s">
        <v>74</v>
      </c>
      <c r="BB682" t="s">
        <v>74</v>
      </c>
      <c r="BC682" t="s">
        <v>74</v>
      </c>
      <c r="BD682">
        <v>113290</v>
      </c>
      <c r="BE682" t="s">
        <v>12414</v>
      </c>
      <c r="BF682" t="str">
        <f>HYPERLINK("http://dx.doi.org/10.1016/j.enbuild.2023.113290","http://dx.doi.org/10.1016/j.enbuild.2023.113290")</f>
        <v>http://dx.doi.org/10.1016/j.enbuild.2023.113290</v>
      </c>
      <c r="BG682" t="s">
        <v>74</v>
      </c>
      <c r="BH682" t="s">
        <v>74</v>
      </c>
      <c r="BI682">
        <v>16</v>
      </c>
      <c r="BJ682" t="s">
        <v>12415</v>
      </c>
      <c r="BK682" t="s">
        <v>100</v>
      </c>
      <c r="BL682" t="s">
        <v>12416</v>
      </c>
      <c r="BM682" t="s">
        <v>12417</v>
      </c>
      <c r="BN682" t="s">
        <v>74</v>
      </c>
      <c r="BO682" t="s">
        <v>74</v>
      </c>
      <c r="BP682" t="s">
        <v>74</v>
      </c>
      <c r="BQ682" t="s">
        <v>74</v>
      </c>
      <c r="BR682" t="s">
        <v>104</v>
      </c>
      <c r="BS682" t="s">
        <v>12418</v>
      </c>
      <c r="BT682" t="str">
        <f>HYPERLINK("https%3A%2F%2Fwww.webofscience.com%2Fwos%2Fwoscc%2Ffull-record%2FWOS:001059226000001","View Full Record in Web of Science")</f>
        <v>View Full Record in Web of Science</v>
      </c>
    </row>
    <row r="683" spans="1:72" x14ac:dyDescent="0.15">
      <c r="A683" t="s">
        <v>72</v>
      </c>
      <c r="B683" t="s">
        <v>12419</v>
      </c>
      <c r="C683" t="s">
        <v>74</v>
      </c>
      <c r="D683" t="s">
        <v>74</v>
      </c>
      <c r="E683" t="s">
        <v>74</v>
      </c>
      <c r="F683" t="s">
        <v>12420</v>
      </c>
      <c r="G683" t="s">
        <v>74</v>
      </c>
      <c r="H683" t="s">
        <v>74</v>
      </c>
      <c r="I683" t="s">
        <v>12421</v>
      </c>
      <c r="J683" t="s">
        <v>12422</v>
      </c>
      <c r="K683" t="s">
        <v>74</v>
      </c>
      <c r="L683" t="s">
        <v>74</v>
      </c>
      <c r="M683" t="s">
        <v>78</v>
      </c>
      <c r="N683" t="s">
        <v>79</v>
      </c>
      <c r="O683" t="s">
        <v>74</v>
      </c>
      <c r="P683" t="s">
        <v>74</v>
      </c>
      <c r="Q683" t="s">
        <v>74</v>
      </c>
      <c r="R683" t="s">
        <v>74</v>
      </c>
      <c r="S683" t="s">
        <v>74</v>
      </c>
      <c r="T683" t="s">
        <v>12423</v>
      </c>
      <c r="U683" t="s">
        <v>12424</v>
      </c>
      <c r="V683" t="s">
        <v>12425</v>
      </c>
      <c r="W683" t="s">
        <v>12426</v>
      </c>
      <c r="X683" t="s">
        <v>12427</v>
      </c>
      <c r="Y683" t="s">
        <v>12428</v>
      </c>
      <c r="Z683" t="s">
        <v>12429</v>
      </c>
      <c r="AA683" t="s">
        <v>12430</v>
      </c>
      <c r="AB683" t="s">
        <v>12431</v>
      </c>
      <c r="AC683" t="s">
        <v>12432</v>
      </c>
      <c r="AD683" t="s">
        <v>12433</v>
      </c>
      <c r="AE683" t="s">
        <v>12434</v>
      </c>
      <c r="AF683" t="s">
        <v>74</v>
      </c>
      <c r="AG683">
        <v>53</v>
      </c>
      <c r="AH683">
        <v>0</v>
      </c>
      <c r="AI683">
        <v>0</v>
      </c>
      <c r="AJ683">
        <v>0</v>
      </c>
      <c r="AK683">
        <v>0</v>
      </c>
      <c r="AL683" t="s">
        <v>173</v>
      </c>
      <c r="AM683" t="s">
        <v>121</v>
      </c>
      <c r="AN683" t="s">
        <v>174</v>
      </c>
      <c r="AO683" t="s">
        <v>12435</v>
      </c>
      <c r="AP683" t="s">
        <v>12436</v>
      </c>
      <c r="AQ683" t="s">
        <v>74</v>
      </c>
      <c r="AR683" t="s">
        <v>12437</v>
      </c>
      <c r="AS683" t="s">
        <v>12438</v>
      </c>
      <c r="AT683" t="s">
        <v>11915</v>
      </c>
      <c r="AU683">
        <v>2023</v>
      </c>
      <c r="AV683">
        <v>264</v>
      </c>
      <c r="AW683" t="s">
        <v>74</v>
      </c>
      <c r="AX683" t="s">
        <v>74</v>
      </c>
      <c r="AY683" t="s">
        <v>74</v>
      </c>
      <c r="AZ683" t="s">
        <v>74</v>
      </c>
      <c r="BA683" t="s">
        <v>74</v>
      </c>
      <c r="BB683" t="s">
        <v>74</v>
      </c>
      <c r="BC683" t="s">
        <v>74</v>
      </c>
      <c r="BD683">
        <v>105962</v>
      </c>
      <c r="BE683" t="s">
        <v>12439</v>
      </c>
      <c r="BF683" t="str">
        <f>HYPERLINK("http://dx.doi.org/10.1016/j.compfluid.2023.105962","http://dx.doi.org/10.1016/j.compfluid.2023.105962")</f>
        <v>http://dx.doi.org/10.1016/j.compfluid.2023.105962</v>
      </c>
      <c r="BG683" t="s">
        <v>74</v>
      </c>
      <c r="BH683" t="s">
        <v>74</v>
      </c>
      <c r="BI683">
        <v>15</v>
      </c>
      <c r="BJ683" t="s">
        <v>12440</v>
      </c>
      <c r="BK683" t="s">
        <v>100</v>
      </c>
      <c r="BL683" t="s">
        <v>12441</v>
      </c>
      <c r="BM683" t="s">
        <v>12442</v>
      </c>
      <c r="BN683" t="s">
        <v>74</v>
      </c>
      <c r="BO683" t="s">
        <v>74</v>
      </c>
      <c r="BP683" t="s">
        <v>74</v>
      </c>
      <c r="BQ683" t="s">
        <v>74</v>
      </c>
      <c r="BR683" t="s">
        <v>104</v>
      </c>
      <c r="BS683" t="s">
        <v>12443</v>
      </c>
      <c r="BT683" t="str">
        <f>HYPERLINK("https%3A%2F%2Fwww.webofscience.com%2Fwos%2Fwoscc%2Ffull-record%2FWOS:001054833400001","View Full Record in Web of Science")</f>
        <v>View Full Record in Web of Science</v>
      </c>
    </row>
    <row r="684" spans="1:72" x14ac:dyDescent="0.15">
      <c r="A684" t="s">
        <v>72</v>
      </c>
      <c r="B684" t="s">
        <v>12444</v>
      </c>
      <c r="C684" t="s">
        <v>74</v>
      </c>
      <c r="D684" t="s">
        <v>74</v>
      </c>
      <c r="E684" t="s">
        <v>74</v>
      </c>
      <c r="F684" t="s">
        <v>12445</v>
      </c>
      <c r="G684" t="s">
        <v>74</v>
      </c>
      <c r="H684" t="s">
        <v>74</v>
      </c>
      <c r="I684" t="s">
        <v>12446</v>
      </c>
      <c r="J684" t="s">
        <v>8042</v>
      </c>
      <c r="K684" t="s">
        <v>74</v>
      </c>
      <c r="L684" t="s">
        <v>74</v>
      </c>
      <c r="M684" t="s">
        <v>78</v>
      </c>
      <c r="N684" t="s">
        <v>79</v>
      </c>
      <c r="O684" t="s">
        <v>74</v>
      </c>
      <c r="P684" t="s">
        <v>74</v>
      </c>
      <c r="Q684" t="s">
        <v>74</v>
      </c>
      <c r="R684" t="s">
        <v>74</v>
      </c>
      <c r="S684" t="s">
        <v>74</v>
      </c>
      <c r="T684" t="s">
        <v>12447</v>
      </c>
      <c r="U684" t="s">
        <v>12448</v>
      </c>
      <c r="V684" t="s">
        <v>12449</v>
      </c>
      <c r="W684" t="s">
        <v>12450</v>
      </c>
      <c r="X684" t="s">
        <v>12451</v>
      </c>
      <c r="Y684" t="s">
        <v>12452</v>
      </c>
      <c r="Z684" t="s">
        <v>12453</v>
      </c>
      <c r="AA684" t="s">
        <v>74</v>
      </c>
      <c r="AB684" t="s">
        <v>74</v>
      </c>
      <c r="AC684" t="s">
        <v>12454</v>
      </c>
      <c r="AD684" t="s">
        <v>12454</v>
      </c>
      <c r="AE684" t="s">
        <v>12455</v>
      </c>
      <c r="AF684" t="s">
        <v>74</v>
      </c>
      <c r="AG684">
        <v>73</v>
      </c>
      <c r="AH684">
        <v>0</v>
      </c>
      <c r="AI684">
        <v>0</v>
      </c>
      <c r="AJ684">
        <v>3</v>
      </c>
      <c r="AK684">
        <v>3</v>
      </c>
      <c r="AL684" t="s">
        <v>90</v>
      </c>
      <c r="AM684" t="s">
        <v>91</v>
      </c>
      <c r="AN684" t="s">
        <v>92</v>
      </c>
      <c r="AO684" t="s">
        <v>8054</v>
      </c>
      <c r="AP684" t="s">
        <v>8055</v>
      </c>
      <c r="AQ684" t="s">
        <v>74</v>
      </c>
      <c r="AR684" t="s">
        <v>8056</v>
      </c>
      <c r="AS684" t="s">
        <v>8057</v>
      </c>
      <c r="AT684" t="s">
        <v>11915</v>
      </c>
      <c r="AU684">
        <v>2023</v>
      </c>
      <c r="AV684">
        <v>339</v>
      </c>
      <c r="AW684" t="s">
        <v>74</v>
      </c>
      <c r="AX684" t="s">
        <v>74</v>
      </c>
      <c r="AY684" t="s">
        <v>74</v>
      </c>
      <c r="AZ684" t="s">
        <v>74</v>
      </c>
      <c r="BA684" t="s">
        <v>74</v>
      </c>
      <c r="BB684">
        <v>127</v>
      </c>
      <c r="BC684">
        <v>135</v>
      </c>
      <c r="BD684" t="s">
        <v>74</v>
      </c>
      <c r="BE684" t="s">
        <v>12456</v>
      </c>
      <c r="BF684" t="str">
        <f>HYPERLINK("http://dx.doi.org/10.1016/j.jad.2023.07.045","http://dx.doi.org/10.1016/j.jad.2023.07.045")</f>
        <v>http://dx.doi.org/10.1016/j.jad.2023.07.045</v>
      </c>
      <c r="BG684" t="s">
        <v>74</v>
      </c>
      <c r="BH684" t="s">
        <v>74</v>
      </c>
      <c r="BI684">
        <v>9</v>
      </c>
      <c r="BJ684" t="s">
        <v>8059</v>
      </c>
      <c r="BK684" t="s">
        <v>666</v>
      </c>
      <c r="BL684" t="s">
        <v>8060</v>
      </c>
      <c r="BM684" t="s">
        <v>12457</v>
      </c>
      <c r="BN684">
        <v>37437718</v>
      </c>
      <c r="BO684" t="s">
        <v>74</v>
      </c>
      <c r="BP684" t="s">
        <v>74</v>
      </c>
      <c r="BQ684" t="s">
        <v>74</v>
      </c>
      <c r="BR684" t="s">
        <v>104</v>
      </c>
      <c r="BS684" t="s">
        <v>12458</v>
      </c>
      <c r="BT684" t="str">
        <f>HYPERLINK("https%3A%2F%2Fwww.webofscience.com%2Fwos%2Fwoscc%2Ffull-record%2FWOS:001048888800001","View Full Record in Web of Science")</f>
        <v>View Full Record in Web of Science</v>
      </c>
    </row>
    <row r="685" spans="1:72" x14ac:dyDescent="0.15">
      <c r="A685" t="s">
        <v>72</v>
      </c>
      <c r="B685" t="s">
        <v>12459</v>
      </c>
      <c r="C685" t="s">
        <v>74</v>
      </c>
      <c r="D685" t="s">
        <v>74</v>
      </c>
      <c r="E685" t="s">
        <v>74</v>
      </c>
      <c r="F685" t="s">
        <v>12460</v>
      </c>
      <c r="G685" t="s">
        <v>74</v>
      </c>
      <c r="H685" t="s">
        <v>74</v>
      </c>
      <c r="I685" t="s">
        <v>12461</v>
      </c>
      <c r="J685" t="s">
        <v>1950</v>
      </c>
      <c r="K685" t="s">
        <v>74</v>
      </c>
      <c r="L685" t="s">
        <v>74</v>
      </c>
      <c r="M685" t="s">
        <v>78</v>
      </c>
      <c r="N685" t="s">
        <v>241</v>
      </c>
      <c r="O685" t="s">
        <v>74</v>
      </c>
      <c r="P685" t="s">
        <v>74</v>
      </c>
      <c r="Q685" t="s">
        <v>74</v>
      </c>
      <c r="R685" t="s">
        <v>74</v>
      </c>
      <c r="S685" t="s">
        <v>74</v>
      </c>
      <c r="T685" t="s">
        <v>12462</v>
      </c>
      <c r="U685" t="s">
        <v>12463</v>
      </c>
      <c r="V685" t="s">
        <v>12464</v>
      </c>
      <c r="W685" t="s">
        <v>12465</v>
      </c>
      <c r="X685" t="s">
        <v>12466</v>
      </c>
      <c r="Y685" t="s">
        <v>12467</v>
      </c>
      <c r="Z685" t="s">
        <v>12468</v>
      </c>
      <c r="AA685" t="s">
        <v>12469</v>
      </c>
      <c r="AB685" t="s">
        <v>12470</v>
      </c>
      <c r="AC685" t="s">
        <v>74</v>
      </c>
      <c r="AD685" t="s">
        <v>74</v>
      </c>
      <c r="AE685" t="s">
        <v>74</v>
      </c>
      <c r="AF685" t="s">
        <v>74</v>
      </c>
      <c r="AG685">
        <v>147</v>
      </c>
      <c r="AH685">
        <v>0</v>
      </c>
      <c r="AI685">
        <v>0</v>
      </c>
      <c r="AJ685">
        <v>2</v>
      </c>
      <c r="AK685">
        <v>2</v>
      </c>
      <c r="AL685" t="s">
        <v>173</v>
      </c>
      <c r="AM685" t="s">
        <v>121</v>
      </c>
      <c r="AN685" t="s">
        <v>174</v>
      </c>
      <c r="AO685" t="s">
        <v>1963</v>
      </c>
      <c r="AP685" t="s">
        <v>1964</v>
      </c>
      <c r="AQ685" t="s">
        <v>74</v>
      </c>
      <c r="AR685" t="s">
        <v>1950</v>
      </c>
      <c r="AS685" t="s">
        <v>1965</v>
      </c>
      <c r="AT685" t="s">
        <v>11915</v>
      </c>
      <c r="AU685">
        <v>2023</v>
      </c>
      <c r="AV685">
        <v>281</v>
      </c>
      <c r="AW685" t="s">
        <v>74</v>
      </c>
      <c r="AX685" t="s">
        <v>74</v>
      </c>
      <c r="AY685" t="s">
        <v>74</v>
      </c>
      <c r="AZ685" t="s">
        <v>74</v>
      </c>
      <c r="BA685" t="s">
        <v>74</v>
      </c>
      <c r="BB685" t="s">
        <v>74</v>
      </c>
      <c r="BC685" t="s">
        <v>74</v>
      </c>
      <c r="BD685">
        <v>128263</v>
      </c>
      <c r="BE685" t="s">
        <v>12471</v>
      </c>
      <c r="BF685" t="str">
        <f>HYPERLINK("http://dx.doi.org/10.1016/j.energy.2023.128263","http://dx.doi.org/10.1016/j.energy.2023.128263")</f>
        <v>http://dx.doi.org/10.1016/j.energy.2023.128263</v>
      </c>
      <c r="BG685" t="s">
        <v>74</v>
      </c>
      <c r="BH685" t="s">
        <v>74</v>
      </c>
      <c r="BI685">
        <v>25</v>
      </c>
      <c r="BJ685" t="s">
        <v>1967</v>
      </c>
      <c r="BK685" t="s">
        <v>100</v>
      </c>
      <c r="BL685" t="s">
        <v>1967</v>
      </c>
      <c r="BM685" t="s">
        <v>12472</v>
      </c>
      <c r="BN685" t="s">
        <v>74</v>
      </c>
      <c r="BO685" t="s">
        <v>295</v>
      </c>
      <c r="BP685" t="s">
        <v>74</v>
      </c>
      <c r="BQ685" t="s">
        <v>74</v>
      </c>
      <c r="BR685" t="s">
        <v>104</v>
      </c>
      <c r="BS685" t="s">
        <v>12473</v>
      </c>
      <c r="BT685" t="str">
        <f>HYPERLINK("https%3A%2F%2Fwww.webofscience.com%2Fwos%2Fwoscc%2Ffull-record%2FWOS:001043824900001","View Full Record in Web of Science")</f>
        <v>View Full Record in Web of Science</v>
      </c>
    </row>
    <row r="686" spans="1:72" x14ac:dyDescent="0.15">
      <c r="A686" t="s">
        <v>72</v>
      </c>
      <c r="B686" t="s">
        <v>12474</v>
      </c>
      <c r="C686" t="s">
        <v>74</v>
      </c>
      <c r="D686" t="s">
        <v>74</v>
      </c>
      <c r="E686" t="s">
        <v>74</v>
      </c>
      <c r="F686" t="s">
        <v>12475</v>
      </c>
      <c r="G686" t="s">
        <v>74</v>
      </c>
      <c r="H686" t="s">
        <v>74</v>
      </c>
      <c r="I686" t="s">
        <v>12476</v>
      </c>
      <c r="J686" t="s">
        <v>11455</v>
      </c>
      <c r="K686" t="s">
        <v>74</v>
      </c>
      <c r="L686" t="s">
        <v>74</v>
      </c>
      <c r="M686" t="s">
        <v>78</v>
      </c>
      <c r="N686" t="s">
        <v>79</v>
      </c>
      <c r="O686" t="s">
        <v>74</v>
      </c>
      <c r="P686" t="s">
        <v>74</v>
      </c>
      <c r="Q686" t="s">
        <v>74</v>
      </c>
      <c r="R686" t="s">
        <v>74</v>
      </c>
      <c r="S686" t="s">
        <v>74</v>
      </c>
      <c r="T686" t="s">
        <v>12477</v>
      </c>
      <c r="U686" t="s">
        <v>12478</v>
      </c>
      <c r="V686" t="s">
        <v>12479</v>
      </c>
      <c r="W686" t="s">
        <v>12480</v>
      </c>
      <c r="X686" t="s">
        <v>12481</v>
      </c>
      <c r="Y686" t="s">
        <v>12482</v>
      </c>
      <c r="Z686" t="s">
        <v>12483</v>
      </c>
      <c r="AA686" t="s">
        <v>12484</v>
      </c>
      <c r="AB686" t="s">
        <v>12485</v>
      </c>
      <c r="AC686" t="s">
        <v>12486</v>
      </c>
      <c r="AD686" t="s">
        <v>12487</v>
      </c>
      <c r="AE686" t="s">
        <v>12488</v>
      </c>
      <c r="AF686" t="s">
        <v>74</v>
      </c>
      <c r="AG686">
        <v>30</v>
      </c>
      <c r="AH686">
        <v>0</v>
      </c>
      <c r="AI686">
        <v>0</v>
      </c>
      <c r="AJ686">
        <v>2</v>
      </c>
      <c r="AK686">
        <v>2</v>
      </c>
      <c r="AL686" t="s">
        <v>90</v>
      </c>
      <c r="AM686" t="s">
        <v>91</v>
      </c>
      <c r="AN686" t="s">
        <v>92</v>
      </c>
      <c r="AO686" t="s">
        <v>11466</v>
      </c>
      <c r="AP686" t="s">
        <v>11467</v>
      </c>
      <c r="AQ686" t="s">
        <v>74</v>
      </c>
      <c r="AR686" t="s">
        <v>11468</v>
      </c>
      <c r="AS686" t="s">
        <v>11469</v>
      </c>
      <c r="AT686" t="s">
        <v>11915</v>
      </c>
      <c r="AU686">
        <v>2023</v>
      </c>
      <c r="AV686">
        <v>581</v>
      </c>
      <c r="AW686" t="s">
        <v>74</v>
      </c>
      <c r="AX686" t="s">
        <v>74</v>
      </c>
      <c r="AY686" t="s">
        <v>74</v>
      </c>
      <c r="AZ686" t="s">
        <v>74</v>
      </c>
      <c r="BA686" t="s">
        <v>74</v>
      </c>
      <c r="BB686" t="s">
        <v>74</v>
      </c>
      <c r="BC686" t="s">
        <v>74</v>
      </c>
      <c r="BD686">
        <v>233443</v>
      </c>
      <c r="BE686" t="s">
        <v>12489</v>
      </c>
      <c r="BF686" t="str">
        <f>HYPERLINK("http://dx.doi.org/10.1016/j.jpowsour.2023.233443","http://dx.doi.org/10.1016/j.jpowsour.2023.233443")</f>
        <v>http://dx.doi.org/10.1016/j.jpowsour.2023.233443</v>
      </c>
      <c r="BG686" t="s">
        <v>74</v>
      </c>
      <c r="BH686" t="s">
        <v>74</v>
      </c>
      <c r="BI686">
        <v>11</v>
      </c>
      <c r="BJ686" t="s">
        <v>11472</v>
      </c>
      <c r="BK686" t="s">
        <v>100</v>
      </c>
      <c r="BL686" t="s">
        <v>11473</v>
      </c>
      <c r="BM686" t="s">
        <v>12490</v>
      </c>
      <c r="BN686" t="s">
        <v>74</v>
      </c>
      <c r="BO686" t="s">
        <v>74</v>
      </c>
      <c r="BP686" t="s">
        <v>74</v>
      </c>
      <c r="BQ686" t="s">
        <v>74</v>
      </c>
      <c r="BR686" t="s">
        <v>104</v>
      </c>
      <c r="BS686" t="s">
        <v>12491</v>
      </c>
      <c r="BT686" t="str">
        <f>HYPERLINK("https%3A%2F%2Fwww.webofscience.com%2Fwos%2Fwoscc%2Ffull-record%2FWOS:001052901000001","View Full Record in Web of Science")</f>
        <v>View Full Record in Web of Science</v>
      </c>
    </row>
    <row r="687" spans="1:72" x14ac:dyDescent="0.15">
      <c r="A687" t="s">
        <v>72</v>
      </c>
      <c r="B687" t="s">
        <v>12492</v>
      </c>
      <c r="C687" t="s">
        <v>74</v>
      </c>
      <c r="D687" t="s">
        <v>74</v>
      </c>
      <c r="E687" t="s">
        <v>74</v>
      </c>
      <c r="F687" t="s">
        <v>12493</v>
      </c>
      <c r="G687" t="s">
        <v>74</v>
      </c>
      <c r="H687" t="s">
        <v>74</v>
      </c>
      <c r="I687" t="s">
        <v>12494</v>
      </c>
      <c r="J687" t="s">
        <v>12233</v>
      </c>
      <c r="K687" t="s">
        <v>74</v>
      </c>
      <c r="L687" t="s">
        <v>74</v>
      </c>
      <c r="M687" t="s">
        <v>78</v>
      </c>
      <c r="N687" t="s">
        <v>79</v>
      </c>
      <c r="O687" t="s">
        <v>74</v>
      </c>
      <c r="P687" t="s">
        <v>74</v>
      </c>
      <c r="Q687" t="s">
        <v>74</v>
      </c>
      <c r="R687" t="s">
        <v>74</v>
      </c>
      <c r="S687" t="s">
        <v>74</v>
      </c>
      <c r="T687" t="s">
        <v>12495</v>
      </c>
      <c r="U687" t="s">
        <v>12496</v>
      </c>
      <c r="V687" t="s">
        <v>12497</v>
      </c>
      <c r="W687" t="s">
        <v>12498</v>
      </c>
      <c r="X687" t="s">
        <v>12499</v>
      </c>
      <c r="Y687" t="s">
        <v>12500</v>
      </c>
      <c r="Z687" t="s">
        <v>12501</v>
      </c>
      <c r="AA687" t="s">
        <v>74</v>
      </c>
      <c r="AB687" t="s">
        <v>74</v>
      </c>
      <c r="AC687" t="s">
        <v>12502</v>
      </c>
      <c r="AD687" t="s">
        <v>12503</v>
      </c>
      <c r="AE687" t="s">
        <v>12504</v>
      </c>
      <c r="AF687" t="s">
        <v>74</v>
      </c>
      <c r="AG687">
        <v>26</v>
      </c>
      <c r="AH687">
        <v>0</v>
      </c>
      <c r="AI687">
        <v>0</v>
      </c>
      <c r="AJ687">
        <v>1</v>
      </c>
      <c r="AK687">
        <v>1</v>
      </c>
      <c r="AL687" t="s">
        <v>475</v>
      </c>
      <c r="AM687" t="s">
        <v>476</v>
      </c>
      <c r="AN687" t="s">
        <v>477</v>
      </c>
      <c r="AO687" t="s">
        <v>12244</v>
      </c>
      <c r="AP687" t="s">
        <v>12245</v>
      </c>
      <c r="AQ687" t="s">
        <v>74</v>
      </c>
      <c r="AR687" t="s">
        <v>12246</v>
      </c>
      <c r="AS687" t="s">
        <v>12247</v>
      </c>
      <c r="AT687" t="s">
        <v>11915</v>
      </c>
      <c r="AU687">
        <v>2023</v>
      </c>
      <c r="AV687">
        <v>677</v>
      </c>
      <c r="AW687" t="s">
        <v>74</v>
      </c>
      <c r="AX687" t="s">
        <v>74</v>
      </c>
      <c r="AY687" t="s">
        <v>74</v>
      </c>
      <c r="AZ687" t="s">
        <v>74</v>
      </c>
      <c r="BA687" t="s">
        <v>74</v>
      </c>
      <c r="BB687">
        <v>6</v>
      </c>
      <c r="BC687">
        <v>12</v>
      </c>
      <c r="BD687" t="s">
        <v>74</v>
      </c>
      <c r="BE687" t="s">
        <v>12505</v>
      </c>
      <c r="BF687" t="str">
        <f>HYPERLINK("http://dx.doi.org/10.1016/j.bbrc.2023.07.050","http://dx.doi.org/10.1016/j.bbrc.2023.07.050")</f>
        <v>http://dx.doi.org/10.1016/j.bbrc.2023.07.050</v>
      </c>
      <c r="BG687" t="s">
        <v>74</v>
      </c>
      <c r="BH687" t="s">
        <v>74</v>
      </c>
      <c r="BI687">
        <v>7</v>
      </c>
      <c r="BJ687" t="s">
        <v>3342</v>
      </c>
      <c r="BK687" t="s">
        <v>100</v>
      </c>
      <c r="BL687" t="s">
        <v>3342</v>
      </c>
      <c r="BM687" t="s">
        <v>12506</v>
      </c>
      <c r="BN687">
        <v>37523894</v>
      </c>
      <c r="BO687" t="s">
        <v>74</v>
      </c>
      <c r="BP687" t="s">
        <v>74</v>
      </c>
      <c r="BQ687" t="s">
        <v>74</v>
      </c>
      <c r="BR687" t="s">
        <v>104</v>
      </c>
      <c r="BS687" t="s">
        <v>12507</v>
      </c>
      <c r="BT687" t="str">
        <f>HYPERLINK("https%3A%2F%2Fwww.webofscience.com%2Fwos%2Fwoscc%2Ffull-record%2FWOS:001047280300001","View Full Record in Web of Science")</f>
        <v>View Full Record in Web of Science</v>
      </c>
    </row>
    <row r="688" spans="1:72" x14ac:dyDescent="0.15">
      <c r="A688" t="s">
        <v>72</v>
      </c>
      <c r="B688" t="s">
        <v>12508</v>
      </c>
      <c r="C688" t="s">
        <v>74</v>
      </c>
      <c r="D688" t="s">
        <v>74</v>
      </c>
      <c r="E688" t="s">
        <v>74</v>
      </c>
      <c r="F688" t="s">
        <v>12509</v>
      </c>
      <c r="G688" t="s">
        <v>74</v>
      </c>
      <c r="H688" t="s">
        <v>74</v>
      </c>
      <c r="I688" t="s">
        <v>12510</v>
      </c>
      <c r="J688" t="s">
        <v>7707</v>
      </c>
      <c r="K688" t="s">
        <v>74</v>
      </c>
      <c r="L688" t="s">
        <v>74</v>
      </c>
      <c r="M688" t="s">
        <v>78</v>
      </c>
      <c r="N688" t="s">
        <v>79</v>
      </c>
      <c r="O688" t="s">
        <v>74</v>
      </c>
      <c r="P688" t="s">
        <v>74</v>
      </c>
      <c r="Q688" t="s">
        <v>74</v>
      </c>
      <c r="R688" t="s">
        <v>74</v>
      </c>
      <c r="S688" t="s">
        <v>74</v>
      </c>
      <c r="T688" t="s">
        <v>12511</v>
      </c>
      <c r="U688" t="s">
        <v>12512</v>
      </c>
      <c r="V688" t="s">
        <v>12513</v>
      </c>
      <c r="W688" t="s">
        <v>12514</v>
      </c>
      <c r="X688" t="s">
        <v>3248</v>
      </c>
      <c r="Y688" t="s">
        <v>12515</v>
      </c>
      <c r="Z688" t="s">
        <v>12516</v>
      </c>
      <c r="AA688" t="s">
        <v>74</v>
      </c>
      <c r="AB688" t="s">
        <v>74</v>
      </c>
      <c r="AC688" t="s">
        <v>12517</v>
      </c>
      <c r="AD688" t="s">
        <v>12518</v>
      </c>
      <c r="AE688" t="s">
        <v>12519</v>
      </c>
      <c r="AF688" t="s">
        <v>74</v>
      </c>
      <c r="AG688">
        <v>51</v>
      </c>
      <c r="AH688">
        <v>1</v>
      </c>
      <c r="AI688">
        <v>1</v>
      </c>
      <c r="AJ688">
        <v>10</v>
      </c>
      <c r="AK688">
        <v>10</v>
      </c>
      <c r="AL688" t="s">
        <v>955</v>
      </c>
      <c r="AM688" t="s">
        <v>956</v>
      </c>
      <c r="AN688" t="s">
        <v>957</v>
      </c>
      <c r="AO688" t="s">
        <v>74</v>
      </c>
      <c r="AP688" t="s">
        <v>7718</v>
      </c>
      <c r="AQ688" t="s">
        <v>74</v>
      </c>
      <c r="AR688" t="s">
        <v>7719</v>
      </c>
      <c r="AS688" t="s">
        <v>7720</v>
      </c>
      <c r="AT688" t="s">
        <v>11915</v>
      </c>
      <c r="AU688">
        <v>2023</v>
      </c>
      <c r="AV688">
        <v>393</v>
      </c>
      <c r="AW688" t="s">
        <v>74</v>
      </c>
      <c r="AX688" t="s">
        <v>74</v>
      </c>
      <c r="AY688" t="s">
        <v>74</v>
      </c>
      <c r="AZ688" t="s">
        <v>74</v>
      </c>
      <c r="BA688" t="s">
        <v>74</v>
      </c>
      <c r="BB688" t="s">
        <v>74</v>
      </c>
      <c r="BC688" t="s">
        <v>74</v>
      </c>
      <c r="BD688">
        <v>134161</v>
      </c>
      <c r="BE688" t="s">
        <v>12520</v>
      </c>
      <c r="BF688" t="str">
        <f>HYPERLINK("http://dx.doi.org/10.1016/j.snb.2023.134161","http://dx.doi.org/10.1016/j.snb.2023.134161")</f>
        <v>http://dx.doi.org/10.1016/j.snb.2023.134161</v>
      </c>
      <c r="BG688" t="s">
        <v>74</v>
      </c>
      <c r="BH688" t="s">
        <v>74</v>
      </c>
      <c r="BI688">
        <v>11</v>
      </c>
      <c r="BJ688" t="s">
        <v>7722</v>
      </c>
      <c r="BK688" t="s">
        <v>100</v>
      </c>
      <c r="BL688" t="s">
        <v>7723</v>
      </c>
      <c r="BM688" t="s">
        <v>12521</v>
      </c>
      <c r="BN688" t="s">
        <v>74</v>
      </c>
      <c r="BO688" t="s">
        <v>74</v>
      </c>
      <c r="BP688" t="s">
        <v>74</v>
      </c>
      <c r="BQ688" t="s">
        <v>74</v>
      </c>
      <c r="BR688" t="s">
        <v>104</v>
      </c>
      <c r="BS688" t="s">
        <v>12522</v>
      </c>
      <c r="BT688" t="str">
        <f>HYPERLINK("https%3A%2F%2Fwww.webofscience.com%2Fwos%2Fwoscc%2Ffull-record%2FWOS:001058438500001","View Full Record in Web of Science")</f>
        <v>View Full Record in Web of Science</v>
      </c>
    </row>
    <row r="689" spans="1:72" x14ac:dyDescent="0.15">
      <c r="A689" t="s">
        <v>72</v>
      </c>
      <c r="B689" t="s">
        <v>12523</v>
      </c>
      <c r="C689" t="s">
        <v>74</v>
      </c>
      <c r="D689" t="s">
        <v>74</v>
      </c>
      <c r="E689" t="s">
        <v>74</v>
      </c>
      <c r="F689" t="s">
        <v>12524</v>
      </c>
      <c r="G689" t="s">
        <v>74</v>
      </c>
      <c r="H689" t="s">
        <v>74</v>
      </c>
      <c r="I689" t="s">
        <v>12525</v>
      </c>
      <c r="J689" t="s">
        <v>12526</v>
      </c>
      <c r="K689" t="s">
        <v>74</v>
      </c>
      <c r="L689" t="s">
        <v>74</v>
      </c>
      <c r="M689" t="s">
        <v>78</v>
      </c>
      <c r="N689" t="s">
        <v>79</v>
      </c>
      <c r="O689" t="s">
        <v>74</v>
      </c>
      <c r="P689" t="s">
        <v>74</v>
      </c>
      <c r="Q689" t="s">
        <v>74</v>
      </c>
      <c r="R689" t="s">
        <v>74</v>
      </c>
      <c r="S689" t="s">
        <v>74</v>
      </c>
      <c r="T689" t="s">
        <v>12527</v>
      </c>
      <c r="U689" t="s">
        <v>12528</v>
      </c>
      <c r="V689" t="s">
        <v>12529</v>
      </c>
      <c r="W689" t="s">
        <v>12530</v>
      </c>
      <c r="X689" t="s">
        <v>12531</v>
      </c>
      <c r="Y689" t="s">
        <v>12532</v>
      </c>
      <c r="Z689" t="s">
        <v>12533</v>
      </c>
      <c r="AA689" t="s">
        <v>74</v>
      </c>
      <c r="AB689" t="s">
        <v>12534</v>
      </c>
      <c r="AC689" t="s">
        <v>12535</v>
      </c>
      <c r="AD689" t="s">
        <v>12536</v>
      </c>
      <c r="AE689" t="s">
        <v>12537</v>
      </c>
      <c r="AF689" t="s">
        <v>74</v>
      </c>
      <c r="AG689">
        <v>43</v>
      </c>
      <c r="AH689">
        <v>0</v>
      </c>
      <c r="AI689">
        <v>0</v>
      </c>
      <c r="AJ689">
        <v>3</v>
      </c>
      <c r="AK689">
        <v>3</v>
      </c>
      <c r="AL689" t="s">
        <v>955</v>
      </c>
      <c r="AM689" t="s">
        <v>956</v>
      </c>
      <c r="AN689" t="s">
        <v>957</v>
      </c>
      <c r="AO689" t="s">
        <v>12538</v>
      </c>
      <c r="AP689" t="s">
        <v>12539</v>
      </c>
      <c r="AQ689" t="s">
        <v>74</v>
      </c>
      <c r="AR689" t="s">
        <v>12540</v>
      </c>
      <c r="AS689" t="s">
        <v>12541</v>
      </c>
      <c r="AT689" t="s">
        <v>11915</v>
      </c>
      <c r="AU689">
        <v>2023</v>
      </c>
      <c r="AV689">
        <v>308</v>
      </c>
      <c r="AW689" t="s">
        <v>74</v>
      </c>
      <c r="AX689" t="s">
        <v>74</v>
      </c>
      <c r="AY689" t="s">
        <v>74</v>
      </c>
      <c r="AZ689" t="s">
        <v>74</v>
      </c>
      <c r="BA689" t="s">
        <v>74</v>
      </c>
      <c r="BB689" t="s">
        <v>74</v>
      </c>
      <c r="BC689" t="s">
        <v>74</v>
      </c>
      <c r="BD689">
        <v>128167</v>
      </c>
      <c r="BE689" t="s">
        <v>12542</v>
      </c>
      <c r="BF689" t="str">
        <f>HYPERLINK("http://dx.doi.org/10.1016/j.matchemphys.2023.128167","http://dx.doi.org/10.1016/j.matchemphys.2023.128167")</f>
        <v>http://dx.doi.org/10.1016/j.matchemphys.2023.128167</v>
      </c>
      <c r="BG689" t="s">
        <v>74</v>
      </c>
      <c r="BH689" t="s">
        <v>74</v>
      </c>
      <c r="BI689">
        <v>11</v>
      </c>
      <c r="BJ689" t="s">
        <v>1111</v>
      </c>
      <c r="BK689" t="s">
        <v>100</v>
      </c>
      <c r="BL689" t="s">
        <v>1112</v>
      </c>
      <c r="BM689" t="s">
        <v>12543</v>
      </c>
      <c r="BN689" t="s">
        <v>74</v>
      </c>
      <c r="BO689" t="s">
        <v>74</v>
      </c>
      <c r="BP689" t="s">
        <v>74</v>
      </c>
      <c r="BQ689" t="s">
        <v>74</v>
      </c>
      <c r="BR689" t="s">
        <v>104</v>
      </c>
      <c r="BS689" t="s">
        <v>12544</v>
      </c>
      <c r="BT689" t="str">
        <f>HYPERLINK("https%3A%2F%2Fwww.webofscience.com%2Fwos%2Fwoscc%2Ffull-record%2FWOS:001059916800001","View Full Record in Web of Science")</f>
        <v>View Full Record in Web of Science</v>
      </c>
    </row>
    <row r="690" spans="1:72" x14ac:dyDescent="0.15">
      <c r="A690" t="s">
        <v>72</v>
      </c>
      <c r="B690" t="s">
        <v>12545</v>
      </c>
      <c r="C690" t="s">
        <v>74</v>
      </c>
      <c r="D690" t="s">
        <v>74</v>
      </c>
      <c r="E690" t="s">
        <v>74</v>
      </c>
      <c r="F690" t="s">
        <v>12546</v>
      </c>
      <c r="G690" t="s">
        <v>74</v>
      </c>
      <c r="H690" t="s">
        <v>74</v>
      </c>
      <c r="I690" t="s">
        <v>12547</v>
      </c>
      <c r="J690" t="s">
        <v>5727</v>
      </c>
      <c r="K690" t="s">
        <v>74</v>
      </c>
      <c r="L690" t="s">
        <v>74</v>
      </c>
      <c r="M690" t="s">
        <v>78</v>
      </c>
      <c r="N690" t="s">
        <v>241</v>
      </c>
      <c r="O690" t="s">
        <v>74</v>
      </c>
      <c r="P690" t="s">
        <v>74</v>
      </c>
      <c r="Q690" t="s">
        <v>74</v>
      </c>
      <c r="R690" t="s">
        <v>74</v>
      </c>
      <c r="S690" t="s">
        <v>74</v>
      </c>
      <c r="T690" t="s">
        <v>12548</v>
      </c>
      <c r="U690" t="s">
        <v>12549</v>
      </c>
      <c r="V690" t="s">
        <v>12550</v>
      </c>
      <c r="W690" t="s">
        <v>12551</v>
      </c>
      <c r="X690" t="s">
        <v>12552</v>
      </c>
      <c r="Y690" t="s">
        <v>12553</v>
      </c>
      <c r="Z690" t="s">
        <v>12554</v>
      </c>
      <c r="AA690" t="s">
        <v>74</v>
      </c>
      <c r="AB690" t="s">
        <v>12555</v>
      </c>
      <c r="AC690" t="s">
        <v>12556</v>
      </c>
      <c r="AD690" t="s">
        <v>2421</v>
      </c>
      <c r="AE690" t="s">
        <v>12557</v>
      </c>
      <c r="AF690" t="s">
        <v>74</v>
      </c>
      <c r="AG690">
        <v>175</v>
      </c>
      <c r="AH690">
        <v>4</v>
      </c>
      <c r="AI690">
        <v>4</v>
      </c>
      <c r="AJ690">
        <v>7</v>
      </c>
      <c r="AK690">
        <v>7</v>
      </c>
      <c r="AL690" t="s">
        <v>955</v>
      </c>
      <c r="AM690" t="s">
        <v>956</v>
      </c>
      <c r="AN690" t="s">
        <v>957</v>
      </c>
      <c r="AO690" t="s">
        <v>5738</v>
      </c>
      <c r="AP690" t="s">
        <v>5739</v>
      </c>
      <c r="AQ690" t="s">
        <v>74</v>
      </c>
      <c r="AR690" t="s">
        <v>5740</v>
      </c>
      <c r="AS690" t="s">
        <v>5741</v>
      </c>
      <c r="AT690" t="s">
        <v>11915</v>
      </c>
      <c r="AU690">
        <v>2023</v>
      </c>
      <c r="AV690">
        <v>493</v>
      </c>
      <c r="AW690" t="s">
        <v>74</v>
      </c>
      <c r="AX690" t="s">
        <v>74</v>
      </c>
      <c r="AY690" t="s">
        <v>74</v>
      </c>
      <c r="AZ690" t="s">
        <v>74</v>
      </c>
      <c r="BA690" t="s">
        <v>74</v>
      </c>
      <c r="BB690" t="s">
        <v>74</v>
      </c>
      <c r="BC690" t="s">
        <v>74</v>
      </c>
      <c r="BD690">
        <v>215322</v>
      </c>
      <c r="BE690" t="s">
        <v>12558</v>
      </c>
      <c r="BF690" t="str">
        <f>HYPERLINK("http://dx.doi.org/10.1016/j.ccr.2023.215322","http://dx.doi.org/10.1016/j.ccr.2023.215322")</f>
        <v>http://dx.doi.org/10.1016/j.ccr.2023.215322</v>
      </c>
      <c r="BG690" t="s">
        <v>74</v>
      </c>
      <c r="BH690" t="s">
        <v>74</v>
      </c>
      <c r="BI690">
        <v>38</v>
      </c>
      <c r="BJ690" t="s">
        <v>5743</v>
      </c>
      <c r="BK690" t="s">
        <v>100</v>
      </c>
      <c r="BL690" t="s">
        <v>395</v>
      </c>
      <c r="BM690" t="s">
        <v>12559</v>
      </c>
      <c r="BN690" t="s">
        <v>74</v>
      </c>
      <c r="BO690" t="s">
        <v>74</v>
      </c>
      <c r="BP690" t="s">
        <v>74</v>
      </c>
      <c r="BQ690" t="s">
        <v>74</v>
      </c>
      <c r="BR690" t="s">
        <v>104</v>
      </c>
      <c r="BS690" t="s">
        <v>12560</v>
      </c>
      <c r="BT690" t="str">
        <f>HYPERLINK("https%3A%2F%2Fwww.webofscience.com%2Fwos%2Fwoscc%2Ffull-record%2FWOS:001053402700001","View Full Record in Web of Science")</f>
        <v>View Full Record in Web of Science</v>
      </c>
    </row>
    <row r="691" spans="1:72" x14ac:dyDescent="0.15">
      <c r="A691" t="s">
        <v>72</v>
      </c>
      <c r="B691" t="s">
        <v>12561</v>
      </c>
      <c r="C691" t="s">
        <v>74</v>
      </c>
      <c r="D691" t="s">
        <v>74</v>
      </c>
      <c r="E691" t="s">
        <v>74</v>
      </c>
      <c r="F691" t="s">
        <v>12562</v>
      </c>
      <c r="G691" t="s">
        <v>74</v>
      </c>
      <c r="H691" t="s">
        <v>74</v>
      </c>
      <c r="I691" t="s">
        <v>12563</v>
      </c>
      <c r="J691" t="s">
        <v>12311</v>
      </c>
      <c r="K691" t="s">
        <v>74</v>
      </c>
      <c r="L691" t="s">
        <v>74</v>
      </c>
      <c r="M691" t="s">
        <v>78</v>
      </c>
      <c r="N691" t="s">
        <v>79</v>
      </c>
      <c r="O691" t="s">
        <v>74</v>
      </c>
      <c r="P691" t="s">
        <v>74</v>
      </c>
      <c r="Q691" t="s">
        <v>74</v>
      </c>
      <c r="R691" t="s">
        <v>74</v>
      </c>
      <c r="S691" t="s">
        <v>74</v>
      </c>
      <c r="T691" t="s">
        <v>12564</v>
      </c>
      <c r="U691" t="s">
        <v>12565</v>
      </c>
      <c r="V691" t="s">
        <v>12566</v>
      </c>
      <c r="W691" t="s">
        <v>12567</v>
      </c>
      <c r="X691" t="s">
        <v>12568</v>
      </c>
      <c r="Y691" t="s">
        <v>12569</v>
      </c>
      <c r="Z691" t="s">
        <v>12570</v>
      </c>
      <c r="AA691" t="s">
        <v>74</v>
      </c>
      <c r="AB691" t="s">
        <v>74</v>
      </c>
      <c r="AC691" t="s">
        <v>12571</v>
      </c>
      <c r="AD691" t="s">
        <v>252</v>
      </c>
      <c r="AE691" t="s">
        <v>12572</v>
      </c>
      <c r="AF691" t="s">
        <v>74</v>
      </c>
      <c r="AG691">
        <v>54</v>
      </c>
      <c r="AH691">
        <v>0</v>
      </c>
      <c r="AI691">
        <v>0</v>
      </c>
      <c r="AJ691">
        <v>0</v>
      </c>
      <c r="AK691">
        <v>0</v>
      </c>
      <c r="AL691" t="s">
        <v>173</v>
      </c>
      <c r="AM691" t="s">
        <v>121</v>
      </c>
      <c r="AN691" t="s">
        <v>174</v>
      </c>
      <c r="AO691" t="s">
        <v>12324</v>
      </c>
      <c r="AP691" t="s">
        <v>12325</v>
      </c>
      <c r="AQ691" t="s">
        <v>74</v>
      </c>
      <c r="AR691" t="s">
        <v>12326</v>
      </c>
      <c r="AS691" t="s">
        <v>12327</v>
      </c>
      <c r="AT691" t="s">
        <v>11915</v>
      </c>
      <c r="AU691">
        <v>2023</v>
      </c>
      <c r="AV691">
        <v>286</v>
      </c>
      <c r="AW691" t="s">
        <v>74</v>
      </c>
      <c r="AX691">
        <v>1</v>
      </c>
      <c r="AY691" t="s">
        <v>74</v>
      </c>
      <c r="AZ691" t="s">
        <v>74</v>
      </c>
      <c r="BA691" t="s">
        <v>74</v>
      </c>
      <c r="BB691" t="s">
        <v>74</v>
      </c>
      <c r="BC691" t="s">
        <v>74</v>
      </c>
      <c r="BD691">
        <v>115442</v>
      </c>
      <c r="BE691" t="s">
        <v>12573</v>
      </c>
      <c r="BF691" t="str">
        <f>HYPERLINK("http://dx.doi.org/10.1016/j.oceaneng.2023.115442","http://dx.doi.org/10.1016/j.oceaneng.2023.115442")</f>
        <v>http://dx.doi.org/10.1016/j.oceaneng.2023.115442</v>
      </c>
      <c r="BG691" t="s">
        <v>74</v>
      </c>
      <c r="BH691" t="s">
        <v>74</v>
      </c>
      <c r="BI691">
        <v>12</v>
      </c>
      <c r="BJ691" t="s">
        <v>12329</v>
      </c>
      <c r="BK691" t="s">
        <v>100</v>
      </c>
      <c r="BL691" t="s">
        <v>12330</v>
      </c>
      <c r="BM691" t="s">
        <v>12574</v>
      </c>
      <c r="BN691" t="s">
        <v>74</v>
      </c>
      <c r="BO691" t="s">
        <v>74</v>
      </c>
      <c r="BP691" t="s">
        <v>74</v>
      </c>
      <c r="BQ691" t="s">
        <v>74</v>
      </c>
      <c r="BR691" t="s">
        <v>104</v>
      </c>
      <c r="BS691" t="s">
        <v>12575</v>
      </c>
      <c r="BT691" t="str">
        <f>HYPERLINK("https%3A%2F%2Fwww.webofscience.com%2Fwos%2Fwoscc%2Ffull-record%2FWOS:001066677600001","View Full Record in Web of Science")</f>
        <v>View Full Record in Web of Science</v>
      </c>
    </row>
    <row r="692" spans="1:72" x14ac:dyDescent="0.15">
      <c r="A692" t="s">
        <v>72</v>
      </c>
      <c r="B692" t="s">
        <v>12576</v>
      </c>
      <c r="C692" t="s">
        <v>74</v>
      </c>
      <c r="D692" t="s">
        <v>74</v>
      </c>
      <c r="E692" t="s">
        <v>74</v>
      </c>
      <c r="F692" t="s">
        <v>12577</v>
      </c>
      <c r="G692" t="s">
        <v>74</v>
      </c>
      <c r="H692" t="s">
        <v>74</v>
      </c>
      <c r="I692" t="s">
        <v>12578</v>
      </c>
      <c r="J692" t="s">
        <v>12579</v>
      </c>
      <c r="K692" t="s">
        <v>74</v>
      </c>
      <c r="L692" t="s">
        <v>74</v>
      </c>
      <c r="M692" t="s">
        <v>78</v>
      </c>
      <c r="N692" t="s">
        <v>79</v>
      </c>
      <c r="O692" t="s">
        <v>74</v>
      </c>
      <c r="P692" t="s">
        <v>74</v>
      </c>
      <c r="Q692" t="s">
        <v>74</v>
      </c>
      <c r="R692" t="s">
        <v>74</v>
      </c>
      <c r="S692" t="s">
        <v>74</v>
      </c>
      <c r="T692" t="s">
        <v>12580</v>
      </c>
      <c r="U692" t="s">
        <v>12581</v>
      </c>
      <c r="V692" t="s">
        <v>12582</v>
      </c>
      <c r="W692" t="s">
        <v>12583</v>
      </c>
      <c r="X692" t="s">
        <v>12584</v>
      </c>
      <c r="Y692" t="s">
        <v>12585</v>
      </c>
      <c r="Z692" t="s">
        <v>12586</v>
      </c>
      <c r="AA692" t="s">
        <v>74</v>
      </c>
      <c r="AB692" t="s">
        <v>74</v>
      </c>
      <c r="AC692" t="s">
        <v>12587</v>
      </c>
      <c r="AD692" t="s">
        <v>12588</v>
      </c>
      <c r="AE692" t="s">
        <v>12589</v>
      </c>
      <c r="AF692" t="s">
        <v>74</v>
      </c>
      <c r="AG692">
        <v>42</v>
      </c>
      <c r="AH692">
        <v>0</v>
      </c>
      <c r="AI692">
        <v>0</v>
      </c>
      <c r="AJ692">
        <v>1</v>
      </c>
      <c r="AK692">
        <v>1</v>
      </c>
      <c r="AL692" t="s">
        <v>173</v>
      </c>
      <c r="AM692" t="s">
        <v>121</v>
      </c>
      <c r="AN692" t="s">
        <v>174</v>
      </c>
      <c r="AO692" t="s">
        <v>12590</v>
      </c>
      <c r="AP692" t="s">
        <v>12591</v>
      </c>
      <c r="AQ692" t="s">
        <v>74</v>
      </c>
      <c r="AR692" t="s">
        <v>12592</v>
      </c>
      <c r="AS692" t="s">
        <v>12593</v>
      </c>
      <c r="AT692" t="s">
        <v>11915</v>
      </c>
      <c r="AU692">
        <v>2023</v>
      </c>
      <c r="AV692">
        <v>259</v>
      </c>
      <c r="AW692" t="s">
        <v>74</v>
      </c>
      <c r="AX692" t="s">
        <v>74</v>
      </c>
      <c r="AY692" t="s">
        <v>74</v>
      </c>
      <c r="AZ692" t="s">
        <v>74</v>
      </c>
      <c r="BA692" t="s">
        <v>74</v>
      </c>
      <c r="BB692" t="s">
        <v>74</v>
      </c>
      <c r="BC692" t="s">
        <v>74</v>
      </c>
      <c r="BD692">
        <v>119252</v>
      </c>
      <c r="BE692" t="s">
        <v>12594</v>
      </c>
      <c r="BF692" t="str">
        <f>HYPERLINK("http://dx.doi.org/10.1016/j.actamat.2023.119252","http://dx.doi.org/10.1016/j.actamat.2023.119252")</f>
        <v>http://dx.doi.org/10.1016/j.actamat.2023.119252</v>
      </c>
      <c r="BG692" t="s">
        <v>74</v>
      </c>
      <c r="BH692" t="s">
        <v>74</v>
      </c>
      <c r="BI692">
        <v>9</v>
      </c>
      <c r="BJ692" t="s">
        <v>10175</v>
      </c>
      <c r="BK692" t="s">
        <v>100</v>
      </c>
      <c r="BL692" t="s">
        <v>10176</v>
      </c>
      <c r="BM692" t="s">
        <v>12595</v>
      </c>
      <c r="BN692" t="s">
        <v>74</v>
      </c>
      <c r="BO692" t="s">
        <v>74</v>
      </c>
      <c r="BP692" t="s">
        <v>74</v>
      </c>
      <c r="BQ692" t="s">
        <v>74</v>
      </c>
      <c r="BR692" t="s">
        <v>104</v>
      </c>
      <c r="BS692" t="s">
        <v>12596</v>
      </c>
      <c r="BT692" t="str">
        <f>HYPERLINK("https%3A%2F%2Fwww.webofscience.com%2Fwos%2Fwoscc%2Ffull-record%2FWOS:001060894300001","View Full Record in Web of Science")</f>
        <v>View Full Record in Web of Science</v>
      </c>
    </row>
    <row r="693" spans="1:72" x14ac:dyDescent="0.15">
      <c r="A693" t="s">
        <v>72</v>
      </c>
      <c r="B693" t="s">
        <v>12597</v>
      </c>
      <c r="C693" t="s">
        <v>74</v>
      </c>
      <c r="D693" t="s">
        <v>74</v>
      </c>
      <c r="E693" t="s">
        <v>74</v>
      </c>
      <c r="F693" t="s">
        <v>12598</v>
      </c>
      <c r="G693" t="s">
        <v>74</v>
      </c>
      <c r="H693" t="s">
        <v>74</v>
      </c>
      <c r="I693" t="s">
        <v>12599</v>
      </c>
      <c r="J693" t="s">
        <v>5302</v>
      </c>
      <c r="K693" t="s">
        <v>74</v>
      </c>
      <c r="L693" t="s">
        <v>74</v>
      </c>
      <c r="M693" t="s">
        <v>78</v>
      </c>
      <c r="N693" t="s">
        <v>79</v>
      </c>
      <c r="O693" t="s">
        <v>74</v>
      </c>
      <c r="P693" t="s">
        <v>74</v>
      </c>
      <c r="Q693" t="s">
        <v>74</v>
      </c>
      <c r="R693" t="s">
        <v>74</v>
      </c>
      <c r="S693" t="s">
        <v>74</v>
      </c>
      <c r="T693" t="s">
        <v>12600</v>
      </c>
      <c r="U693" t="s">
        <v>12601</v>
      </c>
      <c r="V693" t="s">
        <v>12602</v>
      </c>
      <c r="W693" t="s">
        <v>12603</v>
      </c>
      <c r="X693" t="s">
        <v>12604</v>
      </c>
      <c r="Y693" t="s">
        <v>12605</v>
      </c>
      <c r="Z693" t="s">
        <v>12606</v>
      </c>
      <c r="AA693" t="s">
        <v>74</v>
      </c>
      <c r="AB693" t="s">
        <v>12607</v>
      </c>
      <c r="AC693" t="s">
        <v>12608</v>
      </c>
      <c r="AD693" t="s">
        <v>12609</v>
      </c>
      <c r="AE693" t="s">
        <v>12610</v>
      </c>
      <c r="AF693" t="s">
        <v>74</v>
      </c>
      <c r="AG693">
        <v>83</v>
      </c>
      <c r="AH693">
        <v>0</v>
      </c>
      <c r="AI693">
        <v>0</v>
      </c>
      <c r="AJ693">
        <v>5</v>
      </c>
      <c r="AK693">
        <v>5</v>
      </c>
      <c r="AL693" t="s">
        <v>475</v>
      </c>
      <c r="AM693" t="s">
        <v>476</v>
      </c>
      <c r="AN693" t="s">
        <v>477</v>
      </c>
      <c r="AO693" t="s">
        <v>5315</v>
      </c>
      <c r="AP693" t="s">
        <v>5316</v>
      </c>
      <c r="AQ693" t="s">
        <v>74</v>
      </c>
      <c r="AR693" t="s">
        <v>5317</v>
      </c>
      <c r="AS693" t="s">
        <v>5318</v>
      </c>
      <c r="AT693" t="s">
        <v>11915</v>
      </c>
      <c r="AU693">
        <v>2023</v>
      </c>
      <c r="AV693">
        <v>235</v>
      </c>
      <c r="AW693" t="s">
        <v>74</v>
      </c>
      <c r="AX693" t="s">
        <v>74</v>
      </c>
      <c r="AY693" t="s">
        <v>74</v>
      </c>
      <c r="AZ693" t="s">
        <v>74</v>
      </c>
      <c r="BA693" t="s">
        <v>74</v>
      </c>
      <c r="BB693" t="s">
        <v>74</v>
      </c>
      <c r="BC693" t="s">
        <v>74</v>
      </c>
      <c r="BD693">
        <v>116671</v>
      </c>
      <c r="BE693" t="s">
        <v>12611</v>
      </c>
      <c r="BF693" t="str">
        <f>HYPERLINK("http://dx.doi.org/10.1016/j.envres.2023.116671","http://dx.doi.org/10.1016/j.envres.2023.116671")</f>
        <v>http://dx.doi.org/10.1016/j.envres.2023.116671</v>
      </c>
      <c r="BG693" t="s">
        <v>74</v>
      </c>
      <c r="BH693" t="s">
        <v>74</v>
      </c>
      <c r="BI693">
        <v>12</v>
      </c>
      <c r="BJ693" t="s">
        <v>5320</v>
      </c>
      <c r="BK693" t="s">
        <v>100</v>
      </c>
      <c r="BL693" t="s">
        <v>5321</v>
      </c>
      <c r="BM693" t="s">
        <v>12612</v>
      </c>
      <c r="BN693">
        <v>37454804</v>
      </c>
      <c r="BO693" t="s">
        <v>74</v>
      </c>
      <c r="BP693" t="s">
        <v>74</v>
      </c>
      <c r="BQ693" t="s">
        <v>74</v>
      </c>
      <c r="BR693" t="s">
        <v>104</v>
      </c>
      <c r="BS693" t="s">
        <v>12613</v>
      </c>
      <c r="BT693" t="str">
        <f>HYPERLINK("https%3A%2F%2Fwww.webofscience.com%2Fwos%2Fwoscc%2Ffull-record%2FWOS:001048315700001","View Full Record in Web of Science")</f>
        <v>View Full Record in Web of Science</v>
      </c>
    </row>
    <row r="694" spans="1:72" x14ac:dyDescent="0.15">
      <c r="A694" t="s">
        <v>72</v>
      </c>
      <c r="B694" t="s">
        <v>12614</v>
      </c>
      <c r="C694" t="s">
        <v>74</v>
      </c>
      <c r="D694" t="s">
        <v>74</v>
      </c>
      <c r="E694" t="s">
        <v>74</v>
      </c>
      <c r="F694" t="s">
        <v>12615</v>
      </c>
      <c r="G694" t="s">
        <v>74</v>
      </c>
      <c r="H694" t="s">
        <v>74</v>
      </c>
      <c r="I694" t="s">
        <v>12616</v>
      </c>
      <c r="J694" t="s">
        <v>7707</v>
      </c>
      <c r="K694" t="s">
        <v>74</v>
      </c>
      <c r="L694" t="s">
        <v>74</v>
      </c>
      <c r="M694" t="s">
        <v>78</v>
      </c>
      <c r="N694" t="s">
        <v>79</v>
      </c>
      <c r="O694" t="s">
        <v>74</v>
      </c>
      <c r="P694" t="s">
        <v>74</v>
      </c>
      <c r="Q694" t="s">
        <v>74</v>
      </c>
      <c r="R694" t="s">
        <v>74</v>
      </c>
      <c r="S694" t="s">
        <v>74</v>
      </c>
      <c r="T694" t="s">
        <v>12617</v>
      </c>
      <c r="U694" t="s">
        <v>12618</v>
      </c>
      <c r="V694" t="s">
        <v>12619</v>
      </c>
      <c r="W694" t="s">
        <v>12620</v>
      </c>
      <c r="X694" t="s">
        <v>12621</v>
      </c>
      <c r="Y694" t="s">
        <v>12622</v>
      </c>
      <c r="Z694" t="s">
        <v>12623</v>
      </c>
      <c r="AA694" t="s">
        <v>74</v>
      </c>
      <c r="AB694" t="s">
        <v>74</v>
      </c>
      <c r="AC694" t="s">
        <v>12624</v>
      </c>
      <c r="AD694" t="s">
        <v>12625</v>
      </c>
      <c r="AE694" t="s">
        <v>12626</v>
      </c>
      <c r="AF694" t="s">
        <v>74</v>
      </c>
      <c r="AG694">
        <v>43</v>
      </c>
      <c r="AH694">
        <v>0</v>
      </c>
      <c r="AI694">
        <v>0</v>
      </c>
      <c r="AJ694">
        <v>6</v>
      </c>
      <c r="AK694">
        <v>6</v>
      </c>
      <c r="AL694" t="s">
        <v>955</v>
      </c>
      <c r="AM694" t="s">
        <v>956</v>
      </c>
      <c r="AN694" t="s">
        <v>957</v>
      </c>
      <c r="AO694" t="s">
        <v>74</v>
      </c>
      <c r="AP694" t="s">
        <v>7718</v>
      </c>
      <c r="AQ694" t="s">
        <v>74</v>
      </c>
      <c r="AR694" t="s">
        <v>7719</v>
      </c>
      <c r="AS694" t="s">
        <v>7720</v>
      </c>
      <c r="AT694" t="s">
        <v>11915</v>
      </c>
      <c r="AU694">
        <v>2023</v>
      </c>
      <c r="AV694">
        <v>393</v>
      </c>
      <c r="AW694" t="s">
        <v>74</v>
      </c>
      <c r="AX694" t="s">
        <v>74</v>
      </c>
      <c r="AY694" t="s">
        <v>74</v>
      </c>
      <c r="AZ694" t="s">
        <v>74</v>
      </c>
      <c r="BA694" t="s">
        <v>74</v>
      </c>
      <c r="BB694" t="s">
        <v>74</v>
      </c>
      <c r="BC694" t="s">
        <v>74</v>
      </c>
      <c r="BD694">
        <v>134264</v>
      </c>
      <c r="BE694" t="s">
        <v>12627</v>
      </c>
      <c r="BF694" t="str">
        <f>HYPERLINK("http://dx.doi.org/10.1016/j.snb.2023.134264","http://dx.doi.org/10.1016/j.snb.2023.134264")</f>
        <v>http://dx.doi.org/10.1016/j.snb.2023.134264</v>
      </c>
      <c r="BG694" t="s">
        <v>74</v>
      </c>
      <c r="BH694" t="s">
        <v>74</v>
      </c>
      <c r="BI694">
        <v>9</v>
      </c>
      <c r="BJ694" t="s">
        <v>7722</v>
      </c>
      <c r="BK694" t="s">
        <v>100</v>
      </c>
      <c r="BL694" t="s">
        <v>7723</v>
      </c>
      <c r="BM694" t="s">
        <v>12628</v>
      </c>
      <c r="BN694" t="s">
        <v>74</v>
      </c>
      <c r="BO694" t="s">
        <v>74</v>
      </c>
      <c r="BP694" t="s">
        <v>74</v>
      </c>
      <c r="BQ694" t="s">
        <v>74</v>
      </c>
      <c r="BR694" t="s">
        <v>104</v>
      </c>
      <c r="BS694" t="s">
        <v>12629</v>
      </c>
      <c r="BT694" t="str">
        <f>HYPERLINK("https%3A%2F%2Fwww.webofscience.com%2Fwos%2Fwoscc%2Ffull-record%2FWOS:001058487200001","View Full Record in Web of Science")</f>
        <v>View Full Record in Web of Science</v>
      </c>
    </row>
    <row r="695" spans="1:72" x14ac:dyDescent="0.15">
      <c r="A695" t="s">
        <v>72</v>
      </c>
      <c r="B695" t="s">
        <v>12630</v>
      </c>
      <c r="C695" t="s">
        <v>74</v>
      </c>
      <c r="D695" t="s">
        <v>74</v>
      </c>
      <c r="E695" t="s">
        <v>74</v>
      </c>
      <c r="F695" t="s">
        <v>12631</v>
      </c>
      <c r="G695" t="s">
        <v>74</v>
      </c>
      <c r="H695" t="s">
        <v>74</v>
      </c>
      <c r="I695" t="s">
        <v>12632</v>
      </c>
      <c r="J695" t="s">
        <v>12137</v>
      </c>
      <c r="K695" t="s">
        <v>74</v>
      </c>
      <c r="L695" t="s">
        <v>74</v>
      </c>
      <c r="M695" t="s">
        <v>78</v>
      </c>
      <c r="N695" t="s">
        <v>79</v>
      </c>
      <c r="O695" t="s">
        <v>74</v>
      </c>
      <c r="P695" t="s">
        <v>74</v>
      </c>
      <c r="Q695" t="s">
        <v>74</v>
      </c>
      <c r="R695" t="s">
        <v>74</v>
      </c>
      <c r="S695" t="s">
        <v>74</v>
      </c>
      <c r="T695" t="s">
        <v>12633</v>
      </c>
      <c r="U695" t="s">
        <v>12634</v>
      </c>
      <c r="V695" t="s">
        <v>12635</v>
      </c>
      <c r="W695" t="s">
        <v>12636</v>
      </c>
      <c r="X695" t="s">
        <v>12637</v>
      </c>
      <c r="Y695" t="s">
        <v>12638</v>
      </c>
      <c r="Z695" t="s">
        <v>12639</v>
      </c>
      <c r="AA695" t="s">
        <v>74</v>
      </c>
      <c r="AB695" t="s">
        <v>74</v>
      </c>
      <c r="AC695" t="s">
        <v>12640</v>
      </c>
      <c r="AD695" t="s">
        <v>12641</v>
      </c>
      <c r="AE695" t="s">
        <v>12642</v>
      </c>
      <c r="AF695" t="s">
        <v>74</v>
      </c>
      <c r="AG695">
        <v>86</v>
      </c>
      <c r="AH695">
        <v>0</v>
      </c>
      <c r="AI695">
        <v>0</v>
      </c>
      <c r="AJ695">
        <v>14</v>
      </c>
      <c r="AK695">
        <v>14</v>
      </c>
      <c r="AL695" t="s">
        <v>120</v>
      </c>
      <c r="AM695" t="s">
        <v>121</v>
      </c>
      <c r="AN695" t="s">
        <v>122</v>
      </c>
      <c r="AO695" t="s">
        <v>12147</v>
      </c>
      <c r="AP695" t="s">
        <v>12148</v>
      </c>
      <c r="AQ695" t="s">
        <v>74</v>
      </c>
      <c r="AR695" t="s">
        <v>12149</v>
      </c>
      <c r="AS695" t="s">
        <v>12150</v>
      </c>
      <c r="AT695" t="s">
        <v>11915</v>
      </c>
      <c r="AU695">
        <v>2023</v>
      </c>
      <c r="AV695">
        <v>335</v>
      </c>
      <c r="AW695" t="s">
        <v>74</v>
      </c>
      <c r="AX695" t="s">
        <v>74</v>
      </c>
      <c r="AY695" t="s">
        <v>74</v>
      </c>
      <c r="AZ695" t="s">
        <v>74</v>
      </c>
      <c r="BA695" t="s">
        <v>74</v>
      </c>
      <c r="BB695" t="s">
        <v>74</v>
      </c>
      <c r="BC695" t="s">
        <v>74</v>
      </c>
      <c r="BD695">
        <v>122354</v>
      </c>
      <c r="BE695" t="s">
        <v>12643</v>
      </c>
      <c r="BF695" t="str">
        <f>HYPERLINK("http://dx.doi.org/10.1016/j.envpol.2023.122354","http://dx.doi.org/10.1016/j.envpol.2023.122354")</f>
        <v>http://dx.doi.org/10.1016/j.envpol.2023.122354</v>
      </c>
      <c r="BG695" t="s">
        <v>74</v>
      </c>
      <c r="BH695" t="s">
        <v>74</v>
      </c>
      <c r="BI695">
        <v>13</v>
      </c>
      <c r="BJ695" t="s">
        <v>1539</v>
      </c>
      <c r="BK695" t="s">
        <v>100</v>
      </c>
      <c r="BL695" t="s">
        <v>1540</v>
      </c>
      <c r="BM695" t="s">
        <v>12644</v>
      </c>
      <c r="BN695">
        <v>37567401</v>
      </c>
      <c r="BO695" t="s">
        <v>74</v>
      </c>
      <c r="BP695" t="s">
        <v>74</v>
      </c>
      <c r="BQ695" t="s">
        <v>74</v>
      </c>
      <c r="BR695" t="s">
        <v>104</v>
      </c>
      <c r="BS695" t="s">
        <v>12645</v>
      </c>
      <c r="BT695" t="str">
        <f>HYPERLINK("https%3A%2F%2Fwww.webofscience.com%2Fwos%2Fwoscc%2Ffull-record%2FWOS:001054819100001","View Full Record in Web of Science")</f>
        <v>View Full Record in Web of Science</v>
      </c>
    </row>
    <row r="696" spans="1:72" x14ac:dyDescent="0.15">
      <c r="A696" t="s">
        <v>72</v>
      </c>
      <c r="B696" t="s">
        <v>12646</v>
      </c>
      <c r="C696" t="s">
        <v>74</v>
      </c>
      <c r="D696" t="s">
        <v>74</v>
      </c>
      <c r="E696" t="s">
        <v>74</v>
      </c>
      <c r="F696" t="s">
        <v>12647</v>
      </c>
      <c r="G696" t="s">
        <v>74</v>
      </c>
      <c r="H696" t="s">
        <v>74</v>
      </c>
      <c r="I696" t="s">
        <v>12648</v>
      </c>
      <c r="J696" t="s">
        <v>5570</v>
      </c>
      <c r="K696" t="s">
        <v>74</v>
      </c>
      <c r="L696" t="s">
        <v>74</v>
      </c>
      <c r="M696" t="s">
        <v>78</v>
      </c>
      <c r="N696" t="s">
        <v>79</v>
      </c>
      <c r="O696" t="s">
        <v>74</v>
      </c>
      <c r="P696" t="s">
        <v>74</v>
      </c>
      <c r="Q696" t="s">
        <v>74</v>
      </c>
      <c r="R696" t="s">
        <v>74</v>
      </c>
      <c r="S696" t="s">
        <v>74</v>
      </c>
      <c r="T696" t="s">
        <v>12649</v>
      </c>
      <c r="U696" t="s">
        <v>12650</v>
      </c>
      <c r="V696" t="s">
        <v>12651</v>
      </c>
      <c r="W696" t="s">
        <v>12652</v>
      </c>
      <c r="X696" t="s">
        <v>12653</v>
      </c>
      <c r="Y696" t="s">
        <v>12654</v>
      </c>
      <c r="Z696" t="s">
        <v>12655</v>
      </c>
      <c r="AA696" t="s">
        <v>74</v>
      </c>
      <c r="AB696" t="s">
        <v>74</v>
      </c>
      <c r="AC696" t="s">
        <v>74</v>
      </c>
      <c r="AD696" t="s">
        <v>74</v>
      </c>
      <c r="AE696" t="s">
        <v>74</v>
      </c>
      <c r="AF696" t="s">
        <v>74</v>
      </c>
      <c r="AG696">
        <v>56</v>
      </c>
      <c r="AH696">
        <v>0</v>
      </c>
      <c r="AI696">
        <v>0</v>
      </c>
      <c r="AJ696">
        <v>8</v>
      </c>
      <c r="AK696">
        <v>8</v>
      </c>
      <c r="AL696" t="s">
        <v>955</v>
      </c>
      <c r="AM696" t="s">
        <v>956</v>
      </c>
      <c r="AN696" t="s">
        <v>957</v>
      </c>
      <c r="AO696" t="s">
        <v>5580</v>
      </c>
      <c r="AP696" t="s">
        <v>5581</v>
      </c>
      <c r="AQ696" t="s">
        <v>74</v>
      </c>
      <c r="AR696" t="s">
        <v>5570</v>
      </c>
      <c r="AS696" t="s">
        <v>5582</v>
      </c>
      <c r="AT696" t="s">
        <v>11915</v>
      </c>
      <c r="AU696">
        <v>2023</v>
      </c>
      <c r="AV696">
        <v>530</v>
      </c>
      <c r="AW696" t="s">
        <v>74</v>
      </c>
      <c r="AX696" t="s">
        <v>74</v>
      </c>
      <c r="AY696" t="s">
        <v>74</v>
      </c>
      <c r="AZ696" t="s">
        <v>74</v>
      </c>
      <c r="BA696" t="s">
        <v>74</v>
      </c>
      <c r="BB696" t="s">
        <v>74</v>
      </c>
      <c r="BC696" t="s">
        <v>74</v>
      </c>
      <c r="BD696">
        <v>205042</v>
      </c>
      <c r="BE696" t="s">
        <v>12656</v>
      </c>
      <c r="BF696" t="str">
        <f>HYPERLINK("http://dx.doi.org/10.1016/j.wear.2023.205042","http://dx.doi.org/10.1016/j.wear.2023.205042")</f>
        <v>http://dx.doi.org/10.1016/j.wear.2023.205042</v>
      </c>
      <c r="BG696" t="s">
        <v>74</v>
      </c>
      <c r="BH696" t="s">
        <v>74</v>
      </c>
      <c r="BI696">
        <v>15</v>
      </c>
      <c r="BJ696" t="s">
        <v>5584</v>
      </c>
      <c r="BK696" t="s">
        <v>100</v>
      </c>
      <c r="BL696" t="s">
        <v>156</v>
      </c>
      <c r="BM696" t="s">
        <v>12657</v>
      </c>
      <c r="BN696" t="s">
        <v>74</v>
      </c>
      <c r="BO696" t="s">
        <v>74</v>
      </c>
      <c r="BP696" t="s">
        <v>74</v>
      </c>
      <c r="BQ696" t="s">
        <v>74</v>
      </c>
      <c r="BR696" t="s">
        <v>104</v>
      </c>
      <c r="BS696" t="s">
        <v>12658</v>
      </c>
      <c r="BT696" t="str">
        <f>HYPERLINK("https%3A%2F%2Fwww.webofscience.com%2Fwos%2Fwoscc%2Ffull-record%2FWOS:001047036100001","View Full Record in Web of Science")</f>
        <v>View Full Record in Web of Science</v>
      </c>
    </row>
    <row r="697" spans="1:72" x14ac:dyDescent="0.15">
      <c r="A697" t="s">
        <v>72</v>
      </c>
      <c r="B697" t="s">
        <v>12659</v>
      </c>
      <c r="C697" t="s">
        <v>74</v>
      </c>
      <c r="D697" t="s">
        <v>74</v>
      </c>
      <c r="E697" t="s">
        <v>74</v>
      </c>
      <c r="F697" t="s">
        <v>12660</v>
      </c>
      <c r="G697" t="s">
        <v>74</v>
      </c>
      <c r="H697" t="s">
        <v>74</v>
      </c>
      <c r="I697" t="s">
        <v>12661</v>
      </c>
      <c r="J697" t="s">
        <v>8042</v>
      </c>
      <c r="K697" t="s">
        <v>74</v>
      </c>
      <c r="L697" t="s">
        <v>74</v>
      </c>
      <c r="M697" t="s">
        <v>78</v>
      </c>
      <c r="N697" t="s">
        <v>79</v>
      </c>
      <c r="O697" t="s">
        <v>74</v>
      </c>
      <c r="P697" t="s">
        <v>74</v>
      </c>
      <c r="Q697" t="s">
        <v>74</v>
      </c>
      <c r="R697" t="s">
        <v>74</v>
      </c>
      <c r="S697" t="s">
        <v>74</v>
      </c>
      <c r="T697" t="s">
        <v>12662</v>
      </c>
      <c r="U697" t="s">
        <v>12663</v>
      </c>
      <c r="V697" t="s">
        <v>12664</v>
      </c>
      <c r="W697" t="s">
        <v>12665</v>
      </c>
      <c r="X697" t="s">
        <v>12666</v>
      </c>
      <c r="Y697" t="s">
        <v>12667</v>
      </c>
      <c r="Z697" t="s">
        <v>12668</v>
      </c>
      <c r="AA697" t="s">
        <v>74</v>
      </c>
      <c r="AB697" t="s">
        <v>74</v>
      </c>
      <c r="AC697" t="s">
        <v>74</v>
      </c>
      <c r="AD697" t="s">
        <v>74</v>
      </c>
      <c r="AE697" t="s">
        <v>74</v>
      </c>
      <c r="AF697" t="s">
        <v>74</v>
      </c>
      <c r="AG697">
        <v>93</v>
      </c>
      <c r="AH697">
        <v>0</v>
      </c>
      <c r="AI697">
        <v>0</v>
      </c>
      <c r="AJ697">
        <v>4</v>
      </c>
      <c r="AK697">
        <v>4</v>
      </c>
      <c r="AL697" t="s">
        <v>90</v>
      </c>
      <c r="AM697" t="s">
        <v>91</v>
      </c>
      <c r="AN697" t="s">
        <v>92</v>
      </c>
      <c r="AO697" t="s">
        <v>8054</v>
      </c>
      <c r="AP697" t="s">
        <v>8055</v>
      </c>
      <c r="AQ697" t="s">
        <v>74</v>
      </c>
      <c r="AR697" t="s">
        <v>8056</v>
      </c>
      <c r="AS697" t="s">
        <v>8057</v>
      </c>
      <c r="AT697" t="s">
        <v>11915</v>
      </c>
      <c r="AU697">
        <v>2023</v>
      </c>
      <c r="AV697">
        <v>339</v>
      </c>
      <c r="AW697" t="s">
        <v>74</v>
      </c>
      <c r="AX697" t="s">
        <v>74</v>
      </c>
      <c r="AY697" t="s">
        <v>74</v>
      </c>
      <c r="AZ697" t="s">
        <v>74</v>
      </c>
      <c r="BA697" t="s">
        <v>74</v>
      </c>
      <c r="BB697">
        <v>162</v>
      </c>
      <c r="BC697">
        <v>171</v>
      </c>
      <c r="BD697" t="s">
        <v>74</v>
      </c>
      <c r="BE697" t="s">
        <v>12669</v>
      </c>
      <c r="BF697" t="str">
        <f>HYPERLINK("http://dx.doi.org/10.1016/j.jad.2023.07.032","http://dx.doi.org/10.1016/j.jad.2023.07.032")</f>
        <v>http://dx.doi.org/10.1016/j.jad.2023.07.032</v>
      </c>
      <c r="BG697" t="s">
        <v>74</v>
      </c>
      <c r="BH697" t="s">
        <v>74</v>
      </c>
      <c r="BI697">
        <v>10</v>
      </c>
      <c r="BJ697" t="s">
        <v>8059</v>
      </c>
      <c r="BK697" t="s">
        <v>666</v>
      </c>
      <c r="BL697" t="s">
        <v>8060</v>
      </c>
      <c r="BM697" t="s">
        <v>12670</v>
      </c>
      <c r="BN697">
        <v>37437722</v>
      </c>
      <c r="BO697" t="s">
        <v>295</v>
      </c>
      <c r="BP697" t="s">
        <v>74</v>
      </c>
      <c r="BQ697" t="s">
        <v>74</v>
      </c>
      <c r="BR697" t="s">
        <v>104</v>
      </c>
      <c r="BS697" t="s">
        <v>12671</v>
      </c>
      <c r="BT697" t="str">
        <f>HYPERLINK("https%3A%2F%2Fwww.webofscience.com%2Fwos%2Fwoscc%2Ffull-record%2FWOS:001048615800001","View Full Record in Web of Science")</f>
        <v>View Full Record in Web of Science</v>
      </c>
    </row>
    <row r="698" spans="1:72" x14ac:dyDescent="0.15">
      <c r="A698" t="s">
        <v>72</v>
      </c>
      <c r="B698" t="s">
        <v>12672</v>
      </c>
      <c r="C698" t="s">
        <v>74</v>
      </c>
      <c r="D698" t="s">
        <v>74</v>
      </c>
      <c r="E698" t="s">
        <v>74</v>
      </c>
      <c r="F698" t="s">
        <v>12673</v>
      </c>
      <c r="G698" t="s">
        <v>74</v>
      </c>
      <c r="H698" t="s">
        <v>74</v>
      </c>
      <c r="I698" t="s">
        <v>12674</v>
      </c>
      <c r="J698" t="s">
        <v>5534</v>
      </c>
      <c r="K698" t="s">
        <v>74</v>
      </c>
      <c r="L698" t="s">
        <v>74</v>
      </c>
      <c r="M698" t="s">
        <v>78</v>
      </c>
      <c r="N698" t="s">
        <v>79</v>
      </c>
      <c r="O698" t="s">
        <v>74</v>
      </c>
      <c r="P698" t="s">
        <v>74</v>
      </c>
      <c r="Q698" t="s">
        <v>74</v>
      </c>
      <c r="R698" t="s">
        <v>74</v>
      </c>
      <c r="S698" t="s">
        <v>74</v>
      </c>
      <c r="T698" t="s">
        <v>12675</v>
      </c>
      <c r="U698" t="s">
        <v>12676</v>
      </c>
      <c r="V698" t="s">
        <v>12677</v>
      </c>
      <c r="W698" t="s">
        <v>12678</v>
      </c>
      <c r="X698" t="s">
        <v>12679</v>
      </c>
      <c r="Y698" t="s">
        <v>12680</v>
      </c>
      <c r="Z698" t="s">
        <v>12681</v>
      </c>
      <c r="AA698" t="s">
        <v>12682</v>
      </c>
      <c r="AB698" t="s">
        <v>12683</v>
      </c>
      <c r="AC698" t="s">
        <v>12684</v>
      </c>
      <c r="AD698" t="s">
        <v>12685</v>
      </c>
      <c r="AE698" t="s">
        <v>12686</v>
      </c>
      <c r="AF698" t="s">
        <v>74</v>
      </c>
      <c r="AG698">
        <v>58</v>
      </c>
      <c r="AH698">
        <v>0</v>
      </c>
      <c r="AI698">
        <v>0</v>
      </c>
      <c r="AJ698">
        <v>2</v>
      </c>
      <c r="AK698">
        <v>2</v>
      </c>
      <c r="AL698" t="s">
        <v>120</v>
      </c>
      <c r="AM698" t="s">
        <v>121</v>
      </c>
      <c r="AN698" t="s">
        <v>122</v>
      </c>
      <c r="AO698" t="s">
        <v>5542</v>
      </c>
      <c r="AP698" t="s">
        <v>5543</v>
      </c>
      <c r="AQ698" t="s">
        <v>74</v>
      </c>
      <c r="AR698" t="s">
        <v>5544</v>
      </c>
      <c r="AS698" t="s">
        <v>5545</v>
      </c>
      <c r="AT698" t="s">
        <v>11915</v>
      </c>
      <c r="AU698">
        <v>2023</v>
      </c>
      <c r="AV698">
        <v>293</v>
      </c>
      <c r="AW698" t="s">
        <v>74</v>
      </c>
      <c r="AX698" t="s">
        <v>74</v>
      </c>
      <c r="AY698" t="s">
        <v>74</v>
      </c>
      <c r="AZ698" t="s">
        <v>74</v>
      </c>
      <c r="BA698" t="s">
        <v>74</v>
      </c>
      <c r="BB698" t="s">
        <v>74</v>
      </c>
      <c r="BC698" t="s">
        <v>74</v>
      </c>
      <c r="BD698">
        <v>116730</v>
      </c>
      <c r="BE698" t="s">
        <v>12687</v>
      </c>
      <c r="BF698" t="str">
        <f>HYPERLINK("http://dx.doi.org/10.1016/j.engstruct.2023.116730","http://dx.doi.org/10.1016/j.engstruct.2023.116730")</f>
        <v>http://dx.doi.org/10.1016/j.engstruct.2023.116730</v>
      </c>
      <c r="BG698" t="s">
        <v>74</v>
      </c>
      <c r="BH698" t="s">
        <v>74</v>
      </c>
      <c r="BI698">
        <v>9</v>
      </c>
      <c r="BJ698" t="s">
        <v>5547</v>
      </c>
      <c r="BK698" t="s">
        <v>100</v>
      </c>
      <c r="BL698" t="s">
        <v>873</v>
      </c>
      <c r="BM698" t="s">
        <v>12688</v>
      </c>
      <c r="BN698" t="s">
        <v>74</v>
      </c>
      <c r="BO698" t="s">
        <v>504</v>
      </c>
      <c r="BP698" t="s">
        <v>74</v>
      </c>
      <c r="BQ698" t="s">
        <v>74</v>
      </c>
      <c r="BR698" t="s">
        <v>104</v>
      </c>
      <c r="BS698" t="s">
        <v>12689</v>
      </c>
      <c r="BT698" t="str">
        <f>HYPERLINK("https%3A%2F%2Fwww.webofscience.com%2Fwos%2Fwoscc%2Ffull-record%2FWOS:001054968700001","View Full Record in Web of Science")</f>
        <v>View Full Record in Web of Science</v>
      </c>
    </row>
    <row r="699" spans="1:72" x14ac:dyDescent="0.15">
      <c r="A699" t="s">
        <v>72</v>
      </c>
      <c r="B699" t="s">
        <v>12690</v>
      </c>
      <c r="C699" t="s">
        <v>74</v>
      </c>
      <c r="D699" t="s">
        <v>74</v>
      </c>
      <c r="E699" t="s">
        <v>74</v>
      </c>
      <c r="F699" t="s">
        <v>12691</v>
      </c>
      <c r="G699" t="s">
        <v>74</v>
      </c>
      <c r="H699" t="s">
        <v>74</v>
      </c>
      <c r="I699" t="s">
        <v>12692</v>
      </c>
      <c r="J699" t="s">
        <v>2101</v>
      </c>
      <c r="K699" t="s">
        <v>74</v>
      </c>
      <c r="L699" t="s">
        <v>74</v>
      </c>
      <c r="M699" t="s">
        <v>78</v>
      </c>
      <c r="N699" t="s">
        <v>79</v>
      </c>
      <c r="O699" t="s">
        <v>74</v>
      </c>
      <c r="P699" t="s">
        <v>74</v>
      </c>
      <c r="Q699" t="s">
        <v>74</v>
      </c>
      <c r="R699" t="s">
        <v>74</v>
      </c>
      <c r="S699" t="s">
        <v>74</v>
      </c>
      <c r="T699" t="s">
        <v>12693</v>
      </c>
      <c r="U699" t="s">
        <v>12694</v>
      </c>
      <c r="V699" t="s">
        <v>12695</v>
      </c>
      <c r="W699" t="s">
        <v>12696</v>
      </c>
      <c r="X699" t="s">
        <v>12697</v>
      </c>
      <c r="Y699" t="s">
        <v>12698</v>
      </c>
      <c r="Z699" t="s">
        <v>12699</v>
      </c>
      <c r="AA699" t="s">
        <v>74</v>
      </c>
      <c r="AB699" t="s">
        <v>74</v>
      </c>
      <c r="AC699" t="s">
        <v>74</v>
      </c>
      <c r="AD699" t="s">
        <v>74</v>
      </c>
      <c r="AE699" t="s">
        <v>74</v>
      </c>
      <c r="AF699" t="s">
        <v>74</v>
      </c>
      <c r="AG699">
        <v>42</v>
      </c>
      <c r="AH699">
        <v>0</v>
      </c>
      <c r="AI699">
        <v>0</v>
      </c>
      <c r="AJ699">
        <v>3</v>
      </c>
      <c r="AK699">
        <v>3</v>
      </c>
      <c r="AL699" t="s">
        <v>955</v>
      </c>
      <c r="AM699" t="s">
        <v>956</v>
      </c>
      <c r="AN699" t="s">
        <v>957</v>
      </c>
      <c r="AO699" t="s">
        <v>2112</v>
      </c>
      <c r="AP699" t="s">
        <v>2113</v>
      </c>
      <c r="AQ699" t="s">
        <v>74</v>
      </c>
      <c r="AR699" t="s">
        <v>2114</v>
      </c>
      <c r="AS699" t="s">
        <v>2115</v>
      </c>
      <c r="AT699" t="s">
        <v>11915</v>
      </c>
      <c r="AU699">
        <v>2023</v>
      </c>
      <c r="AV699">
        <v>960</v>
      </c>
      <c r="AW699" t="s">
        <v>74</v>
      </c>
      <c r="AX699" t="s">
        <v>74</v>
      </c>
      <c r="AY699" t="s">
        <v>74</v>
      </c>
      <c r="AZ699" t="s">
        <v>74</v>
      </c>
      <c r="BA699" t="s">
        <v>74</v>
      </c>
      <c r="BB699" t="s">
        <v>74</v>
      </c>
      <c r="BC699" t="s">
        <v>74</v>
      </c>
      <c r="BD699">
        <v>170441</v>
      </c>
      <c r="BE699" t="s">
        <v>12700</v>
      </c>
      <c r="BF699" t="str">
        <f>HYPERLINK("http://dx.doi.org/10.1016/j.jallcom.2023.170441","http://dx.doi.org/10.1016/j.jallcom.2023.170441")</f>
        <v>http://dx.doi.org/10.1016/j.jallcom.2023.170441</v>
      </c>
      <c r="BG699" t="s">
        <v>74</v>
      </c>
      <c r="BH699" t="s">
        <v>74</v>
      </c>
      <c r="BI699">
        <v>10</v>
      </c>
      <c r="BJ699" t="s">
        <v>2118</v>
      </c>
      <c r="BK699" t="s">
        <v>100</v>
      </c>
      <c r="BL699" t="s">
        <v>2119</v>
      </c>
      <c r="BM699" t="s">
        <v>12701</v>
      </c>
      <c r="BN699" t="s">
        <v>74</v>
      </c>
      <c r="BO699" t="s">
        <v>74</v>
      </c>
      <c r="BP699" t="s">
        <v>74</v>
      </c>
      <c r="BQ699" t="s">
        <v>74</v>
      </c>
      <c r="BR699" t="s">
        <v>104</v>
      </c>
      <c r="BS699" t="s">
        <v>12702</v>
      </c>
      <c r="BT699" t="str">
        <f>HYPERLINK("https%3A%2F%2Fwww.webofscience.com%2Fwos%2Fwoscc%2Ffull-record%2FWOS:001048533900001","View Full Record in Web of Science")</f>
        <v>View Full Record in Web of Science</v>
      </c>
    </row>
    <row r="700" spans="1:72" x14ac:dyDescent="0.15">
      <c r="A700" t="s">
        <v>72</v>
      </c>
      <c r="B700" t="s">
        <v>12703</v>
      </c>
      <c r="C700" t="s">
        <v>74</v>
      </c>
      <c r="D700" t="s">
        <v>74</v>
      </c>
      <c r="E700" t="s">
        <v>74</v>
      </c>
      <c r="F700" t="s">
        <v>12704</v>
      </c>
      <c r="G700" t="s">
        <v>74</v>
      </c>
      <c r="H700" t="s">
        <v>74</v>
      </c>
      <c r="I700" t="s">
        <v>12705</v>
      </c>
      <c r="J700" t="s">
        <v>5302</v>
      </c>
      <c r="K700" t="s">
        <v>74</v>
      </c>
      <c r="L700" t="s">
        <v>74</v>
      </c>
      <c r="M700" t="s">
        <v>78</v>
      </c>
      <c r="N700" t="s">
        <v>79</v>
      </c>
      <c r="O700" t="s">
        <v>74</v>
      </c>
      <c r="P700" t="s">
        <v>74</v>
      </c>
      <c r="Q700" t="s">
        <v>74</v>
      </c>
      <c r="R700" t="s">
        <v>74</v>
      </c>
      <c r="S700" t="s">
        <v>74</v>
      </c>
      <c r="T700" t="s">
        <v>12706</v>
      </c>
      <c r="U700" t="s">
        <v>12707</v>
      </c>
      <c r="V700" t="s">
        <v>12708</v>
      </c>
      <c r="W700" t="s">
        <v>12709</v>
      </c>
      <c r="X700" t="s">
        <v>12710</v>
      </c>
      <c r="Y700" t="s">
        <v>12711</v>
      </c>
      <c r="Z700" t="s">
        <v>12712</v>
      </c>
      <c r="AA700" t="s">
        <v>74</v>
      </c>
      <c r="AB700" t="s">
        <v>12713</v>
      </c>
      <c r="AC700" t="s">
        <v>12714</v>
      </c>
      <c r="AD700" t="s">
        <v>12715</v>
      </c>
      <c r="AE700" t="s">
        <v>12716</v>
      </c>
      <c r="AF700" t="s">
        <v>74</v>
      </c>
      <c r="AG700">
        <v>100</v>
      </c>
      <c r="AH700">
        <v>0</v>
      </c>
      <c r="AI700">
        <v>0</v>
      </c>
      <c r="AJ700">
        <v>7</v>
      </c>
      <c r="AK700">
        <v>7</v>
      </c>
      <c r="AL700" t="s">
        <v>475</v>
      </c>
      <c r="AM700" t="s">
        <v>476</v>
      </c>
      <c r="AN700" t="s">
        <v>477</v>
      </c>
      <c r="AO700" t="s">
        <v>5315</v>
      </c>
      <c r="AP700" t="s">
        <v>5316</v>
      </c>
      <c r="AQ700" t="s">
        <v>74</v>
      </c>
      <c r="AR700" t="s">
        <v>5317</v>
      </c>
      <c r="AS700" t="s">
        <v>5318</v>
      </c>
      <c r="AT700" t="s">
        <v>11915</v>
      </c>
      <c r="AU700">
        <v>2023</v>
      </c>
      <c r="AV700">
        <v>235</v>
      </c>
      <c r="AW700" t="s">
        <v>74</v>
      </c>
      <c r="AX700" t="s">
        <v>74</v>
      </c>
      <c r="AY700" t="s">
        <v>74</v>
      </c>
      <c r="AZ700" t="s">
        <v>74</v>
      </c>
      <c r="BA700" t="s">
        <v>74</v>
      </c>
      <c r="BB700" t="s">
        <v>74</v>
      </c>
      <c r="BC700" t="s">
        <v>74</v>
      </c>
      <c r="BD700">
        <v>116568</v>
      </c>
      <c r="BE700" t="s">
        <v>12717</v>
      </c>
      <c r="BF700" t="str">
        <f>HYPERLINK("http://dx.doi.org/10.1016/j.envres.2023.116568","http://dx.doi.org/10.1016/j.envres.2023.116568")</f>
        <v>http://dx.doi.org/10.1016/j.envres.2023.116568</v>
      </c>
      <c r="BG700" t="s">
        <v>74</v>
      </c>
      <c r="BH700" t="s">
        <v>74</v>
      </c>
      <c r="BI700">
        <v>12</v>
      </c>
      <c r="BJ700" t="s">
        <v>5320</v>
      </c>
      <c r="BK700" t="s">
        <v>100</v>
      </c>
      <c r="BL700" t="s">
        <v>5321</v>
      </c>
      <c r="BM700" t="s">
        <v>12718</v>
      </c>
      <c r="BN700">
        <v>37422114</v>
      </c>
      <c r="BO700" t="s">
        <v>74</v>
      </c>
      <c r="BP700" t="s">
        <v>74</v>
      </c>
      <c r="BQ700" t="s">
        <v>74</v>
      </c>
      <c r="BR700" t="s">
        <v>104</v>
      </c>
      <c r="BS700" t="s">
        <v>12719</v>
      </c>
      <c r="BT700" t="str">
        <f>HYPERLINK("https%3A%2F%2Fwww.webofscience.com%2Fwos%2Fwoscc%2Ffull-record%2FWOS:001043819500001","View Full Record in Web of Science")</f>
        <v>View Full Record in Web of Science</v>
      </c>
    </row>
    <row r="701" spans="1:72" x14ac:dyDescent="0.15">
      <c r="A701" t="s">
        <v>72</v>
      </c>
      <c r="B701" t="s">
        <v>12720</v>
      </c>
      <c r="C701" t="s">
        <v>74</v>
      </c>
      <c r="D701" t="s">
        <v>74</v>
      </c>
      <c r="E701" t="s">
        <v>74</v>
      </c>
      <c r="F701" t="s">
        <v>12721</v>
      </c>
      <c r="G701" t="s">
        <v>74</v>
      </c>
      <c r="H701" t="s">
        <v>74</v>
      </c>
      <c r="I701" t="s">
        <v>12722</v>
      </c>
      <c r="J701" t="s">
        <v>1950</v>
      </c>
      <c r="K701" t="s">
        <v>74</v>
      </c>
      <c r="L701" t="s">
        <v>74</v>
      </c>
      <c r="M701" t="s">
        <v>78</v>
      </c>
      <c r="N701" t="s">
        <v>79</v>
      </c>
      <c r="O701" t="s">
        <v>74</v>
      </c>
      <c r="P701" t="s">
        <v>74</v>
      </c>
      <c r="Q701" t="s">
        <v>74</v>
      </c>
      <c r="R701" t="s">
        <v>74</v>
      </c>
      <c r="S701" t="s">
        <v>74</v>
      </c>
      <c r="T701" t="s">
        <v>12723</v>
      </c>
      <c r="U701" t="s">
        <v>12724</v>
      </c>
      <c r="V701" t="s">
        <v>12725</v>
      </c>
      <c r="W701" t="s">
        <v>12726</v>
      </c>
      <c r="X701" t="s">
        <v>12727</v>
      </c>
      <c r="Y701" t="s">
        <v>12728</v>
      </c>
      <c r="Z701" t="s">
        <v>12729</v>
      </c>
      <c r="AA701" t="s">
        <v>74</v>
      </c>
      <c r="AB701" t="s">
        <v>74</v>
      </c>
      <c r="AC701" t="s">
        <v>12730</v>
      </c>
      <c r="AD701" t="s">
        <v>12731</v>
      </c>
      <c r="AE701" t="s">
        <v>12732</v>
      </c>
      <c r="AF701" t="s">
        <v>74</v>
      </c>
      <c r="AG701">
        <v>39</v>
      </c>
      <c r="AH701">
        <v>0</v>
      </c>
      <c r="AI701">
        <v>0</v>
      </c>
      <c r="AJ701">
        <v>8</v>
      </c>
      <c r="AK701">
        <v>8</v>
      </c>
      <c r="AL701" t="s">
        <v>173</v>
      </c>
      <c r="AM701" t="s">
        <v>121</v>
      </c>
      <c r="AN701" t="s">
        <v>174</v>
      </c>
      <c r="AO701" t="s">
        <v>1963</v>
      </c>
      <c r="AP701" t="s">
        <v>1964</v>
      </c>
      <c r="AQ701" t="s">
        <v>74</v>
      </c>
      <c r="AR701" t="s">
        <v>1950</v>
      </c>
      <c r="AS701" t="s">
        <v>1965</v>
      </c>
      <c r="AT701" t="s">
        <v>11915</v>
      </c>
      <c r="AU701">
        <v>2023</v>
      </c>
      <c r="AV701">
        <v>281</v>
      </c>
      <c r="AW701" t="s">
        <v>74</v>
      </c>
      <c r="AX701" t="s">
        <v>74</v>
      </c>
      <c r="AY701" t="s">
        <v>74</v>
      </c>
      <c r="AZ701" t="s">
        <v>74</v>
      </c>
      <c r="BA701" t="s">
        <v>74</v>
      </c>
      <c r="BB701" t="s">
        <v>74</v>
      </c>
      <c r="BC701" t="s">
        <v>74</v>
      </c>
      <c r="BD701">
        <v>128308</v>
      </c>
      <c r="BE701" t="s">
        <v>12733</v>
      </c>
      <c r="BF701" t="str">
        <f>HYPERLINK("http://dx.doi.org/10.1016/j.energy.2023.128308","http://dx.doi.org/10.1016/j.energy.2023.128308")</f>
        <v>http://dx.doi.org/10.1016/j.energy.2023.128308</v>
      </c>
      <c r="BG701" t="s">
        <v>74</v>
      </c>
      <c r="BH701" t="s">
        <v>74</v>
      </c>
      <c r="BI701">
        <v>20</v>
      </c>
      <c r="BJ701" t="s">
        <v>1967</v>
      </c>
      <c r="BK701" t="s">
        <v>100</v>
      </c>
      <c r="BL701" t="s">
        <v>1967</v>
      </c>
      <c r="BM701" t="s">
        <v>12734</v>
      </c>
      <c r="BN701" t="s">
        <v>74</v>
      </c>
      <c r="BO701" t="s">
        <v>74</v>
      </c>
      <c r="BP701" t="s">
        <v>74</v>
      </c>
      <c r="BQ701" t="s">
        <v>74</v>
      </c>
      <c r="BR701" t="s">
        <v>104</v>
      </c>
      <c r="BS701" t="s">
        <v>12735</v>
      </c>
      <c r="BT701" t="str">
        <f>HYPERLINK("https%3A%2F%2Fwww.webofscience.com%2Fwos%2Fwoscc%2Ffull-record%2FWOS:001037468300001","View Full Record in Web of Science")</f>
        <v>View Full Record in Web of Science</v>
      </c>
    </row>
    <row r="702" spans="1:72" x14ac:dyDescent="0.15">
      <c r="A702" t="s">
        <v>72</v>
      </c>
      <c r="B702" t="s">
        <v>12736</v>
      </c>
      <c r="C702" t="s">
        <v>74</v>
      </c>
      <c r="D702" t="s">
        <v>74</v>
      </c>
      <c r="E702" t="s">
        <v>74</v>
      </c>
      <c r="F702" t="s">
        <v>12737</v>
      </c>
      <c r="G702" t="s">
        <v>74</v>
      </c>
      <c r="H702" t="s">
        <v>74</v>
      </c>
      <c r="I702" t="s">
        <v>12738</v>
      </c>
      <c r="J702" t="s">
        <v>12311</v>
      </c>
      <c r="K702" t="s">
        <v>74</v>
      </c>
      <c r="L702" t="s">
        <v>74</v>
      </c>
      <c r="M702" t="s">
        <v>78</v>
      </c>
      <c r="N702" t="s">
        <v>79</v>
      </c>
      <c r="O702" t="s">
        <v>74</v>
      </c>
      <c r="P702" t="s">
        <v>74</v>
      </c>
      <c r="Q702" t="s">
        <v>74</v>
      </c>
      <c r="R702" t="s">
        <v>74</v>
      </c>
      <c r="S702" t="s">
        <v>74</v>
      </c>
      <c r="T702" t="s">
        <v>12739</v>
      </c>
      <c r="U702" t="s">
        <v>12740</v>
      </c>
      <c r="V702" t="s">
        <v>12741</v>
      </c>
      <c r="W702" t="s">
        <v>12742</v>
      </c>
      <c r="X702" t="s">
        <v>12743</v>
      </c>
      <c r="Y702" t="s">
        <v>12744</v>
      </c>
      <c r="Z702" t="s">
        <v>12745</v>
      </c>
      <c r="AA702" t="s">
        <v>74</v>
      </c>
      <c r="AB702" t="s">
        <v>74</v>
      </c>
      <c r="AC702" t="s">
        <v>12746</v>
      </c>
      <c r="AD702" t="s">
        <v>5646</v>
      </c>
      <c r="AE702" t="s">
        <v>12747</v>
      </c>
      <c r="AF702" t="s">
        <v>74</v>
      </c>
      <c r="AG702">
        <v>49</v>
      </c>
      <c r="AH702">
        <v>0</v>
      </c>
      <c r="AI702">
        <v>0</v>
      </c>
      <c r="AJ702">
        <v>0</v>
      </c>
      <c r="AK702">
        <v>0</v>
      </c>
      <c r="AL702" t="s">
        <v>173</v>
      </c>
      <c r="AM702" t="s">
        <v>121</v>
      </c>
      <c r="AN702" t="s">
        <v>174</v>
      </c>
      <c r="AO702" t="s">
        <v>12324</v>
      </c>
      <c r="AP702" t="s">
        <v>12325</v>
      </c>
      <c r="AQ702" t="s">
        <v>74</v>
      </c>
      <c r="AR702" t="s">
        <v>12326</v>
      </c>
      <c r="AS702" t="s">
        <v>12327</v>
      </c>
      <c r="AT702" t="s">
        <v>11915</v>
      </c>
      <c r="AU702">
        <v>2023</v>
      </c>
      <c r="AV702">
        <v>286</v>
      </c>
      <c r="AW702" t="s">
        <v>74</v>
      </c>
      <c r="AX702">
        <v>1</v>
      </c>
      <c r="AY702" t="s">
        <v>74</v>
      </c>
      <c r="AZ702" t="s">
        <v>74</v>
      </c>
      <c r="BA702" t="s">
        <v>74</v>
      </c>
      <c r="BB702" t="s">
        <v>74</v>
      </c>
      <c r="BC702" t="s">
        <v>74</v>
      </c>
      <c r="BD702">
        <v>115629</v>
      </c>
      <c r="BE702" t="s">
        <v>12748</v>
      </c>
      <c r="BF702" t="str">
        <f>HYPERLINK("http://dx.doi.org/10.1016/j.oceaneng.2023.115629","http://dx.doi.org/10.1016/j.oceaneng.2023.115629")</f>
        <v>http://dx.doi.org/10.1016/j.oceaneng.2023.115629</v>
      </c>
      <c r="BG702" t="s">
        <v>74</v>
      </c>
      <c r="BH702" t="s">
        <v>74</v>
      </c>
      <c r="BI702">
        <v>16</v>
      </c>
      <c r="BJ702" t="s">
        <v>12329</v>
      </c>
      <c r="BK702" t="s">
        <v>100</v>
      </c>
      <c r="BL702" t="s">
        <v>12330</v>
      </c>
      <c r="BM702" t="s">
        <v>12749</v>
      </c>
      <c r="BN702" t="s">
        <v>74</v>
      </c>
      <c r="BO702" t="s">
        <v>504</v>
      </c>
      <c r="BP702" t="s">
        <v>74</v>
      </c>
      <c r="BQ702" t="s">
        <v>74</v>
      </c>
      <c r="BR702" t="s">
        <v>104</v>
      </c>
      <c r="BS702" t="s">
        <v>12750</v>
      </c>
      <c r="BT702" t="str">
        <f>HYPERLINK("https%3A%2F%2Fwww.webofscience.com%2Fwos%2Fwoscc%2Ffull-record%2FWOS:001065557000001","View Full Record in Web of Science")</f>
        <v>View Full Record in Web of Science</v>
      </c>
    </row>
    <row r="703" spans="1:72" x14ac:dyDescent="0.15">
      <c r="A703" t="s">
        <v>72</v>
      </c>
      <c r="B703" t="s">
        <v>12751</v>
      </c>
      <c r="C703" t="s">
        <v>74</v>
      </c>
      <c r="D703" t="s">
        <v>74</v>
      </c>
      <c r="E703" t="s">
        <v>74</v>
      </c>
      <c r="F703" t="s">
        <v>12752</v>
      </c>
      <c r="G703" t="s">
        <v>74</v>
      </c>
      <c r="H703" t="s">
        <v>74</v>
      </c>
      <c r="I703" t="s">
        <v>12753</v>
      </c>
      <c r="J703" t="s">
        <v>12278</v>
      </c>
      <c r="K703" t="s">
        <v>74</v>
      </c>
      <c r="L703" t="s">
        <v>74</v>
      </c>
      <c r="M703" t="s">
        <v>78</v>
      </c>
      <c r="N703" t="s">
        <v>79</v>
      </c>
      <c r="O703" t="s">
        <v>74</v>
      </c>
      <c r="P703" t="s">
        <v>74</v>
      </c>
      <c r="Q703" t="s">
        <v>74</v>
      </c>
      <c r="R703" t="s">
        <v>74</v>
      </c>
      <c r="S703" t="s">
        <v>74</v>
      </c>
      <c r="T703" t="s">
        <v>12754</v>
      </c>
      <c r="U703" t="s">
        <v>12755</v>
      </c>
      <c r="V703" t="s">
        <v>12756</v>
      </c>
      <c r="W703" t="s">
        <v>12757</v>
      </c>
      <c r="X703" t="s">
        <v>12758</v>
      </c>
      <c r="Y703" t="s">
        <v>12759</v>
      </c>
      <c r="Z703" t="s">
        <v>12760</v>
      </c>
      <c r="AA703" t="s">
        <v>12761</v>
      </c>
      <c r="AB703" t="s">
        <v>74</v>
      </c>
      <c r="AC703" t="s">
        <v>12762</v>
      </c>
      <c r="AD703" t="s">
        <v>12763</v>
      </c>
      <c r="AE703" t="s">
        <v>12764</v>
      </c>
      <c r="AF703" t="s">
        <v>74</v>
      </c>
      <c r="AG703">
        <v>87</v>
      </c>
      <c r="AH703">
        <v>0</v>
      </c>
      <c r="AI703">
        <v>0</v>
      </c>
      <c r="AJ703">
        <v>0</v>
      </c>
      <c r="AK703">
        <v>0</v>
      </c>
      <c r="AL703" t="s">
        <v>90</v>
      </c>
      <c r="AM703" t="s">
        <v>91</v>
      </c>
      <c r="AN703" t="s">
        <v>92</v>
      </c>
      <c r="AO703" t="s">
        <v>12286</v>
      </c>
      <c r="AP703" t="s">
        <v>12287</v>
      </c>
      <c r="AQ703" t="s">
        <v>74</v>
      </c>
      <c r="AR703" t="s">
        <v>12288</v>
      </c>
      <c r="AS703" t="s">
        <v>12289</v>
      </c>
      <c r="AT703" t="s">
        <v>11915</v>
      </c>
      <c r="AU703">
        <v>2023</v>
      </c>
      <c r="AV703">
        <v>546</v>
      </c>
      <c r="AW703" t="s">
        <v>74</v>
      </c>
      <c r="AX703" t="s">
        <v>74</v>
      </c>
      <c r="AY703" t="s">
        <v>74</v>
      </c>
      <c r="AZ703" t="s">
        <v>74</v>
      </c>
      <c r="BA703" t="s">
        <v>74</v>
      </c>
      <c r="BB703" t="s">
        <v>74</v>
      </c>
      <c r="BC703" t="s">
        <v>74</v>
      </c>
      <c r="BD703">
        <v>121370</v>
      </c>
      <c r="BE703" t="s">
        <v>12765</v>
      </c>
      <c r="BF703" t="str">
        <f>HYPERLINK("http://dx.doi.org/10.1016/j.foreco.2023.121370","http://dx.doi.org/10.1016/j.foreco.2023.121370")</f>
        <v>http://dx.doi.org/10.1016/j.foreco.2023.121370</v>
      </c>
      <c r="BG703" t="s">
        <v>74</v>
      </c>
      <c r="BH703" t="s">
        <v>74</v>
      </c>
      <c r="BI703">
        <v>10</v>
      </c>
      <c r="BJ703" t="s">
        <v>12291</v>
      </c>
      <c r="BK703" t="s">
        <v>100</v>
      </c>
      <c r="BL703" t="s">
        <v>12291</v>
      </c>
      <c r="BM703" t="s">
        <v>12766</v>
      </c>
      <c r="BN703" t="s">
        <v>74</v>
      </c>
      <c r="BO703" t="s">
        <v>74</v>
      </c>
      <c r="BP703" t="s">
        <v>74</v>
      </c>
      <c r="BQ703" t="s">
        <v>74</v>
      </c>
      <c r="BR703" t="s">
        <v>104</v>
      </c>
      <c r="BS703" t="s">
        <v>12767</v>
      </c>
      <c r="BT703" t="str">
        <f>HYPERLINK("https%3A%2F%2Fwww.webofscience.com%2Fwos%2Fwoscc%2Ffull-record%2FWOS:001064947900001","View Full Record in Web of Science")</f>
        <v>View Full Record in Web of Science</v>
      </c>
    </row>
    <row r="704" spans="1:72" x14ac:dyDescent="0.15">
      <c r="A704" t="s">
        <v>72</v>
      </c>
      <c r="B704" t="s">
        <v>12768</v>
      </c>
      <c r="C704" t="s">
        <v>74</v>
      </c>
      <c r="D704" t="s">
        <v>74</v>
      </c>
      <c r="E704" t="s">
        <v>74</v>
      </c>
      <c r="F704" t="s">
        <v>12769</v>
      </c>
      <c r="G704" t="s">
        <v>74</v>
      </c>
      <c r="H704" t="s">
        <v>74</v>
      </c>
      <c r="I704" t="s">
        <v>12770</v>
      </c>
      <c r="J704" t="s">
        <v>7689</v>
      </c>
      <c r="K704" t="s">
        <v>74</v>
      </c>
      <c r="L704" t="s">
        <v>74</v>
      </c>
      <c r="M704" t="s">
        <v>78</v>
      </c>
      <c r="N704" t="s">
        <v>79</v>
      </c>
      <c r="O704" t="s">
        <v>74</v>
      </c>
      <c r="P704" t="s">
        <v>74</v>
      </c>
      <c r="Q704" t="s">
        <v>74</v>
      </c>
      <c r="R704" t="s">
        <v>74</v>
      </c>
      <c r="S704" t="s">
        <v>74</v>
      </c>
      <c r="T704" t="s">
        <v>12771</v>
      </c>
      <c r="U704" t="s">
        <v>12772</v>
      </c>
      <c r="V704" t="s">
        <v>12773</v>
      </c>
      <c r="W704" t="s">
        <v>12774</v>
      </c>
      <c r="X704" t="s">
        <v>12775</v>
      </c>
      <c r="Y704" t="s">
        <v>12776</v>
      </c>
      <c r="Z704" t="s">
        <v>12777</v>
      </c>
      <c r="AA704" t="s">
        <v>12778</v>
      </c>
      <c r="AB704" t="s">
        <v>12779</v>
      </c>
      <c r="AC704" t="s">
        <v>74</v>
      </c>
      <c r="AD704" t="s">
        <v>74</v>
      </c>
      <c r="AE704" t="s">
        <v>74</v>
      </c>
      <c r="AF704" t="s">
        <v>74</v>
      </c>
      <c r="AG704">
        <v>160</v>
      </c>
      <c r="AH704">
        <v>0</v>
      </c>
      <c r="AI704">
        <v>0</v>
      </c>
      <c r="AJ704">
        <v>6</v>
      </c>
      <c r="AK704">
        <v>6</v>
      </c>
      <c r="AL704" t="s">
        <v>554</v>
      </c>
      <c r="AM704" t="s">
        <v>555</v>
      </c>
      <c r="AN704" t="s">
        <v>556</v>
      </c>
      <c r="AO704" t="s">
        <v>7697</v>
      </c>
      <c r="AP704" t="s">
        <v>7698</v>
      </c>
      <c r="AQ704" t="s">
        <v>74</v>
      </c>
      <c r="AR704" t="s">
        <v>7699</v>
      </c>
      <c r="AS704" t="s">
        <v>7700</v>
      </c>
      <c r="AT704" t="s">
        <v>11915</v>
      </c>
      <c r="AU704">
        <v>2023</v>
      </c>
      <c r="AV704">
        <v>344</v>
      </c>
      <c r="AW704" t="s">
        <v>74</v>
      </c>
      <c r="AX704" t="s">
        <v>74</v>
      </c>
      <c r="AY704" t="s">
        <v>74</v>
      </c>
      <c r="AZ704" t="s">
        <v>74</v>
      </c>
      <c r="BA704" t="s">
        <v>74</v>
      </c>
      <c r="BB704" t="s">
        <v>74</v>
      </c>
      <c r="BC704" t="s">
        <v>74</v>
      </c>
      <c r="BD704">
        <v>118608</v>
      </c>
      <c r="BE704" t="s">
        <v>12780</v>
      </c>
      <c r="BF704" t="str">
        <f>HYPERLINK("http://dx.doi.org/10.1016/j.jenvman.2023.118608","http://dx.doi.org/10.1016/j.jenvman.2023.118608")</f>
        <v>http://dx.doi.org/10.1016/j.jenvman.2023.118608</v>
      </c>
      <c r="BG704" t="s">
        <v>74</v>
      </c>
      <c r="BH704" t="s">
        <v>74</v>
      </c>
      <c r="BI704">
        <v>15</v>
      </c>
      <c r="BJ704" t="s">
        <v>1539</v>
      </c>
      <c r="BK704" t="s">
        <v>100</v>
      </c>
      <c r="BL704" t="s">
        <v>1540</v>
      </c>
      <c r="BM704" t="s">
        <v>12781</v>
      </c>
      <c r="BN704">
        <v>37473554</v>
      </c>
      <c r="BO704" t="s">
        <v>74</v>
      </c>
      <c r="BP704" t="s">
        <v>74</v>
      </c>
      <c r="BQ704" t="s">
        <v>74</v>
      </c>
      <c r="BR704" t="s">
        <v>104</v>
      </c>
      <c r="BS704" t="s">
        <v>12782</v>
      </c>
      <c r="BT704" t="str">
        <f>HYPERLINK("https%3A%2F%2Fwww.webofscience.com%2Fwos%2Fwoscc%2Ffull-record%2FWOS:001049149500001","View Full Record in Web of Science")</f>
        <v>View Full Record in Web of Science</v>
      </c>
    </row>
    <row r="705" spans="1:72" x14ac:dyDescent="0.15">
      <c r="A705" t="s">
        <v>72</v>
      </c>
      <c r="B705" t="s">
        <v>12783</v>
      </c>
      <c r="C705" t="s">
        <v>74</v>
      </c>
      <c r="D705" t="s">
        <v>74</v>
      </c>
      <c r="E705" t="s">
        <v>74</v>
      </c>
      <c r="F705" t="s">
        <v>12784</v>
      </c>
      <c r="G705" t="s">
        <v>74</v>
      </c>
      <c r="H705" t="s">
        <v>74</v>
      </c>
      <c r="I705" t="s">
        <v>12785</v>
      </c>
      <c r="J705" t="s">
        <v>12786</v>
      </c>
      <c r="K705" t="s">
        <v>74</v>
      </c>
      <c r="L705" t="s">
        <v>74</v>
      </c>
      <c r="M705" t="s">
        <v>78</v>
      </c>
      <c r="N705" t="s">
        <v>79</v>
      </c>
      <c r="O705" t="s">
        <v>74</v>
      </c>
      <c r="P705" t="s">
        <v>74</v>
      </c>
      <c r="Q705" t="s">
        <v>74</v>
      </c>
      <c r="R705" t="s">
        <v>74</v>
      </c>
      <c r="S705" t="s">
        <v>74</v>
      </c>
      <c r="T705" t="s">
        <v>12787</v>
      </c>
      <c r="U705" t="s">
        <v>12788</v>
      </c>
      <c r="V705" t="s">
        <v>12789</v>
      </c>
      <c r="W705" t="s">
        <v>12790</v>
      </c>
      <c r="X705" t="s">
        <v>12791</v>
      </c>
      <c r="Y705" t="s">
        <v>12792</v>
      </c>
      <c r="Z705" t="s">
        <v>12793</v>
      </c>
      <c r="AA705" t="s">
        <v>12794</v>
      </c>
      <c r="AB705" t="s">
        <v>12795</v>
      </c>
      <c r="AC705" t="s">
        <v>12796</v>
      </c>
      <c r="AD705" t="s">
        <v>12797</v>
      </c>
      <c r="AE705" t="s">
        <v>12798</v>
      </c>
      <c r="AF705" t="s">
        <v>74</v>
      </c>
      <c r="AG705">
        <v>71</v>
      </c>
      <c r="AH705">
        <v>0</v>
      </c>
      <c r="AI705">
        <v>0</v>
      </c>
      <c r="AJ705">
        <v>20</v>
      </c>
      <c r="AK705">
        <v>20</v>
      </c>
      <c r="AL705" t="s">
        <v>90</v>
      </c>
      <c r="AM705" t="s">
        <v>91</v>
      </c>
      <c r="AN705" t="s">
        <v>92</v>
      </c>
      <c r="AO705" t="s">
        <v>12799</v>
      </c>
      <c r="AP705" t="s">
        <v>12800</v>
      </c>
      <c r="AQ705" t="s">
        <v>74</v>
      </c>
      <c r="AR705" t="s">
        <v>12801</v>
      </c>
      <c r="AS705" t="s">
        <v>12802</v>
      </c>
      <c r="AT705" t="s">
        <v>11915</v>
      </c>
      <c r="AU705">
        <v>2023</v>
      </c>
      <c r="AV705">
        <v>460</v>
      </c>
      <c r="AW705" t="s">
        <v>74</v>
      </c>
      <c r="AX705" t="s">
        <v>74</v>
      </c>
      <c r="AY705" t="s">
        <v>74</v>
      </c>
      <c r="AZ705" t="s">
        <v>74</v>
      </c>
      <c r="BA705" t="s">
        <v>74</v>
      </c>
      <c r="BB705" t="s">
        <v>74</v>
      </c>
      <c r="BC705" t="s">
        <v>74</v>
      </c>
      <c r="BD705">
        <v>132411</v>
      </c>
      <c r="BE705" t="s">
        <v>12803</v>
      </c>
      <c r="BF705" t="str">
        <f>HYPERLINK("http://dx.doi.org/10.1016/j.jhazmat.2023.132411","http://dx.doi.org/10.1016/j.jhazmat.2023.132411")</f>
        <v>http://dx.doi.org/10.1016/j.jhazmat.2023.132411</v>
      </c>
      <c r="BG705" t="s">
        <v>74</v>
      </c>
      <c r="BH705" t="s">
        <v>74</v>
      </c>
      <c r="BI705">
        <v>11</v>
      </c>
      <c r="BJ705" t="s">
        <v>12804</v>
      </c>
      <c r="BK705" t="s">
        <v>100</v>
      </c>
      <c r="BL705" t="s">
        <v>12805</v>
      </c>
      <c r="BM705" t="s">
        <v>12806</v>
      </c>
      <c r="BN705">
        <v>37666171</v>
      </c>
      <c r="BO705" t="s">
        <v>74</v>
      </c>
      <c r="BP705" t="s">
        <v>74</v>
      </c>
      <c r="BQ705" t="s">
        <v>74</v>
      </c>
      <c r="BR705" t="s">
        <v>104</v>
      </c>
      <c r="BS705" t="s">
        <v>12807</v>
      </c>
      <c r="BT705" t="str">
        <f>HYPERLINK("https%3A%2F%2Fwww.webofscience.com%2Fwos%2Fwoscc%2Ffull-record%2FWOS:001071942300001","View Full Record in Web of Science")</f>
        <v>View Full Record in Web of Science</v>
      </c>
    </row>
    <row r="706" spans="1:72" x14ac:dyDescent="0.15">
      <c r="A706" t="s">
        <v>72</v>
      </c>
      <c r="B706" t="s">
        <v>12808</v>
      </c>
      <c r="C706" t="s">
        <v>74</v>
      </c>
      <c r="D706" t="s">
        <v>74</v>
      </c>
      <c r="E706" t="s">
        <v>74</v>
      </c>
      <c r="F706" t="s">
        <v>12809</v>
      </c>
      <c r="G706" t="s">
        <v>74</v>
      </c>
      <c r="H706" t="s">
        <v>74</v>
      </c>
      <c r="I706" t="s">
        <v>12810</v>
      </c>
      <c r="J706" t="s">
        <v>11922</v>
      </c>
      <c r="K706" t="s">
        <v>74</v>
      </c>
      <c r="L706" t="s">
        <v>74</v>
      </c>
      <c r="M706" t="s">
        <v>78</v>
      </c>
      <c r="N706" t="s">
        <v>79</v>
      </c>
      <c r="O706" t="s">
        <v>74</v>
      </c>
      <c r="P706" t="s">
        <v>74</v>
      </c>
      <c r="Q706" t="s">
        <v>74</v>
      </c>
      <c r="R706" t="s">
        <v>74</v>
      </c>
      <c r="S706" t="s">
        <v>74</v>
      </c>
      <c r="T706" t="s">
        <v>12811</v>
      </c>
      <c r="U706" t="s">
        <v>12812</v>
      </c>
      <c r="V706" t="s">
        <v>12813</v>
      </c>
      <c r="W706" t="s">
        <v>12814</v>
      </c>
      <c r="X706" t="s">
        <v>12815</v>
      </c>
      <c r="Y706" t="s">
        <v>12816</v>
      </c>
      <c r="Z706" t="s">
        <v>12817</v>
      </c>
      <c r="AA706" t="s">
        <v>74</v>
      </c>
      <c r="AB706" t="s">
        <v>12818</v>
      </c>
      <c r="AC706" t="s">
        <v>12819</v>
      </c>
      <c r="AD706" t="s">
        <v>12820</v>
      </c>
      <c r="AE706" t="s">
        <v>12821</v>
      </c>
      <c r="AF706" t="s">
        <v>74</v>
      </c>
      <c r="AG706">
        <v>57</v>
      </c>
      <c r="AH706">
        <v>0</v>
      </c>
      <c r="AI706">
        <v>0</v>
      </c>
      <c r="AJ706">
        <v>7</v>
      </c>
      <c r="AK706">
        <v>7</v>
      </c>
      <c r="AL706" t="s">
        <v>955</v>
      </c>
      <c r="AM706" t="s">
        <v>956</v>
      </c>
      <c r="AN706" t="s">
        <v>957</v>
      </c>
      <c r="AO706" t="s">
        <v>11930</v>
      </c>
      <c r="AP706" t="s">
        <v>11931</v>
      </c>
      <c r="AQ706" t="s">
        <v>74</v>
      </c>
      <c r="AR706" t="s">
        <v>11932</v>
      </c>
      <c r="AS706" t="s">
        <v>11933</v>
      </c>
      <c r="AT706" t="s">
        <v>11915</v>
      </c>
      <c r="AU706">
        <v>2023</v>
      </c>
      <c r="AV706">
        <v>470</v>
      </c>
      <c r="AW706" t="s">
        <v>74</v>
      </c>
      <c r="AX706" t="s">
        <v>74</v>
      </c>
      <c r="AY706" t="s">
        <v>74</v>
      </c>
      <c r="AZ706" t="s">
        <v>74</v>
      </c>
      <c r="BA706" t="s">
        <v>74</v>
      </c>
      <c r="BB706" t="s">
        <v>74</v>
      </c>
      <c r="BC706" t="s">
        <v>74</v>
      </c>
      <c r="BD706">
        <v>129824</v>
      </c>
      <c r="BE706" t="s">
        <v>12822</v>
      </c>
      <c r="BF706" t="str">
        <f>HYPERLINK("http://dx.doi.org/10.1016/j.surfcoat.2023.129824","http://dx.doi.org/10.1016/j.surfcoat.2023.129824")</f>
        <v>http://dx.doi.org/10.1016/j.surfcoat.2023.129824</v>
      </c>
      <c r="BG706" t="s">
        <v>74</v>
      </c>
      <c r="BH706" t="s">
        <v>74</v>
      </c>
      <c r="BI706">
        <v>11</v>
      </c>
      <c r="BJ706" t="s">
        <v>11935</v>
      </c>
      <c r="BK706" t="s">
        <v>100</v>
      </c>
      <c r="BL706" t="s">
        <v>3022</v>
      </c>
      <c r="BM706" t="s">
        <v>12823</v>
      </c>
      <c r="BN706" t="s">
        <v>74</v>
      </c>
      <c r="BO706" t="s">
        <v>295</v>
      </c>
      <c r="BP706" t="s">
        <v>74</v>
      </c>
      <c r="BQ706" t="s">
        <v>74</v>
      </c>
      <c r="BR706" t="s">
        <v>104</v>
      </c>
      <c r="BS706" t="s">
        <v>12824</v>
      </c>
      <c r="BT706" t="str">
        <f>HYPERLINK("https%3A%2F%2Fwww.webofscience.com%2Fwos%2Fwoscc%2Ffull-record%2FWOS:001051919400001","View Full Record in Web of Science")</f>
        <v>View Full Record in Web of Science</v>
      </c>
    </row>
    <row r="707" spans="1:72" x14ac:dyDescent="0.15">
      <c r="A707" t="s">
        <v>72</v>
      </c>
      <c r="B707" t="s">
        <v>12825</v>
      </c>
      <c r="C707" t="s">
        <v>74</v>
      </c>
      <c r="D707" t="s">
        <v>74</v>
      </c>
      <c r="E707" t="s">
        <v>74</v>
      </c>
      <c r="F707" t="s">
        <v>12826</v>
      </c>
      <c r="G707" t="s">
        <v>74</v>
      </c>
      <c r="H707" t="s">
        <v>74</v>
      </c>
      <c r="I707" t="s">
        <v>12827</v>
      </c>
      <c r="J707" t="s">
        <v>11941</v>
      </c>
      <c r="K707" t="s">
        <v>74</v>
      </c>
      <c r="L707" t="s">
        <v>74</v>
      </c>
      <c r="M707" t="s">
        <v>78</v>
      </c>
      <c r="N707" t="s">
        <v>79</v>
      </c>
      <c r="O707" t="s">
        <v>74</v>
      </c>
      <c r="P707" t="s">
        <v>74</v>
      </c>
      <c r="Q707" t="s">
        <v>74</v>
      </c>
      <c r="R707" t="s">
        <v>74</v>
      </c>
      <c r="S707" t="s">
        <v>74</v>
      </c>
      <c r="T707" t="s">
        <v>12828</v>
      </c>
      <c r="U707" t="s">
        <v>12829</v>
      </c>
      <c r="V707" t="s">
        <v>12830</v>
      </c>
      <c r="W707" t="s">
        <v>12831</v>
      </c>
      <c r="X707" t="s">
        <v>12832</v>
      </c>
      <c r="Y707" t="s">
        <v>12833</v>
      </c>
      <c r="Z707" t="s">
        <v>12834</v>
      </c>
      <c r="AA707" t="s">
        <v>74</v>
      </c>
      <c r="AB707" t="s">
        <v>74</v>
      </c>
      <c r="AC707" t="s">
        <v>12835</v>
      </c>
      <c r="AD707" t="s">
        <v>12836</v>
      </c>
      <c r="AE707" t="s">
        <v>12837</v>
      </c>
      <c r="AF707" t="s">
        <v>74</v>
      </c>
      <c r="AG707">
        <v>82</v>
      </c>
      <c r="AH707">
        <v>0</v>
      </c>
      <c r="AI707">
        <v>0</v>
      </c>
      <c r="AJ707">
        <v>1</v>
      </c>
      <c r="AK707">
        <v>1</v>
      </c>
      <c r="AL707" t="s">
        <v>90</v>
      </c>
      <c r="AM707" t="s">
        <v>91</v>
      </c>
      <c r="AN707" t="s">
        <v>92</v>
      </c>
      <c r="AO707" t="s">
        <v>11954</v>
      </c>
      <c r="AP707" t="s">
        <v>11955</v>
      </c>
      <c r="AQ707" t="s">
        <v>74</v>
      </c>
      <c r="AR707" t="s">
        <v>11956</v>
      </c>
      <c r="AS707" t="s">
        <v>11957</v>
      </c>
      <c r="AT707" t="s">
        <v>11915</v>
      </c>
      <c r="AU707">
        <v>2023</v>
      </c>
      <c r="AV707">
        <v>341</v>
      </c>
      <c r="AW707" t="s">
        <v>74</v>
      </c>
      <c r="AX707" t="s">
        <v>74</v>
      </c>
      <c r="AY707" t="s">
        <v>74</v>
      </c>
      <c r="AZ707" t="s">
        <v>74</v>
      </c>
      <c r="BA707" t="s">
        <v>74</v>
      </c>
      <c r="BB707" t="s">
        <v>74</v>
      </c>
      <c r="BC707" t="s">
        <v>74</v>
      </c>
      <c r="BD707">
        <v>109668</v>
      </c>
      <c r="BE707" t="s">
        <v>12838</v>
      </c>
      <c r="BF707" t="str">
        <f>HYPERLINK("http://dx.doi.org/10.1016/j.agrformet.2023.109668","http://dx.doi.org/10.1016/j.agrformet.2023.109668")</f>
        <v>http://dx.doi.org/10.1016/j.agrformet.2023.109668</v>
      </c>
      <c r="BG707" t="s">
        <v>74</v>
      </c>
      <c r="BH707" t="s">
        <v>74</v>
      </c>
      <c r="BI707">
        <v>16</v>
      </c>
      <c r="BJ707" t="s">
        <v>11959</v>
      </c>
      <c r="BK707" t="s">
        <v>100</v>
      </c>
      <c r="BL707" t="s">
        <v>11960</v>
      </c>
      <c r="BM707" t="s">
        <v>12839</v>
      </c>
      <c r="BN707" t="s">
        <v>74</v>
      </c>
      <c r="BO707" t="s">
        <v>295</v>
      </c>
      <c r="BP707" t="s">
        <v>74</v>
      </c>
      <c r="BQ707" t="s">
        <v>74</v>
      </c>
      <c r="BR707" t="s">
        <v>104</v>
      </c>
      <c r="BS707" t="s">
        <v>12840</v>
      </c>
      <c r="BT707" t="str">
        <f>HYPERLINK("https%3A%2F%2Fwww.webofscience.com%2Fwos%2Fwoscc%2Ffull-record%2FWOS:001061337700001","View Full Record in Web of Science")</f>
        <v>View Full Record in Web of Science</v>
      </c>
    </row>
    <row r="708" spans="1:72" x14ac:dyDescent="0.15">
      <c r="A708" t="s">
        <v>72</v>
      </c>
      <c r="B708" t="s">
        <v>12841</v>
      </c>
      <c r="C708" t="s">
        <v>74</v>
      </c>
      <c r="D708" t="s">
        <v>74</v>
      </c>
      <c r="E708" t="s">
        <v>74</v>
      </c>
      <c r="F708" t="s">
        <v>12842</v>
      </c>
      <c r="G708" t="s">
        <v>74</v>
      </c>
      <c r="H708" t="s">
        <v>74</v>
      </c>
      <c r="I708" t="s">
        <v>12843</v>
      </c>
      <c r="J708" t="s">
        <v>8966</v>
      </c>
      <c r="K708" t="s">
        <v>74</v>
      </c>
      <c r="L708" t="s">
        <v>74</v>
      </c>
      <c r="M708" t="s">
        <v>78</v>
      </c>
      <c r="N708" t="s">
        <v>79</v>
      </c>
      <c r="O708" t="s">
        <v>74</v>
      </c>
      <c r="P708" t="s">
        <v>74</v>
      </c>
      <c r="Q708" t="s">
        <v>74</v>
      </c>
      <c r="R708" t="s">
        <v>74</v>
      </c>
      <c r="S708" t="s">
        <v>74</v>
      </c>
      <c r="T708" t="s">
        <v>12844</v>
      </c>
      <c r="U708" t="s">
        <v>12845</v>
      </c>
      <c r="V708" t="s">
        <v>12846</v>
      </c>
      <c r="W708" t="s">
        <v>12847</v>
      </c>
      <c r="X708" t="s">
        <v>74</v>
      </c>
      <c r="Y708" t="s">
        <v>12848</v>
      </c>
      <c r="Z708" t="s">
        <v>12849</v>
      </c>
      <c r="AA708" t="s">
        <v>74</v>
      </c>
      <c r="AB708" t="s">
        <v>74</v>
      </c>
      <c r="AC708" t="s">
        <v>12850</v>
      </c>
      <c r="AD708" t="s">
        <v>12851</v>
      </c>
      <c r="AE708" t="s">
        <v>12852</v>
      </c>
      <c r="AF708" t="s">
        <v>74</v>
      </c>
      <c r="AG708">
        <v>56</v>
      </c>
      <c r="AH708">
        <v>0</v>
      </c>
      <c r="AI708">
        <v>0</v>
      </c>
      <c r="AJ708">
        <v>1</v>
      </c>
      <c r="AK708">
        <v>1</v>
      </c>
      <c r="AL708" t="s">
        <v>90</v>
      </c>
      <c r="AM708" t="s">
        <v>91</v>
      </c>
      <c r="AN708" t="s">
        <v>92</v>
      </c>
      <c r="AO708" t="s">
        <v>8977</v>
      </c>
      <c r="AP708" t="s">
        <v>8978</v>
      </c>
      <c r="AQ708" t="s">
        <v>74</v>
      </c>
      <c r="AR708" t="s">
        <v>8979</v>
      </c>
      <c r="AS708" t="s">
        <v>8980</v>
      </c>
      <c r="AT708" t="s">
        <v>11915</v>
      </c>
      <c r="AU708">
        <v>2023</v>
      </c>
      <c r="AV708">
        <v>620</v>
      </c>
      <c r="AW708" t="s">
        <v>74</v>
      </c>
      <c r="AX708" t="s">
        <v>74</v>
      </c>
      <c r="AY708" t="s">
        <v>74</v>
      </c>
      <c r="AZ708" t="s">
        <v>74</v>
      </c>
      <c r="BA708" t="s">
        <v>74</v>
      </c>
      <c r="BB708" t="s">
        <v>74</v>
      </c>
      <c r="BC708" t="s">
        <v>74</v>
      </c>
      <c r="BD708">
        <v>127350</v>
      </c>
      <c r="BE708" t="s">
        <v>12853</v>
      </c>
      <c r="BF708" t="str">
        <f>HYPERLINK("http://dx.doi.org/10.1016/j.jcrysgro.2023.127350","http://dx.doi.org/10.1016/j.jcrysgro.2023.127350")</f>
        <v>http://dx.doi.org/10.1016/j.jcrysgro.2023.127350</v>
      </c>
      <c r="BG708" t="s">
        <v>74</v>
      </c>
      <c r="BH708" t="s">
        <v>74</v>
      </c>
      <c r="BI708">
        <v>8</v>
      </c>
      <c r="BJ708" t="s">
        <v>8982</v>
      </c>
      <c r="BK708" t="s">
        <v>100</v>
      </c>
      <c r="BL708" t="s">
        <v>8983</v>
      </c>
      <c r="BM708" t="s">
        <v>12854</v>
      </c>
      <c r="BN708" t="s">
        <v>74</v>
      </c>
      <c r="BO708" t="s">
        <v>74</v>
      </c>
      <c r="BP708" t="s">
        <v>74</v>
      </c>
      <c r="BQ708" t="s">
        <v>74</v>
      </c>
      <c r="BR708" t="s">
        <v>104</v>
      </c>
      <c r="BS708" t="s">
        <v>12855</v>
      </c>
      <c r="BT708" t="str">
        <f>HYPERLINK("https%3A%2F%2Fwww.webofscience.com%2Fwos%2Fwoscc%2Ffull-record%2FWOS:001049859200001","View Full Record in Web of Science")</f>
        <v>View Full Record in Web of Science</v>
      </c>
    </row>
    <row r="709" spans="1:72" x14ac:dyDescent="0.15">
      <c r="A709" t="s">
        <v>72</v>
      </c>
      <c r="B709" t="s">
        <v>12856</v>
      </c>
      <c r="C709" t="s">
        <v>74</v>
      </c>
      <c r="D709" t="s">
        <v>74</v>
      </c>
      <c r="E709" t="s">
        <v>74</v>
      </c>
      <c r="F709" t="s">
        <v>12857</v>
      </c>
      <c r="G709" t="s">
        <v>74</v>
      </c>
      <c r="H709" t="s">
        <v>74</v>
      </c>
      <c r="I709" t="s">
        <v>12858</v>
      </c>
      <c r="J709" t="s">
        <v>3005</v>
      </c>
      <c r="K709" t="s">
        <v>74</v>
      </c>
      <c r="L709" t="s">
        <v>74</v>
      </c>
      <c r="M709" t="s">
        <v>78</v>
      </c>
      <c r="N709" t="s">
        <v>79</v>
      </c>
      <c r="O709" t="s">
        <v>74</v>
      </c>
      <c r="P709" t="s">
        <v>74</v>
      </c>
      <c r="Q709" t="s">
        <v>74</v>
      </c>
      <c r="R709" t="s">
        <v>74</v>
      </c>
      <c r="S709" t="s">
        <v>74</v>
      </c>
      <c r="T709" t="s">
        <v>12859</v>
      </c>
      <c r="U709" t="s">
        <v>12860</v>
      </c>
      <c r="V709" t="s">
        <v>12861</v>
      </c>
      <c r="W709" t="s">
        <v>12862</v>
      </c>
      <c r="X709" t="s">
        <v>12863</v>
      </c>
      <c r="Y709" t="s">
        <v>12864</v>
      </c>
      <c r="Z709" t="s">
        <v>12865</v>
      </c>
      <c r="AA709" t="s">
        <v>74</v>
      </c>
      <c r="AB709" t="s">
        <v>74</v>
      </c>
      <c r="AC709" t="s">
        <v>12866</v>
      </c>
      <c r="AD709" t="s">
        <v>12867</v>
      </c>
      <c r="AE709" t="s">
        <v>12868</v>
      </c>
      <c r="AF709" t="s">
        <v>74</v>
      </c>
      <c r="AG709">
        <v>6</v>
      </c>
      <c r="AH709">
        <v>0</v>
      </c>
      <c r="AI709">
        <v>0</v>
      </c>
      <c r="AJ709">
        <v>3</v>
      </c>
      <c r="AK709">
        <v>3</v>
      </c>
      <c r="AL709" t="s">
        <v>90</v>
      </c>
      <c r="AM709" t="s">
        <v>91</v>
      </c>
      <c r="AN709" t="s">
        <v>92</v>
      </c>
      <c r="AO709" t="s">
        <v>3016</v>
      </c>
      <c r="AP709" t="s">
        <v>3017</v>
      </c>
      <c r="AQ709" t="s">
        <v>74</v>
      </c>
      <c r="AR709" t="s">
        <v>3018</v>
      </c>
      <c r="AS709" t="s">
        <v>3019</v>
      </c>
      <c r="AT709" t="s">
        <v>11915</v>
      </c>
      <c r="AU709">
        <v>2023</v>
      </c>
      <c r="AV709">
        <v>349</v>
      </c>
      <c r="AW709" t="s">
        <v>74</v>
      </c>
      <c r="AX709" t="s">
        <v>74</v>
      </c>
      <c r="AY709" t="s">
        <v>74</v>
      </c>
      <c r="AZ709" t="s">
        <v>74</v>
      </c>
      <c r="BA709" t="s">
        <v>74</v>
      </c>
      <c r="BB709" t="s">
        <v>74</v>
      </c>
      <c r="BC709" t="s">
        <v>74</v>
      </c>
      <c r="BD709">
        <v>134879</v>
      </c>
      <c r="BE709" t="s">
        <v>12869</v>
      </c>
      <c r="BF709" t="str">
        <f>HYPERLINK("http://dx.doi.org/10.1016/j.matlet.2023.134879","http://dx.doi.org/10.1016/j.matlet.2023.134879")</f>
        <v>http://dx.doi.org/10.1016/j.matlet.2023.134879</v>
      </c>
      <c r="BG709" t="s">
        <v>74</v>
      </c>
      <c r="BH709" t="s">
        <v>74</v>
      </c>
      <c r="BI709">
        <v>4</v>
      </c>
      <c r="BJ709" t="s">
        <v>3021</v>
      </c>
      <c r="BK709" t="s">
        <v>100</v>
      </c>
      <c r="BL709" t="s">
        <v>3022</v>
      </c>
      <c r="BM709" t="s">
        <v>12870</v>
      </c>
      <c r="BN709" t="s">
        <v>74</v>
      </c>
      <c r="BO709" t="s">
        <v>74</v>
      </c>
      <c r="BP709" t="s">
        <v>74</v>
      </c>
      <c r="BQ709" t="s">
        <v>74</v>
      </c>
      <c r="BR709" t="s">
        <v>104</v>
      </c>
      <c r="BS709" t="s">
        <v>12871</v>
      </c>
      <c r="BT709" t="str">
        <f>HYPERLINK("https%3A%2F%2Fwww.webofscience.com%2Fwos%2Fwoscc%2Ffull-record%2FWOS:001046841000001","View Full Record in Web of Science")</f>
        <v>View Full Record in Web of Science</v>
      </c>
    </row>
    <row r="710" spans="1:72" x14ac:dyDescent="0.15">
      <c r="A710" t="s">
        <v>72</v>
      </c>
      <c r="B710" t="s">
        <v>12872</v>
      </c>
      <c r="C710" t="s">
        <v>74</v>
      </c>
      <c r="D710" t="s">
        <v>74</v>
      </c>
      <c r="E710" t="s">
        <v>74</v>
      </c>
      <c r="F710" t="s">
        <v>12873</v>
      </c>
      <c r="G710" t="s">
        <v>74</v>
      </c>
      <c r="H710" t="s">
        <v>74</v>
      </c>
      <c r="I710" t="s">
        <v>12874</v>
      </c>
      <c r="J710" t="s">
        <v>12579</v>
      </c>
      <c r="K710" t="s">
        <v>74</v>
      </c>
      <c r="L710" t="s">
        <v>74</v>
      </c>
      <c r="M710" t="s">
        <v>78</v>
      </c>
      <c r="N710" t="s">
        <v>79</v>
      </c>
      <c r="O710" t="s">
        <v>74</v>
      </c>
      <c r="P710" t="s">
        <v>74</v>
      </c>
      <c r="Q710" t="s">
        <v>74</v>
      </c>
      <c r="R710" t="s">
        <v>74</v>
      </c>
      <c r="S710" t="s">
        <v>74</v>
      </c>
      <c r="T710" t="s">
        <v>12875</v>
      </c>
      <c r="U710" t="s">
        <v>12876</v>
      </c>
      <c r="V710" t="s">
        <v>12877</v>
      </c>
      <c r="W710" t="s">
        <v>12878</v>
      </c>
      <c r="X710" t="s">
        <v>12879</v>
      </c>
      <c r="Y710" t="s">
        <v>12880</v>
      </c>
      <c r="Z710" t="s">
        <v>12881</v>
      </c>
      <c r="AA710" t="s">
        <v>74</v>
      </c>
      <c r="AB710" t="s">
        <v>12882</v>
      </c>
      <c r="AC710" t="s">
        <v>12883</v>
      </c>
      <c r="AD710" t="s">
        <v>7429</v>
      </c>
      <c r="AE710" t="s">
        <v>12884</v>
      </c>
      <c r="AF710" t="s">
        <v>74</v>
      </c>
      <c r="AG710">
        <v>183</v>
      </c>
      <c r="AH710">
        <v>0</v>
      </c>
      <c r="AI710">
        <v>0</v>
      </c>
      <c r="AJ710">
        <v>0</v>
      </c>
      <c r="AK710">
        <v>0</v>
      </c>
      <c r="AL710" t="s">
        <v>173</v>
      </c>
      <c r="AM710" t="s">
        <v>121</v>
      </c>
      <c r="AN710" t="s">
        <v>174</v>
      </c>
      <c r="AO710" t="s">
        <v>12590</v>
      </c>
      <c r="AP710" t="s">
        <v>12591</v>
      </c>
      <c r="AQ710" t="s">
        <v>74</v>
      </c>
      <c r="AR710" t="s">
        <v>12592</v>
      </c>
      <c r="AS710" t="s">
        <v>12593</v>
      </c>
      <c r="AT710" t="s">
        <v>11915</v>
      </c>
      <c r="AU710">
        <v>2023</v>
      </c>
      <c r="AV710">
        <v>259</v>
      </c>
      <c r="AW710" t="s">
        <v>74</v>
      </c>
      <c r="AX710" t="s">
        <v>74</v>
      </c>
      <c r="AY710" t="s">
        <v>74</v>
      </c>
      <c r="AZ710" t="s">
        <v>74</v>
      </c>
      <c r="BA710" t="s">
        <v>74</v>
      </c>
      <c r="BB710" t="s">
        <v>74</v>
      </c>
      <c r="BC710" t="s">
        <v>74</v>
      </c>
      <c r="BD710">
        <v>119187</v>
      </c>
      <c r="BE710" t="s">
        <v>12885</v>
      </c>
      <c r="BF710" t="str">
        <f>HYPERLINK("http://dx.doi.org/10.1016/j.actamat.2023.119187","http://dx.doi.org/10.1016/j.actamat.2023.119187")</f>
        <v>http://dx.doi.org/10.1016/j.actamat.2023.119187</v>
      </c>
      <c r="BG710" t="s">
        <v>74</v>
      </c>
      <c r="BH710" t="s">
        <v>74</v>
      </c>
      <c r="BI710">
        <v>16</v>
      </c>
      <c r="BJ710" t="s">
        <v>10175</v>
      </c>
      <c r="BK710" t="s">
        <v>100</v>
      </c>
      <c r="BL710" t="s">
        <v>10176</v>
      </c>
      <c r="BM710" t="s">
        <v>12886</v>
      </c>
      <c r="BN710" t="s">
        <v>74</v>
      </c>
      <c r="BO710" t="s">
        <v>74</v>
      </c>
      <c r="BP710" t="s">
        <v>74</v>
      </c>
      <c r="BQ710" t="s">
        <v>74</v>
      </c>
      <c r="BR710" t="s">
        <v>104</v>
      </c>
      <c r="BS710" t="s">
        <v>12887</v>
      </c>
      <c r="BT710" t="str">
        <f>HYPERLINK("https%3A%2F%2Fwww.webofscience.com%2Fwos%2Fwoscc%2Ffull-record%2FWOS:001062678300001","View Full Record in Web of Science")</f>
        <v>View Full Record in Web of Science</v>
      </c>
    </row>
    <row r="711" spans="1:72" x14ac:dyDescent="0.15">
      <c r="A711" t="s">
        <v>72</v>
      </c>
      <c r="B711" t="s">
        <v>12888</v>
      </c>
      <c r="C711" t="s">
        <v>74</v>
      </c>
      <c r="D711" t="s">
        <v>74</v>
      </c>
      <c r="E711" t="s">
        <v>74</v>
      </c>
      <c r="F711" t="s">
        <v>12889</v>
      </c>
      <c r="G711" t="s">
        <v>74</v>
      </c>
      <c r="H711" t="s">
        <v>74</v>
      </c>
      <c r="I711" t="s">
        <v>12890</v>
      </c>
      <c r="J711" t="s">
        <v>8042</v>
      </c>
      <c r="K711" t="s">
        <v>74</v>
      </c>
      <c r="L711" t="s">
        <v>74</v>
      </c>
      <c r="M711" t="s">
        <v>78</v>
      </c>
      <c r="N711" t="s">
        <v>241</v>
      </c>
      <c r="O711" t="s">
        <v>74</v>
      </c>
      <c r="P711" t="s">
        <v>74</v>
      </c>
      <c r="Q711" t="s">
        <v>74</v>
      </c>
      <c r="R711" t="s">
        <v>74</v>
      </c>
      <c r="S711" t="s">
        <v>74</v>
      </c>
      <c r="T711" t="s">
        <v>12891</v>
      </c>
      <c r="U711" t="s">
        <v>12892</v>
      </c>
      <c r="V711" t="s">
        <v>12893</v>
      </c>
      <c r="W711" t="s">
        <v>12894</v>
      </c>
      <c r="X711" t="s">
        <v>12895</v>
      </c>
      <c r="Y711" t="s">
        <v>12896</v>
      </c>
      <c r="Z711" t="s">
        <v>12897</v>
      </c>
      <c r="AA711" t="s">
        <v>74</v>
      </c>
      <c r="AB711" t="s">
        <v>74</v>
      </c>
      <c r="AC711" t="s">
        <v>12898</v>
      </c>
      <c r="AD711" t="s">
        <v>12899</v>
      </c>
      <c r="AE711" t="s">
        <v>12900</v>
      </c>
      <c r="AF711" t="s">
        <v>74</v>
      </c>
      <c r="AG711">
        <v>84</v>
      </c>
      <c r="AH711">
        <v>0</v>
      </c>
      <c r="AI711">
        <v>0</v>
      </c>
      <c r="AJ711">
        <v>5</v>
      </c>
      <c r="AK711">
        <v>5</v>
      </c>
      <c r="AL711" t="s">
        <v>90</v>
      </c>
      <c r="AM711" t="s">
        <v>91</v>
      </c>
      <c r="AN711" t="s">
        <v>92</v>
      </c>
      <c r="AO711" t="s">
        <v>8054</v>
      </c>
      <c r="AP711" t="s">
        <v>8055</v>
      </c>
      <c r="AQ711" t="s">
        <v>74</v>
      </c>
      <c r="AR711" t="s">
        <v>8056</v>
      </c>
      <c r="AS711" t="s">
        <v>8057</v>
      </c>
      <c r="AT711" t="s">
        <v>11915</v>
      </c>
      <c r="AU711">
        <v>2023</v>
      </c>
      <c r="AV711">
        <v>339</v>
      </c>
      <c r="AW711" t="s">
        <v>74</v>
      </c>
      <c r="AX711" t="s">
        <v>74</v>
      </c>
      <c r="AY711" t="s">
        <v>74</v>
      </c>
      <c r="AZ711" t="s">
        <v>74</v>
      </c>
      <c r="BA711" t="s">
        <v>74</v>
      </c>
      <c r="BB711">
        <v>400</v>
      </c>
      <c r="BC711">
        <v>411</v>
      </c>
      <c r="BD711" t="s">
        <v>74</v>
      </c>
      <c r="BE711" t="s">
        <v>12901</v>
      </c>
      <c r="BF711" t="str">
        <f>HYPERLINK("http://dx.doi.org/10.1016/j.jad.2023.07.083","http://dx.doi.org/10.1016/j.jad.2023.07.083")</f>
        <v>http://dx.doi.org/10.1016/j.jad.2023.07.083</v>
      </c>
      <c r="BG711" t="s">
        <v>74</v>
      </c>
      <c r="BH711" t="s">
        <v>74</v>
      </c>
      <c r="BI711">
        <v>12</v>
      </c>
      <c r="BJ711" t="s">
        <v>8059</v>
      </c>
      <c r="BK711" t="s">
        <v>666</v>
      </c>
      <c r="BL711" t="s">
        <v>8060</v>
      </c>
      <c r="BM711" t="s">
        <v>12902</v>
      </c>
      <c r="BN711">
        <v>37459979</v>
      </c>
      <c r="BO711" t="s">
        <v>74</v>
      </c>
      <c r="BP711" t="s">
        <v>74</v>
      </c>
      <c r="BQ711" t="s">
        <v>74</v>
      </c>
      <c r="BR711" t="s">
        <v>104</v>
      </c>
      <c r="BS711" t="s">
        <v>12903</v>
      </c>
      <c r="BT711" t="str">
        <f>HYPERLINK("https%3A%2F%2Fwww.webofscience.com%2Fwos%2Fwoscc%2Ffull-record%2FWOS:001046150000001","View Full Record in Web of Science")</f>
        <v>View Full Record in Web of Science</v>
      </c>
    </row>
    <row r="712" spans="1:72" x14ac:dyDescent="0.15">
      <c r="A712" t="s">
        <v>72</v>
      </c>
      <c r="B712" t="s">
        <v>12904</v>
      </c>
      <c r="C712" t="s">
        <v>74</v>
      </c>
      <c r="D712" t="s">
        <v>74</v>
      </c>
      <c r="E712" t="s">
        <v>74</v>
      </c>
      <c r="F712" t="s">
        <v>12905</v>
      </c>
      <c r="G712" t="s">
        <v>74</v>
      </c>
      <c r="H712" t="s">
        <v>74</v>
      </c>
      <c r="I712" t="s">
        <v>12906</v>
      </c>
      <c r="J712" t="s">
        <v>12907</v>
      </c>
      <c r="K712" t="s">
        <v>74</v>
      </c>
      <c r="L712" t="s">
        <v>74</v>
      </c>
      <c r="M712" t="s">
        <v>78</v>
      </c>
      <c r="N712" t="s">
        <v>79</v>
      </c>
      <c r="O712" t="s">
        <v>74</v>
      </c>
      <c r="P712" t="s">
        <v>74</v>
      </c>
      <c r="Q712" t="s">
        <v>74</v>
      </c>
      <c r="R712" t="s">
        <v>74</v>
      </c>
      <c r="S712" t="s">
        <v>74</v>
      </c>
      <c r="T712" t="s">
        <v>12908</v>
      </c>
      <c r="U712" t="s">
        <v>12909</v>
      </c>
      <c r="V712" t="s">
        <v>12910</v>
      </c>
      <c r="W712" t="s">
        <v>12911</v>
      </c>
      <c r="X712" t="s">
        <v>12912</v>
      </c>
      <c r="Y712" t="s">
        <v>12913</v>
      </c>
      <c r="Z712" t="s">
        <v>74</v>
      </c>
      <c r="AA712" t="s">
        <v>74</v>
      </c>
      <c r="AB712" t="s">
        <v>12914</v>
      </c>
      <c r="AC712" t="s">
        <v>12915</v>
      </c>
      <c r="AD712" t="s">
        <v>12916</v>
      </c>
      <c r="AE712" t="s">
        <v>12917</v>
      </c>
      <c r="AF712" t="s">
        <v>74</v>
      </c>
      <c r="AG712">
        <v>79</v>
      </c>
      <c r="AH712">
        <v>0</v>
      </c>
      <c r="AI712">
        <v>0</v>
      </c>
      <c r="AJ712">
        <v>0</v>
      </c>
      <c r="AK712">
        <v>0</v>
      </c>
      <c r="AL712" t="s">
        <v>173</v>
      </c>
      <c r="AM712" t="s">
        <v>121</v>
      </c>
      <c r="AN712" t="s">
        <v>174</v>
      </c>
      <c r="AO712" t="s">
        <v>12918</v>
      </c>
      <c r="AP712" t="s">
        <v>12919</v>
      </c>
      <c r="AQ712" t="s">
        <v>74</v>
      </c>
      <c r="AR712" t="s">
        <v>12920</v>
      </c>
      <c r="AS712" t="s">
        <v>12921</v>
      </c>
      <c r="AT712" t="s">
        <v>11915</v>
      </c>
      <c r="AU712">
        <v>2023</v>
      </c>
      <c r="AV712">
        <v>331</v>
      </c>
      <c r="AW712" t="s">
        <v>74</v>
      </c>
      <c r="AX712" t="s">
        <v>74</v>
      </c>
      <c r="AY712" t="s">
        <v>74</v>
      </c>
      <c r="AZ712" t="s">
        <v>74</v>
      </c>
      <c r="BA712" t="s">
        <v>74</v>
      </c>
      <c r="BB712" t="s">
        <v>74</v>
      </c>
      <c r="BC712" t="s">
        <v>74</v>
      </c>
      <c r="BD712">
        <v>122036</v>
      </c>
      <c r="BE712" t="s">
        <v>12922</v>
      </c>
      <c r="BF712" t="str">
        <f>HYPERLINK("http://dx.doi.org/10.1016/j.lfs.2023.122036","http://dx.doi.org/10.1016/j.lfs.2023.122036")</f>
        <v>http://dx.doi.org/10.1016/j.lfs.2023.122036</v>
      </c>
      <c r="BG712" t="s">
        <v>74</v>
      </c>
      <c r="BH712" t="s">
        <v>74</v>
      </c>
      <c r="BI712">
        <v>10</v>
      </c>
      <c r="BJ712" t="s">
        <v>12923</v>
      </c>
      <c r="BK712" t="s">
        <v>100</v>
      </c>
      <c r="BL712" t="s">
        <v>12924</v>
      </c>
      <c r="BM712" t="s">
        <v>12925</v>
      </c>
      <c r="BN712">
        <v>37633417</v>
      </c>
      <c r="BO712" t="s">
        <v>74</v>
      </c>
      <c r="BP712" t="s">
        <v>74</v>
      </c>
      <c r="BQ712" t="s">
        <v>74</v>
      </c>
      <c r="BR712" t="s">
        <v>104</v>
      </c>
      <c r="BS712" t="s">
        <v>12926</v>
      </c>
      <c r="BT712" t="str">
        <f>HYPERLINK("https%3A%2F%2Fwww.webofscience.com%2Fwos%2Fwoscc%2Ffull-record%2FWOS:001073500200001","View Full Record in Web of Science")</f>
        <v>View Full Record in Web of Science</v>
      </c>
    </row>
    <row r="713" spans="1:72" x14ac:dyDescent="0.15">
      <c r="A713" t="s">
        <v>72</v>
      </c>
      <c r="B713" t="s">
        <v>12927</v>
      </c>
      <c r="C713" t="s">
        <v>74</v>
      </c>
      <c r="D713" t="s">
        <v>74</v>
      </c>
      <c r="E713" t="s">
        <v>74</v>
      </c>
      <c r="F713" t="s">
        <v>12928</v>
      </c>
      <c r="G713" t="s">
        <v>74</v>
      </c>
      <c r="H713" t="s">
        <v>74</v>
      </c>
      <c r="I713" t="s">
        <v>12929</v>
      </c>
      <c r="J713" t="s">
        <v>12930</v>
      </c>
      <c r="K713" t="s">
        <v>74</v>
      </c>
      <c r="L713" t="s">
        <v>74</v>
      </c>
      <c r="M713" t="s">
        <v>78</v>
      </c>
      <c r="N713" t="s">
        <v>79</v>
      </c>
      <c r="O713" t="s">
        <v>74</v>
      </c>
      <c r="P713" t="s">
        <v>74</v>
      </c>
      <c r="Q713" t="s">
        <v>74</v>
      </c>
      <c r="R713" t="s">
        <v>74</v>
      </c>
      <c r="S713" t="s">
        <v>74</v>
      </c>
      <c r="T713" t="s">
        <v>12931</v>
      </c>
      <c r="U713" t="s">
        <v>12932</v>
      </c>
      <c r="V713" t="s">
        <v>12933</v>
      </c>
      <c r="W713" t="s">
        <v>12934</v>
      </c>
      <c r="X713" t="s">
        <v>12935</v>
      </c>
      <c r="Y713" t="s">
        <v>12936</v>
      </c>
      <c r="Z713" t="s">
        <v>12937</v>
      </c>
      <c r="AA713" t="s">
        <v>74</v>
      </c>
      <c r="AB713" t="s">
        <v>74</v>
      </c>
      <c r="AC713" t="s">
        <v>12938</v>
      </c>
      <c r="AD713" t="s">
        <v>12938</v>
      </c>
      <c r="AE713" t="s">
        <v>12939</v>
      </c>
      <c r="AF713" t="s">
        <v>74</v>
      </c>
      <c r="AG713">
        <v>37</v>
      </c>
      <c r="AH713">
        <v>0</v>
      </c>
      <c r="AI713">
        <v>0</v>
      </c>
      <c r="AJ713">
        <v>3</v>
      </c>
      <c r="AK713">
        <v>3</v>
      </c>
      <c r="AL713" t="s">
        <v>173</v>
      </c>
      <c r="AM713" t="s">
        <v>121</v>
      </c>
      <c r="AN713" t="s">
        <v>174</v>
      </c>
      <c r="AO713" t="s">
        <v>12940</v>
      </c>
      <c r="AP713" t="s">
        <v>12941</v>
      </c>
      <c r="AQ713" t="s">
        <v>74</v>
      </c>
      <c r="AR713" t="s">
        <v>12942</v>
      </c>
      <c r="AS713" t="s">
        <v>12943</v>
      </c>
      <c r="AT713" t="s">
        <v>11915</v>
      </c>
      <c r="AU713">
        <v>2023</v>
      </c>
      <c r="AV713">
        <v>270</v>
      </c>
      <c r="AW713" t="s">
        <v>74</v>
      </c>
      <c r="AX713" t="s">
        <v>74</v>
      </c>
      <c r="AY713" t="s">
        <v>74</v>
      </c>
      <c r="AZ713" t="s">
        <v>74</v>
      </c>
      <c r="BA713" t="s">
        <v>74</v>
      </c>
      <c r="BB713" t="s">
        <v>74</v>
      </c>
      <c r="BC713" t="s">
        <v>74</v>
      </c>
      <c r="BD713">
        <v>114308</v>
      </c>
      <c r="BE713" t="s">
        <v>12944</v>
      </c>
      <c r="BF713" t="str">
        <f>HYPERLINK("http://dx.doi.org/10.1016/j.physbeh.2023.114308","http://dx.doi.org/10.1016/j.physbeh.2023.114308")</f>
        <v>http://dx.doi.org/10.1016/j.physbeh.2023.114308</v>
      </c>
      <c r="BG713" t="s">
        <v>74</v>
      </c>
      <c r="BH713" t="s">
        <v>74</v>
      </c>
      <c r="BI713">
        <v>10</v>
      </c>
      <c r="BJ713" t="s">
        <v>12945</v>
      </c>
      <c r="BK713" t="s">
        <v>666</v>
      </c>
      <c r="BL713" t="s">
        <v>12946</v>
      </c>
      <c r="BM713" t="s">
        <v>12947</v>
      </c>
      <c r="BN713">
        <v>37517663</v>
      </c>
      <c r="BO713" t="s">
        <v>2583</v>
      </c>
      <c r="BP713" t="s">
        <v>74</v>
      </c>
      <c r="BQ713" t="s">
        <v>74</v>
      </c>
      <c r="BR713" t="s">
        <v>104</v>
      </c>
      <c r="BS713" t="s">
        <v>12948</v>
      </c>
      <c r="BT713" t="str">
        <f>HYPERLINK("https%3A%2F%2Fwww.webofscience.com%2Fwos%2Fwoscc%2Ffull-record%2FWOS:001059667700001","View Full Record in Web of Science")</f>
        <v>View Full Record in Web of Science</v>
      </c>
    </row>
    <row r="714" spans="1:72" x14ac:dyDescent="0.15">
      <c r="A714" t="s">
        <v>72</v>
      </c>
      <c r="B714" t="s">
        <v>12949</v>
      </c>
      <c r="C714" t="s">
        <v>74</v>
      </c>
      <c r="D714" t="s">
        <v>74</v>
      </c>
      <c r="E714" t="s">
        <v>74</v>
      </c>
      <c r="F714" t="s">
        <v>12950</v>
      </c>
      <c r="G714" t="s">
        <v>74</v>
      </c>
      <c r="H714" t="s">
        <v>74</v>
      </c>
      <c r="I714" t="s">
        <v>12951</v>
      </c>
      <c r="J714" t="s">
        <v>11455</v>
      </c>
      <c r="K714" t="s">
        <v>74</v>
      </c>
      <c r="L714" t="s">
        <v>74</v>
      </c>
      <c r="M714" t="s">
        <v>78</v>
      </c>
      <c r="N714" t="s">
        <v>79</v>
      </c>
      <c r="O714" t="s">
        <v>74</v>
      </c>
      <c r="P714" t="s">
        <v>74</v>
      </c>
      <c r="Q714" t="s">
        <v>74</v>
      </c>
      <c r="R714" t="s">
        <v>74</v>
      </c>
      <c r="S714" t="s">
        <v>74</v>
      </c>
      <c r="T714" t="s">
        <v>12952</v>
      </c>
      <c r="U714" t="s">
        <v>12953</v>
      </c>
      <c r="V714" t="s">
        <v>12954</v>
      </c>
      <c r="W714" t="s">
        <v>12955</v>
      </c>
      <c r="X714" t="s">
        <v>12956</v>
      </c>
      <c r="Y714" t="s">
        <v>12957</v>
      </c>
      <c r="Z714" t="s">
        <v>12958</v>
      </c>
      <c r="AA714" t="s">
        <v>74</v>
      </c>
      <c r="AB714" t="s">
        <v>74</v>
      </c>
      <c r="AC714" t="s">
        <v>12959</v>
      </c>
      <c r="AD714" t="s">
        <v>12960</v>
      </c>
      <c r="AE714" t="s">
        <v>12961</v>
      </c>
      <c r="AF714" t="s">
        <v>74</v>
      </c>
      <c r="AG714">
        <v>41</v>
      </c>
      <c r="AH714">
        <v>0</v>
      </c>
      <c r="AI714">
        <v>0</v>
      </c>
      <c r="AJ714">
        <v>6</v>
      </c>
      <c r="AK714">
        <v>6</v>
      </c>
      <c r="AL714" t="s">
        <v>90</v>
      </c>
      <c r="AM714" t="s">
        <v>91</v>
      </c>
      <c r="AN714" t="s">
        <v>92</v>
      </c>
      <c r="AO714" t="s">
        <v>11466</v>
      </c>
      <c r="AP714" t="s">
        <v>11467</v>
      </c>
      <c r="AQ714" t="s">
        <v>74</v>
      </c>
      <c r="AR714" t="s">
        <v>11468</v>
      </c>
      <c r="AS714" t="s">
        <v>11469</v>
      </c>
      <c r="AT714" t="s">
        <v>11915</v>
      </c>
      <c r="AU714">
        <v>2023</v>
      </c>
      <c r="AV714">
        <v>581</v>
      </c>
      <c r="AW714" t="s">
        <v>74</v>
      </c>
      <c r="AX714" t="s">
        <v>74</v>
      </c>
      <c r="AY714" t="s">
        <v>74</v>
      </c>
      <c r="AZ714" t="s">
        <v>74</v>
      </c>
      <c r="BA714" t="s">
        <v>74</v>
      </c>
      <c r="BB714" t="s">
        <v>74</v>
      </c>
      <c r="BC714" t="s">
        <v>74</v>
      </c>
      <c r="BD714">
        <v>233462</v>
      </c>
      <c r="BE714" t="s">
        <v>12962</v>
      </c>
      <c r="BF714" t="str">
        <f>HYPERLINK("http://dx.doi.org/10.1016/j.jpowsour.2023.233462","http://dx.doi.org/10.1016/j.jpowsour.2023.233462")</f>
        <v>http://dx.doi.org/10.1016/j.jpowsour.2023.233462</v>
      </c>
      <c r="BG714" t="s">
        <v>74</v>
      </c>
      <c r="BH714" t="s">
        <v>74</v>
      </c>
      <c r="BI714">
        <v>8</v>
      </c>
      <c r="BJ714" t="s">
        <v>11472</v>
      </c>
      <c r="BK714" t="s">
        <v>100</v>
      </c>
      <c r="BL714" t="s">
        <v>11473</v>
      </c>
      <c r="BM714" t="s">
        <v>12963</v>
      </c>
      <c r="BN714" t="s">
        <v>74</v>
      </c>
      <c r="BO714" t="s">
        <v>74</v>
      </c>
      <c r="BP714" t="s">
        <v>74</v>
      </c>
      <c r="BQ714" t="s">
        <v>74</v>
      </c>
      <c r="BR714" t="s">
        <v>104</v>
      </c>
      <c r="BS714" t="s">
        <v>12964</v>
      </c>
      <c r="BT714" t="str">
        <f>HYPERLINK("https%3A%2F%2Fwww.webofscience.com%2Fwos%2Fwoscc%2Ffull-record%2FWOS:001051477600001","View Full Record in Web of Science")</f>
        <v>View Full Record in Web of Science</v>
      </c>
    </row>
    <row r="715" spans="1:72" x14ac:dyDescent="0.15">
      <c r="A715" t="s">
        <v>72</v>
      </c>
      <c r="B715" t="s">
        <v>12965</v>
      </c>
      <c r="C715" t="s">
        <v>74</v>
      </c>
      <c r="D715" t="s">
        <v>74</v>
      </c>
      <c r="E715" t="s">
        <v>74</v>
      </c>
      <c r="F715" t="s">
        <v>12966</v>
      </c>
      <c r="G715" t="s">
        <v>74</v>
      </c>
      <c r="H715" t="s">
        <v>74</v>
      </c>
      <c r="I715" t="s">
        <v>12967</v>
      </c>
      <c r="J715" t="s">
        <v>12786</v>
      </c>
      <c r="K715" t="s">
        <v>74</v>
      </c>
      <c r="L715" t="s">
        <v>74</v>
      </c>
      <c r="M715" t="s">
        <v>78</v>
      </c>
      <c r="N715" t="s">
        <v>79</v>
      </c>
      <c r="O715" t="s">
        <v>74</v>
      </c>
      <c r="P715" t="s">
        <v>74</v>
      </c>
      <c r="Q715" t="s">
        <v>74</v>
      </c>
      <c r="R715" t="s">
        <v>74</v>
      </c>
      <c r="S715" t="s">
        <v>74</v>
      </c>
      <c r="T715" t="s">
        <v>12968</v>
      </c>
      <c r="U715" t="s">
        <v>12969</v>
      </c>
      <c r="V715" t="s">
        <v>12970</v>
      </c>
      <c r="W715" t="s">
        <v>12971</v>
      </c>
      <c r="X715" t="s">
        <v>12972</v>
      </c>
      <c r="Y715" t="s">
        <v>12973</v>
      </c>
      <c r="Z715" t="s">
        <v>12974</v>
      </c>
      <c r="AA715" t="s">
        <v>74</v>
      </c>
      <c r="AB715" t="s">
        <v>74</v>
      </c>
      <c r="AC715" t="s">
        <v>12975</v>
      </c>
      <c r="AD715" t="s">
        <v>12976</v>
      </c>
      <c r="AE715" t="s">
        <v>12977</v>
      </c>
      <c r="AF715" t="s">
        <v>74</v>
      </c>
      <c r="AG715">
        <v>46</v>
      </c>
      <c r="AH715">
        <v>0</v>
      </c>
      <c r="AI715">
        <v>0</v>
      </c>
      <c r="AJ715">
        <v>3</v>
      </c>
      <c r="AK715">
        <v>3</v>
      </c>
      <c r="AL715" t="s">
        <v>90</v>
      </c>
      <c r="AM715" t="s">
        <v>91</v>
      </c>
      <c r="AN715" t="s">
        <v>92</v>
      </c>
      <c r="AO715" t="s">
        <v>12799</v>
      </c>
      <c r="AP715" t="s">
        <v>12800</v>
      </c>
      <c r="AQ715" t="s">
        <v>74</v>
      </c>
      <c r="AR715" t="s">
        <v>12801</v>
      </c>
      <c r="AS715" t="s">
        <v>12802</v>
      </c>
      <c r="AT715" t="s">
        <v>11915</v>
      </c>
      <c r="AU715">
        <v>2023</v>
      </c>
      <c r="AV715">
        <v>460</v>
      </c>
      <c r="AW715" t="s">
        <v>74</v>
      </c>
      <c r="AX715" t="s">
        <v>74</v>
      </c>
      <c r="AY715" t="s">
        <v>74</v>
      </c>
      <c r="AZ715" t="s">
        <v>74</v>
      </c>
      <c r="BA715" t="s">
        <v>74</v>
      </c>
      <c r="BB715" t="s">
        <v>74</v>
      </c>
      <c r="BC715" t="s">
        <v>74</v>
      </c>
      <c r="BD715">
        <v>132268</v>
      </c>
      <c r="BE715" t="s">
        <v>12978</v>
      </c>
      <c r="BF715" t="str">
        <f>HYPERLINK("http://dx.doi.org/10.1016/j.jhazmat.2023.132268","http://dx.doi.org/10.1016/j.jhazmat.2023.132268")</f>
        <v>http://dx.doi.org/10.1016/j.jhazmat.2023.132268</v>
      </c>
      <c r="BG715" t="s">
        <v>74</v>
      </c>
      <c r="BH715" t="s">
        <v>74</v>
      </c>
      <c r="BI715">
        <v>11</v>
      </c>
      <c r="BJ715" t="s">
        <v>12804</v>
      </c>
      <c r="BK715" t="s">
        <v>100</v>
      </c>
      <c r="BL715" t="s">
        <v>12805</v>
      </c>
      <c r="BM715" t="s">
        <v>12979</v>
      </c>
      <c r="BN715">
        <v>37619272</v>
      </c>
      <c r="BO715" t="s">
        <v>74</v>
      </c>
      <c r="BP715" t="s">
        <v>74</v>
      </c>
      <c r="BQ715" t="s">
        <v>74</v>
      </c>
      <c r="BR715" t="s">
        <v>104</v>
      </c>
      <c r="BS715" t="s">
        <v>12980</v>
      </c>
      <c r="BT715" t="str">
        <f>HYPERLINK("https%3A%2F%2Fwww.webofscience.com%2Fwos%2Fwoscc%2Ffull-record%2FWOS:001065661900001","View Full Record in Web of Science")</f>
        <v>View Full Record in Web of Science</v>
      </c>
    </row>
    <row r="716" spans="1:72" x14ac:dyDescent="0.15">
      <c r="A716" t="s">
        <v>72</v>
      </c>
      <c r="B716" t="s">
        <v>12981</v>
      </c>
      <c r="C716" t="s">
        <v>74</v>
      </c>
      <c r="D716" t="s">
        <v>74</v>
      </c>
      <c r="E716" t="s">
        <v>74</v>
      </c>
      <c r="F716" t="s">
        <v>12982</v>
      </c>
      <c r="G716" t="s">
        <v>74</v>
      </c>
      <c r="H716" t="s">
        <v>74</v>
      </c>
      <c r="I716" t="s">
        <v>12983</v>
      </c>
      <c r="J716" t="s">
        <v>7707</v>
      </c>
      <c r="K716" t="s">
        <v>74</v>
      </c>
      <c r="L716" t="s">
        <v>74</v>
      </c>
      <c r="M716" t="s">
        <v>78</v>
      </c>
      <c r="N716" t="s">
        <v>79</v>
      </c>
      <c r="O716" t="s">
        <v>74</v>
      </c>
      <c r="P716" t="s">
        <v>74</v>
      </c>
      <c r="Q716" t="s">
        <v>74</v>
      </c>
      <c r="R716" t="s">
        <v>74</v>
      </c>
      <c r="S716" t="s">
        <v>74</v>
      </c>
      <c r="T716" t="s">
        <v>12984</v>
      </c>
      <c r="U716" t="s">
        <v>12985</v>
      </c>
      <c r="V716" t="s">
        <v>12986</v>
      </c>
      <c r="W716" t="s">
        <v>12987</v>
      </c>
      <c r="X716" t="s">
        <v>12988</v>
      </c>
      <c r="Y716" t="s">
        <v>12989</v>
      </c>
      <c r="Z716" t="s">
        <v>12990</v>
      </c>
      <c r="AA716" t="s">
        <v>74</v>
      </c>
      <c r="AB716" t="s">
        <v>74</v>
      </c>
      <c r="AC716" t="s">
        <v>12991</v>
      </c>
      <c r="AD716" t="s">
        <v>12992</v>
      </c>
      <c r="AE716" t="s">
        <v>12993</v>
      </c>
      <c r="AF716" t="s">
        <v>74</v>
      </c>
      <c r="AG716">
        <v>55</v>
      </c>
      <c r="AH716">
        <v>0</v>
      </c>
      <c r="AI716">
        <v>0</v>
      </c>
      <c r="AJ716">
        <v>4</v>
      </c>
      <c r="AK716">
        <v>4</v>
      </c>
      <c r="AL716" t="s">
        <v>955</v>
      </c>
      <c r="AM716" t="s">
        <v>956</v>
      </c>
      <c r="AN716" t="s">
        <v>957</v>
      </c>
      <c r="AO716" t="s">
        <v>74</v>
      </c>
      <c r="AP716" t="s">
        <v>7718</v>
      </c>
      <c r="AQ716" t="s">
        <v>74</v>
      </c>
      <c r="AR716" t="s">
        <v>7719</v>
      </c>
      <c r="AS716" t="s">
        <v>7720</v>
      </c>
      <c r="AT716" t="s">
        <v>11915</v>
      </c>
      <c r="AU716">
        <v>2023</v>
      </c>
      <c r="AV716">
        <v>393</v>
      </c>
      <c r="AW716" t="s">
        <v>74</v>
      </c>
      <c r="AX716" t="s">
        <v>74</v>
      </c>
      <c r="AY716" t="s">
        <v>74</v>
      </c>
      <c r="AZ716" t="s">
        <v>74</v>
      </c>
      <c r="BA716" t="s">
        <v>74</v>
      </c>
      <c r="BB716" t="s">
        <v>74</v>
      </c>
      <c r="BC716" t="s">
        <v>74</v>
      </c>
      <c r="BD716">
        <v>134201</v>
      </c>
      <c r="BE716" t="s">
        <v>12994</v>
      </c>
      <c r="BF716" t="str">
        <f>HYPERLINK("http://dx.doi.org/10.1016/j.snb.2023.134201","http://dx.doi.org/10.1016/j.snb.2023.134201")</f>
        <v>http://dx.doi.org/10.1016/j.snb.2023.134201</v>
      </c>
      <c r="BG716" t="s">
        <v>74</v>
      </c>
      <c r="BH716" t="s">
        <v>74</v>
      </c>
      <c r="BI716">
        <v>8</v>
      </c>
      <c r="BJ716" t="s">
        <v>7722</v>
      </c>
      <c r="BK716" t="s">
        <v>100</v>
      </c>
      <c r="BL716" t="s">
        <v>7723</v>
      </c>
      <c r="BM716" t="s">
        <v>12995</v>
      </c>
      <c r="BN716" t="s">
        <v>74</v>
      </c>
      <c r="BO716" t="s">
        <v>74</v>
      </c>
      <c r="BP716" t="s">
        <v>74</v>
      </c>
      <c r="BQ716" t="s">
        <v>74</v>
      </c>
      <c r="BR716" t="s">
        <v>104</v>
      </c>
      <c r="BS716" t="s">
        <v>12996</v>
      </c>
      <c r="BT716" t="str">
        <f>HYPERLINK("https%3A%2F%2Fwww.webofscience.com%2Fwos%2Fwoscc%2Ffull-record%2FWOS:001059368700001","View Full Record in Web of Science")</f>
        <v>View Full Record in Web of Science</v>
      </c>
    </row>
    <row r="717" spans="1:72" x14ac:dyDescent="0.15">
      <c r="A717" t="s">
        <v>72</v>
      </c>
      <c r="B717" t="s">
        <v>12997</v>
      </c>
      <c r="C717" t="s">
        <v>74</v>
      </c>
      <c r="D717" t="s">
        <v>74</v>
      </c>
      <c r="E717" t="s">
        <v>74</v>
      </c>
      <c r="F717" t="s">
        <v>12998</v>
      </c>
      <c r="G717" t="s">
        <v>74</v>
      </c>
      <c r="H717" t="s">
        <v>74</v>
      </c>
      <c r="I717" t="s">
        <v>12999</v>
      </c>
      <c r="J717" t="s">
        <v>5534</v>
      </c>
      <c r="K717" t="s">
        <v>74</v>
      </c>
      <c r="L717" t="s">
        <v>74</v>
      </c>
      <c r="M717" t="s">
        <v>78</v>
      </c>
      <c r="N717" t="s">
        <v>79</v>
      </c>
      <c r="O717" t="s">
        <v>74</v>
      </c>
      <c r="P717" t="s">
        <v>74</v>
      </c>
      <c r="Q717" t="s">
        <v>74</v>
      </c>
      <c r="R717" t="s">
        <v>74</v>
      </c>
      <c r="S717" t="s">
        <v>74</v>
      </c>
      <c r="T717" t="s">
        <v>13000</v>
      </c>
      <c r="U717" t="s">
        <v>13001</v>
      </c>
      <c r="V717" t="s">
        <v>13002</v>
      </c>
      <c r="W717" t="s">
        <v>13003</v>
      </c>
      <c r="X717" t="s">
        <v>13004</v>
      </c>
      <c r="Y717" t="s">
        <v>13005</v>
      </c>
      <c r="Z717" t="s">
        <v>13006</v>
      </c>
      <c r="AA717" t="s">
        <v>74</v>
      </c>
      <c r="AB717" t="s">
        <v>74</v>
      </c>
      <c r="AC717" t="s">
        <v>13007</v>
      </c>
      <c r="AD717" t="s">
        <v>13008</v>
      </c>
      <c r="AE717" t="s">
        <v>13009</v>
      </c>
      <c r="AF717" t="s">
        <v>74</v>
      </c>
      <c r="AG717">
        <v>31</v>
      </c>
      <c r="AH717">
        <v>0</v>
      </c>
      <c r="AI717">
        <v>0</v>
      </c>
      <c r="AJ717">
        <v>11</v>
      </c>
      <c r="AK717">
        <v>11</v>
      </c>
      <c r="AL717" t="s">
        <v>120</v>
      </c>
      <c r="AM717" t="s">
        <v>121</v>
      </c>
      <c r="AN717" t="s">
        <v>122</v>
      </c>
      <c r="AO717" t="s">
        <v>5542</v>
      </c>
      <c r="AP717" t="s">
        <v>5543</v>
      </c>
      <c r="AQ717" t="s">
        <v>74</v>
      </c>
      <c r="AR717" t="s">
        <v>5544</v>
      </c>
      <c r="AS717" t="s">
        <v>5545</v>
      </c>
      <c r="AT717" t="s">
        <v>11915</v>
      </c>
      <c r="AU717">
        <v>2023</v>
      </c>
      <c r="AV717">
        <v>293</v>
      </c>
      <c r="AW717" t="s">
        <v>74</v>
      </c>
      <c r="AX717" t="s">
        <v>74</v>
      </c>
      <c r="AY717" t="s">
        <v>74</v>
      </c>
      <c r="AZ717" t="s">
        <v>74</v>
      </c>
      <c r="BA717" t="s">
        <v>74</v>
      </c>
      <c r="BB717" t="s">
        <v>74</v>
      </c>
      <c r="BC717" t="s">
        <v>74</v>
      </c>
      <c r="BD717">
        <v>116581</v>
      </c>
      <c r="BE717" t="s">
        <v>13010</v>
      </c>
      <c r="BF717" t="str">
        <f>HYPERLINK("http://dx.doi.org/10.1016/j.engstruct.2023.116581","http://dx.doi.org/10.1016/j.engstruct.2023.116581")</f>
        <v>http://dx.doi.org/10.1016/j.engstruct.2023.116581</v>
      </c>
      <c r="BG717" t="s">
        <v>74</v>
      </c>
      <c r="BH717" t="s">
        <v>74</v>
      </c>
      <c r="BI717">
        <v>14</v>
      </c>
      <c r="BJ717" t="s">
        <v>5547</v>
      </c>
      <c r="BK717" t="s">
        <v>100</v>
      </c>
      <c r="BL717" t="s">
        <v>873</v>
      </c>
      <c r="BM717" t="s">
        <v>13011</v>
      </c>
      <c r="BN717" t="s">
        <v>74</v>
      </c>
      <c r="BO717" t="s">
        <v>74</v>
      </c>
      <c r="BP717" t="s">
        <v>74</v>
      </c>
      <c r="BQ717" t="s">
        <v>74</v>
      </c>
      <c r="BR717" t="s">
        <v>104</v>
      </c>
      <c r="BS717" t="s">
        <v>13012</v>
      </c>
      <c r="BT717" t="str">
        <f>HYPERLINK("https%3A%2F%2Fwww.webofscience.com%2Fwos%2Fwoscc%2Ffull-record%2FWOS:001047435200001","View Full Record in Web of Science")</f>
        <v>View Full Record in Web of Science</v>
      </c>
    </row>
    <row r="718" spans="1:72" x14ac:dyDescent="0.15">
      <c r="A718" t="s">
        <v>72</v>
      </c>
      <c r="B718" t="s">
        <v>13013</v>
      </c>
      <c r="C718" t="s">
        <v>74</v>
      </c>
      <c r="D718" t="s">
        <v>74</v>
      </c>
      <c r="E718" t="s">
        <v>74</v>
      </c>
      <c r="F718" t="s">
        <v>13014</v>
      </c>
      <c r="G718" t="s">
        <v>74</v>
      </c>
      <c r="H718" t="s">
        <v>74</v>
      </c>
      <c r="I718" t="s">
        <v>13015</v>
      </c>
      <c r="J718" t="s">
        <v>6645</v>
      </c>
      <c r="K718" t="s">
        <v>74</v>
      </c>
      <c r="L718" t="s">
        <v>74</v>
      </c>
      <c r="M718" t="s">
        <v>78</v>
      </c>
      <c r="N718" t="s">
        <v>79</v>
      </c>
      <c r="O718" t="s">
        <v>74</v>
      </c>
      <c r="P718" t="s">
        <v>74</v>
      </c>
      <c r="Q718" t="s">
        <v>74</v>
      </c>
      <c r="R718" t="s">
        <v>74</v>
      </c>
      <c r="S718" t="s">
        <v>74</v>
      </c>
      <c r="T718" t="s">
        <v>13016</v>
      </c>
      <c r="U718" t="s">
        <v>13017</v>
      </c>
      <c r="V718" t="s">
        <v>13018</v>
      </c>
      <c r="W718" t="s">
        <v>13019</v>
      </c>
      <c r="X718" t="s">
        <v>13020</v>
      </c>
      <c r="Y718" t="s">
        <v>13021</v>
      </c>
      <c r="Z718" t="s">
        <v>13022</v>
      </c>
      <c r="AA718" t="s">
        <v>74</v>
      </c>
      <c r="AB718" t="s">
        <v>74</v>
      </c>
      <c r="AC718" t="s">
        <v>13023</v>
      </c>
      <c r="AD718" t="s">
        <v>13024</v>
      </c>
      <c r="AE718" t="s">
        <v>13025</v>
      </c>
      <c r="AF718" t="s">
        <v>74</v>
      </c>
      <c r="AG718">
        <v>66</v>
      </c>
      <c r="AH718">
        <v>0</v>
      </c>
      <c r="AI718">
        <v>0</v>
      </c>
      <c r="AJ718">
        <v>5</v>
      </c>
      <c r="AK718">
        <v>5</v>
      </c>
      <c r="AL718" t="s">
        <v>90</v>
      </c>
      <c r="AM718" t="s">
        <v>91</v>
      </c>
      <c r="AN718" t="s">
        <v>92</v>
      </c>
      <c r="AO718" t="s">
        <v>74</v>
      </c>
      <c r="AP718" t="s">
        <v>6656</v>
      </c>
      <c r="AQ718" t="s">
        <v>74</v>
      </c>
      <c r="AR718" t="s">
        <v>6657</v>
      </c>
      <c r="AS718" t="s">
        <v>6658</v>
      </c>
      <c r="AT718" t="s">
        <v>11915</v>
      </c>
      <c r="AU718">
        <v>2023</v>
      </c>
      <c r="AV718">
        <v>77</v>
      </c>
      <c r="AW718" t="s">
        <v>74</v>
      </c>
      <c r="AX718" t="s">
        <v>74</v>
      </c>
      <c r="AY718" t="s">
        <v>74</v>
      </c>
      <c r="AZ718" t="s">
        <v>74</v>
      </c>
      <c r="BA718" t="s">
        <v>74</v>
      </c>
      <c r="BB718" t="s">
        <v>74</v>
      </c>
      <c r="BC718" t="s">
        <v>74</v>
      </c>
      <c r="BD718">
        <v>107450</v>
      </c>
      <c r="BE718" t="s">
        <v>13026</v>
      </c>
      <c r="BF718" t="str">
        <f>HYPERLINK("http://dx.doi.org/10.1016/j.jobe.2023.107450","http://dx.doi.org/10.1016/j.jobe.2023.107450")</f>
        <v>http://dx.doi.org/10.1016/j.jobe.2023.107450</v>
      </c>
      <c r="BG718" t="s">
        <v>74</v>
      </c>
      <c r="BH718" t="s">
        <v>74</v>
      </c>
      <c r="BI718">
        <v>20</v>
      </c>
      <c r="BJ718" t="s">
        <v>3898</v>
      </c>
      <c r="BK718" t="s">
        <v>100</v>
      </c>
      <c r="BL718" t="s">
        <v>3899</v>
      </c>
      <c r="BM718" t="s">
        <v>13027</v>
      </c>
      <c r="BN718" t="s">
        <v>74</v>
      </c>
      <c r="BO718" t="s">
        <v>74</v>
      </c>
      <c r="BP718" t="s">
        <v>74</v>
      </c>
      <c r="BQ718" t="s">
        <v>74</v>
      </c>
      <c r="BR718" t="s">
        <v>104</v>
      </c>
      <c r="BS718" t="s">
        <v>13028</v>
      </c>
      <c r="BT718" t="str">
        <f>HYPERLINK("https%3A%2F%2Fwww.webofscience.com%2Fwos%2Fwoscc%2Ffull-record%2FWOS:001049984100001","View Full Record in Web of Science")</f>
        <v>View Full Record in Web of Science</v>
      </c>
    </row>
    <row r="719" spans="1:72" x14ac:dyDescent="0.15">
      <c r="A719" t="s">
        <v>72</v>
      </c>
      <c r="B719" t="s">
        <v>13029</v>
      </c>
      <c r="C719" t="s">
        <v>74</v>
      </c>
      <c r="D719" t="s">
        <v>74</v>
      </c>
      <c r="E719" t="s">
        <v>74</v>
      </c>
      <c r="F719" t="s">
        <v>13030</v>
      </c>
      <c r="G719" t="s">
        <v>74</v>
      </c>
      <c r="H719" t="s">
        <v>74</v>
      </c>
      <c r="I719" t="s">
        <v>13031</v>
      </c>
      <c r="J719" t="s">
        <v>12198</v>
      </c>
      <c r="K719" t="s">
        <v>74</v>
      </c>
      <c r="L719" t="s">
        <v>74</v>
      </c>
      <c r="M719" t="s">
        <v>78</v>
      </c>
      <c r="N719" t="s">
        <v>79</v>
      </c>
      <c r="O719" t="s">
        <v>74</v>
      </c>
      <c r="P719" t="s">
        <v>74</v>
      </c>
      <c r="Q719" t="s">
        <v>74</v>
      </c>
      <c r="R719" t="s">
        <v>74</v>
      </c>
      <c r="S719" t="s">
        <v>74</v>
      </c>
      <c r="T719" t="s">
        <v>13032</v>
      </c>
      <c r="U719" t="s">
        <v>13033</v>
      </c>
      <c r="V719" t="s">
        <v>13034</v>
      </c>
      <c r="W719" t="s">
        <v>13035</v>
      </c>
      <c r="X719" t="s">
        <v>13036</v>
      </c>
      <c r="Y719" t="s">
        <v>13037</v>
      </c>
      <c r="Z719" t="s">
        <v>13038</v>
      </c>
      <c r="AA719" t="s">
        <v>74</v>
      </c>
      <c r="AB719" t="s">
        <v>74</v>
      </c>
      <c r="AC719" t="s">
        <v>13039</v>
      </c>
      <c r="AD719" t="s">
        <v>2421</v>
      </c>
      <c r="AE719" t="s">
        <v>13040</v>
      </c>
      <c r="AF719" t="s">
        <v>74</v>
      </c>
      <c r="AG719">
        <v>40</v>
      </c>
      <c r="AH719">
        <v>0</v>
      </c>
      <c r="AI719">
        <v>0</v>
      </c>
      <c r="AJ719">
        <v>4</v>
      </c>
      <c r="AK719">
        <v>4</v>
      </c>
      <c r="AL719" t="s">
        <v>554</v>
      </c>
      <c r="AM719" t="s">
        <v>555</v>
      </c>
      <c r="AN719" t="s">
        <v>556</v>
      </c>
      <c r="AO719" t="s">
        <v>12207</v>
      </c>
      <c r="AP719" t="s">
        <v>12208</v>
      </c>
      <c r="AQ719" t="s">
        <v>74</v>
      </c>
      <c r="AR719" t="s">
        <v>12209</v>
      </c>
      <c r="AS719" t="s">
        <v>12210</v>
      </c>
      <c r="AT719" t="s">
        <v>11915</v>
      </c>
      <c r="AU719">
        <v>2023</v>
      </c>
      <c r="AV719">
        <v>201</v>
      </c>
      <c r="AW719" t="s">
        <v>74</v>
      </c>
      <c r="AX719" t="s">
        <v>74</v>
      </c>
      <c r="AY719" t="s">
        <v>74</v>
      </c>
      <c r="AZ719" t="s">
        <v>74</v>
      </c>
      <c r="BA719" t="s">
        <v>74</v>
      </c>
      <c r="BB719" t="s">
        <v>74</v>
      </c>
      <c r="BC719" t="s">
        <v>74</v>
      </c>
      <c r="BD719">
        <v>110665</v>
      </c>
      <c r="BE719" t="s">
        <v>13041</v>
      </c>
      <c r="BF719" t="str">
        <f>HYPERLINK("http://dx.doi.org/10.1016/j.ymssp.2023.110665","http://dx.doi.org/10.1016/j.ymssp.2023.110665")</f>
        <v>http://dx.doi.org/10.1016/j.ymssp.2023.110665</v>
      </c>
      <c r="BG719" t="s">
        <v>74</v>
      </c>
      <c r="BH719" t="s">
        <v>74</v>
      </c>
      <c r="BI719">
        <v>16</v>
      </c>
      <c r="BJ719" t="s">
        <v>7187</v>
      </c>
      <c r="BK719" t="s">
        <v>100</v>
      </c>
      <c r="BL719" t="s">
        <v>873</v>
      </c>
      <c r="BM719" t="s">
        <v>13042</v>
      </c>
      <c r="BN719" t="s">
        <v>74</v>
      </c>
      <c r="BO719" t="s">
        <v>74</v>
      </c>
      <c r="BP719" t="s">
        <v>74</v>
      </c>
      <c r="BQ719" t="s">
        <v>74</v>
      </c>
      <c r="BR719" t="s">
        <v>104</v>
      </c>
      <c r="BS719" t="s">
        <v>13043</v>
      </c>
      <c r="BT719" t="str">
        <f>HYPERLINK("https%3A%2F%2Fwww.webofscience.com%2Fwos%2Fwoscc%2Ffull-record%2FWOS:001059163200001","View Full Record in Web of Science")</f>
        <v>View Full Record in Web of Science</v>
      </c>
    </row>
    <row r="720" spans="1:72" x14ac:dyDescent="0.15">
      <c r="A720" t="s">
        <v>72</v>
      </c>
      <c r="B720" t="s">
        <v>13044</v>
      </c>
      <c r="C720" t="s">
        <v>74</v>
      </c>
      <c r="D720" t="s">
        <v>74</v>
      </c>
      <c r="E720" t="s">
        <v>74</v>
      </c>
      <c r="F720" t="s">
        <v>13045</v>
      </c>
      <c r="G720" t="s">
        <v>74</v>
      </c>
      <c r="H720" t="s">
        <v>74</v>
      </c>
      <c r="I720" t="s">
        <v>13046</v>
      </c>
      <c r="J720" t="s">
        <v>12311</v>
      </c>
      <c r="K720" t="s">
        <v>74</v>
      </c>
      <c r="L720" t="s">
        <v>74</v>
      </c>
      <c r="M720" t="s">
        <v>78</v>
      </c>
      <c r="N720" t="s">
        <v>79</v>
      </c>
      <c r="O720" t="s">
        <v>74</v>
      </c>
      <c r="P720" t="s">
        <v>74</v>
      </c>
      <c r="Q720" t="s">
        <v>74</v>
      </c>
      <c r="R720" t="s">
        <v>74</v>
      </c>
      <c r="S720" t="s">
        <v>74</v>
      </c>
      <c r="T720" t="s">
        <v>13047</v>
      </c>
      <c r="U720" t="s">
        <v>13048</v>
      </c>
      <c r="V720" t="s">
        <v>13049</v>
      </c>
      <c r="W720" t="s">
        <v>13050</v>
      </c>
      <c r="X720" t="s">
        <v>13051</v>
      </c>
      <c r="Y720" t="s">
        <v>13052</v>
      </c>
      <c r="Z720" t="s">
        <v>13053</v>
      </c>
      <c r="AA720" t="s">
        <v>13054</v>
      </c>
      <c r="AB720" t="s">
        <v>13055</v>
      </c>
      <c r="AC720" t="s">
        <v>13056</v>
      </c>
      <c r="AD720" t="s">
        <v>252</v>
      </c>
      <c r="AE720" t="s">
        <v>13057</v>
      </c>
      <c r="AF720" t="s">
        <v>74</v>
      </c>
      <c r="AG720">
        <v>26</v>
      </c>
      <c r="AH720">
        <v>0</v>
      </c>
      <c r="AI720">
        <v>0</v>
      </c>
      <c r="AJ720">
        <v>1</v>
      </c>
      <c r="AK720">
        <v>1</v>
      </c>
      <c r="AL720" t="s">
        <v>173</v>
      </c>
      <c r="AM720" t="s">
        <v>121</v>
      </c>
      <c r="AN720" t="s">
        <v>174</v>
      </c>
      <c r="AO720" t="s">
        <v>12324</v>
      </c>
      <c r="AP720" t="s">
        <v>12325</v>
      </c>
      <c r="AQ720" t="s">
        <v>74</v>
      </c>
      <c r="AR720" t="s">
        <v>12326</v>
      </c>
      <c r="AS720" t="s">
        <v>12327</v>
      </c>
      <c r="AT720" t="s">
        <v>11915</v>
      </c>
      <c r="AU720">
        <v>2023</v>
      </c>
      <c r="AV720">
        <v>286</v>
      </c>
      <c r="AW720" t="s">
        <v>74</v>
      </c>
      <c r="AX720">
        <v>1</v>
      </c>
      <c r="AY720" t="s">
        <v>74</v>
      </c>
      <c r="AZ720" t="s">
        <v>74</v>
      </c>
      <c r="BA720" t="s">
        <v>74</v>
      </c>
      <c r="BB720" t="s">
        <v>74</v>
      </c>
      <c r="BC720" t="s">
        <v>74</v>
      </c>
      <c r="BD720">
        <v>115508</v>
      </c>
      <c r="BE720" t="s">
        <v>13058</v>
      </c>
      <c r="BF720" t="str">
        <f>HYPERLINK("http://dx.doi.org/10.1016/j.oceaneng.2023.115508","http://dx.doi.org/10.1016/j.oceaneng.2023.115508")</f>
        <v>http://dx.doi.org/10.1016/j.oceaneng.2023.115508</v>
      </c>
      <c r="BG720" t="s">
        <v>74</v>
      </c>
      <c r="BH720" t="s">
        <v>74</v>
      </c>
      <c r="BI720">
        <v>17</v>
      </c>
      <c r="BJ720" t="s">
        <v>12329</v>
      </c>
      <c r="BK720" t="s">
        <v>100</v>
      </c>
      <c r="BL720" t="s">
        <v>12330</v>
      </c>
      <c r="BM720" t="s">
        <v>13059</v>
      </c>
      <c r="BN720" t="s">
        <v>74</v>
      </c>
      <c r="BO720" t="s">
        <v>74</v>
      </c>
      <c r="BP720" t="s">
        <v>74</v>
      </c>
      <c r="BQ720" t="s">
        <v>74</v>
      </c>
      <c r="BR720" t="s">
        <v>104</v>
      </c>
      <c r="BS720" t="s">
        <v>13060</v>
      </c>
      <c r="BT720" t="str">
        <f>HYPERLINK("https%3A%2F%2Fwww.webofscience.com%2Fwos%2Fwoscc%2Ffull-record%2FWOS:001059741300001","View Full Record in Web of Science")</f>
        <v>View Full Record in Web of Science</v>
      </c>
    </row>
    <row r="721" spans="1:72" x14ac:dyDescent="0.15">
      <c r="A721" t="s">
        <v>72</v>
      </c>
      <c r="B721" t="s">
        <v>13061</v>
      </c>
      <c r="C721" t="s">
        <v>74</v>
      </c>
      <c r="D721" t="s">
        <v>74</v>
      </c>
      <c r="E721" t="s">
        <v>74</v>
      </c>
      <c r="F721" t="s">
        <v>13062</v>
      </c>
      <c r="G721" t="s">
        <v>74</v>
      </c>
      <c r="H721" t="s">
        <v>74</v>
      </c>
      <c r="I721" t="s">
        <v>13063</v>
      </c>
      <c r="J721" t="s">
        <v>12114</v>
      </c>
      <c r="K721" t="s">
        <v>74</v>
      </c>
      <c r="L721" t="s">
        <v>74</v>
      </c>
      <c r="M721" t="s">
        <v>78</v>
      </c>
      <c r="N721" t="s">
        <v>79</v>
      </c>
      <c r="O721" t="s">
        <v>74</v>
      </c>
      <c r="P721" t="s">
        <v>74</v>
      </c>
      <c r="Q721" t="s">
        <v>74</v>
      </c>
      <c r="R721" t="s">
        <v>74</v>
      </c>
      <c r="S721" t="s">
        <v>74</v>
      </c>
      <c r="T721" t="s">
        <v>13064</v>
      </c>
      <c r="U721" t="s">
        <v>13065</v>
      </c>
      <c r="V721" t="s">
        <v>13066</v>
      </c>
      <c r="W721" t="s">
        <v>13067</v>
      </c>
      <c r="X721" t="s">
        <v>13068</v>
      </c>
      <c r="Y721" t="s">
        <v>13069</v>
      </c>
      <c r="Z721" t="s">
        <v>13070</v>
      </c>
      <c r="AA721" t="s">
        <v>13071</v>
      </c>
      <c r="AB721" t="s">
        <v>13072</v>
      </c>
      <c r="AC721" t="s">
        <v>13073</v>
      </c>
      <c r="AD721" t="s">
        <v>13074</v>
      </c>
      <c r="AE721" t="s">
        <v>13075</v>
      </c>
      <c r="AF721" t="s">
        <v>74</v>
      </c>
      <c r="AG721">
        <v>44</v>
      </c>
      <c r="AH721">
        <v>0</v>
      </c>
      <c r="AI721">
        <v>0</v>
      </c>
      <c r="AJ721">
        <v>3</v>
      </c>
      <c r="AK721">
        <v>3</v>
      </c>
      <c r="AL721" t="s">
        <v>120</v>
      </c>
      <c r="AM721" t="s">
        <v>121</v>
      </c>
      <c r="AN721" t="s">
        <v>122</v>
      </c>
      <c r="AO721" t="s">
        <v>12125</v>
      </c>
      <c r="AP721" t="s">
        <v>12126</v>
      </c>
      <c r="AQ721" t="s">
        <v>74</v>
      </c>
      <c r="AR721" t="s">
        <v>12127</v>
      </c>
      <c r="AS721" t="s">
        <v>12128</v>
      </c>
      <c r="AT721" t="s">
        <v>11915</v>
      </c>
      <c r="AU721">
        <v>2023</v>
      </c>
      <c r="AV721">
        <v>322</v>
      </c>
      <c r="AW721" t="s">
        <v>74</v>
      </c>
      <c r="AX721" t="s">
        <v>74</v>
      </c>
      <c r="AY721" t="s">
        <v>74</v>
      </c>
      <c r="AZ721" t="s">
        <v>74</v>
      </c>
      <c r="BA721" t="s">
        <v>74</v>
      </c>
      <c r="BB721" t="s">
        <v>74</v>
      </c>
      <c r="BC721" t="s">
        <v>74</v>
      </c>
      <c r="BD721">
        <v>117369</v>
      </c>
      <c r="BE721" t="s">
        <v>13076</v>
      </c>
      <c r="BF721" t="str">
        <f>HYPERLINK("http://dx.doi.org/10.1016/j.compstruct.2023.117369","http://dx.doi.org/10.1016/j.compstruct.2023.117369")</f>
        <v>http://dx.doi.org/10.1016/j.compstruct.2023.117369</v>
      </c>
      <c r="BG721" t="s">
        <v>74</v>
      </c>
      <c r="BH721" t="s">
        <v>74</v>
      </c>
      <c r="BI721">
        <v>11</v>
      </c>
      <c r="BJ721" t="s">
        <v>12130</v>
      </c>
      <c r="BK721" t="s">
        <v>100</v>
      </c>
      <c r="BL721" t="s">
        <v>12131</v>
      </c>
      <c r="BM721" t="s">
        <v>13077</v>
      </c>
      <c r="BN721" t="s">
        <v>74</v>
      </c>
      <c r="BO721" t="s">
        <v>74</v>
      </c>
      <c r="BP721" t="s">
        <v>74</v>
      </c>
      <c r="BQ721" t="s">
        <v>74</v>
      </c>
      <c r="BR721" t="s">
        <v>104</v>
      </c>
      <c r="BS721" t="s">
        <v>13078</v>
      </c>
      <c r="BT721" t="str">
        <f>HYPERLINK("https%3A%2F%2Fwww.webofscience.com%2Fwos%2Fwoscc%2Ffull-record%2FWOS:001044816600001","View Full Record in Web of Science")</f>
        <v>View Full Record in Web of Science</v>
      </c>
    </row>
    <row r="722" spans="1:72" x14ac:dyDescent="0.15">
      <c r="A722" t="s">
        <v>72</v>
      </c>
      <c r="B722" t="s">
        <v>13079</v>
      </c>
      <c r="C722" t="s">
        <v>74</v>
      </c>
      <c r="D722" t="s">
        <v>74</v>
      </c>
      <c r="E722" t="s">
        <v>74</v>
      </c>
      <c r="F722" t="s">
        <v>13080</v>
      </c>
      <c r="G722" t="s">
        <v>74</v>
      </c>
      <c r="H722" t="s">
        <v>74</v>
      </c>
      <c r="I722" t="s">
        <v>13081</v>
      </c>
      <c r="J722" t="s">
        <v>12137</v>
      </c>
      <c r="K722" t="s">
        <v>74</v>
      </c>
      <c r="L722" t="s">
        <v>74</v>
      </c>
      <c r="M722" t="s">
        <v>78</v>
      </c>
      <c r="N722" t="s">
        <v>79</v>
      </c>
      <c r="O722" t="s">
        <v>74</v>
      </c>
      <c r="P722" t="s">
        <v>74</v>
      </c>
      <c r="Q722" t="s">
        <v>74</v>
      </c>
      <c r="R722" t="s">
        <v>74</v>
      </c>
      <c r="S722" t="s">
        <v>74</v>
      </c>
      <c r="T722" t="s">
        <v>13082</v>
      </c>
      <c r="U722" t="s">
        <v>13083</v>
      </c>
      <c r="V722" t="s">
        <v>13084</v>
      </c>
      <c r="W722" t="s">
        <v>13085</v>
      </c>
      <c r="X722" t="s">
        <v>13086</v>
      </c>
      <c r="Y722" t="s">
        <v>13087</v>
      </c>
      <c r="Z722" t="s">
        <v>13088</v>
      </c>
      <c r="AA722" t="s">
        <v>74</v>
      </c>
      <c r="AB722" t="s">
        <v>74</v>
      </c>
      <c r="AC722" t="s">
        <v>13089</v>
      </c>
      <c r="AD722" t="s">
        <v>13090</v>
      </c>
      <c r="AE722" t="s">
        <v>13091</v>
      </c>
      <c r="AF722" t="s">
        <v>74</v>
      </c>
      <c r="AG722">
        <v>76</v>
      </c>
      <c r="AH722">
        <v>0</v>
      </c>
      <c r="AI722">
        <v>0</v>
      </c>
      <c r="AJ722">
        <v>6</v>
      </c>
      <c r="AK722">
        <v>6</v>
      </c>
      <c r="AL722" t="s">
        <v>120</v>
      </c>
      <c r="AM722" t="s">
        <v>121</v>
      </c>
      <c r="AN722" t="s">
        <v>122</v>
      </c>
      <c r="AO722" t="s">
        <v>12147</v>
      </c>
      <c r="AP722" t="s">
        <v>12148</v>
      </c>
      <c r="AQ722" t="s">
        <v>74</v>
      </c>
      <c r="AR722" t="s">
        <v>12149</v>
      </c>
      <c r="AS722" t="s">
        <v>12150</v>
      </c>
      <c r="AT722" t="s">
        <v>11915</v>
      </c>
      <c r="AU722">
        <v>2023</v>
      </c>
      <c r="AV722">
        <v>335</v>
      </c>
      <c r="AW722" t="s">
        <v>74</v>
      </c>
      <c r="AX722" t="s">
        <v>74</v>
      </c>
      <c r="AY722" t="s">
        <v>74</v>
      </c>
      <c r="AZ722" t="s">
        <v>74</v>
      </c>
      <c r="BA722" t="s">
        <v>74</v>
      </c>
      <c r="BB722" t="s">
        <v>74</v>
      </c>
      <c r="BC722" t="s">
        <v>74</v>
      </c>
      <c r="BD722">
        <v>122305</v>
      </c>
      <c r="BE722" t="s">
        <v>13092</v>
      </c>
      <c r="BF722" t="str">
        <f>HYPERLINK("http://dx.doi.org/10.1016/j.envpol.2023.122305","http://dx.doi.org/10.1016/j.envpol.2023.122305")</f>
        <v>http://dx.doi.org/10.1016/j.envpol.2023.122305</v>
      </c>
      <c r="BG722" t="s">
        <v>74</v>
      </c>
      <c r="BH722" t="s">
        <v>74</v>
      </c>
      <c r="BI722">
        <v>13</v>
      </c>
      <c r="BJ722" t="s">
        <v>1539</v>
      </c>
      <c r="BK722" t="s">
        <v>100</v>
      </c>
      <c r="BL722" t="s">
        <v>1540</v>
      </c>
      <c r="BM722" t="s">
        <v>13093</v>
      </c>
      <c r="BN722">
        <v>37580008</v>
      </c>
      <c r="BO722" t="s">
        <v>74</v>
      </c>
      <c r="BP722" t="s">
        <v>74</v>
      </c>
      <c r="BQ722" t="s">
        <v>74</v>
      </c>
      <c r="BR722" t="s">
        <v>104</v>
      </c>
      <c r="BS722" t="s">
        <v>13094</v>
      </c>
      <c r="BT722" t="str">
        <f>HYPERLINK("https%3A%2F%2Fwww.webofscience.com%2Fwos%2Fwoscc%2Ffull-record%2FWOS:001059120100001","View Full Record in Web of Science")</f>
        <v>View Full Record in Web of Science</v>
      </c>
    </row>
    <row r="723" spans="1:72" x14ac:dyDescent="0.15">
      <c r="A723" t="s">
        <v>72</v>
      </c>
      <c r="B723" t="s">
        <v>13095</v>
      </c>
      <c r="C723" t="s">
        <v>74</v>
      </c>
      <c r="D723" t="s">
        <v>74</v>
      </c>
      <c r="E723" t="s">
        <v>74</v>
      </c>
      <c r="F723" t="s">
        <v>13096</v>
      </c>
      <c r="G723" t="s">
        <v>74</v>
      </c>
      <c r="H723" t="s">
        <v>74</v>
      </c>
      <c r="I723" t="s">
        <v>13097</v>
      </c>
      <c r="J723" t="s">
        <v>2101</v>
      </c>
      <c r="K723" t="s">
        <v>74</v>
      </c>
      <c r="L723" t="s">
        <v>74</v>
      </c>
      <c r="M723" t="s">
        <v>78</v>
      </c>
      <c r="N723" t="s">
        <v>79</v>
      </c>
      <c r="O723" t="s">
        <v>74</v>
      </c>
      <c r="P723" t="s">
        <v>74</v>
      </c>
      <c r="Q723" t="s">
        <v>74</v>
      </c>
      <c r="R723" t="s">
        <v>74</v>
      </c>
      <c r="S723" t="s">
        <v>74</v>
      </c>
      <c r="T723" t="s">
        <v>13098</v>
      </c>
      <c r="U723" t="s">
        <v>13099</v>
      </c>
      <c r="V723" t="s">
        <v>13100</v>
      </c>
      <c r="W723" t="s">
        <v>13101</v>
      </c>
      <c r="X723" t="s">
        <v>13102</v>
      </c>
      <c r="Y723" t="s">
        <v>13103</v>
      </c>
      <c r="Z723" t="s">
        <v>13104</v>
      </c>
      <c r="AA723" t="s">
        <v>74</v>
      </c>
      <c r="AB723" t="s">
        <v>74</v>
      </c>
      <c r="AC723" t="s">
        <v>13105</v>
      </c>
      <c r="AD723" t="s">
        <v>13106</v>
      </c>
      <c r="AE723" t="s">
        <v>13107</v>
      </c>
      <c r="AF723" t="s">
        <v>74</v>
      </c>
      <c r="AG723">
        <v>22</v>
      </c>
      <c r="AH723">
        <v>1</v>
      </c>
      <c r="AI723">
        <v>1</v>
      </c>
      <c r="AJ723">
        <v>5</v>
      </c>
      <c r="AK723">
        <v>5</v>
      </c>
      <c r="AL723" t="s">
        <v>955</v>
      </c>
      <c r="AM723" t="s">
        <v>956</v>
      </c>
      <c r="AN723" t="s">
        <v>957</v>
      </c>
      <c r="AO723" t="s">
        <v>2112</v>
      </c>
      <c r="AP723" t="s">
        <v>2113</v>
      </c>
      <c r="AQ723" t="s">
        <v>74</v>
      </c>
      <c r="AR723" t="s">
        <v>2114</v>
      </c>
      <c r="AS723" t="s">
        <v>2115</v>
      </c>
      <c r="AT723" t="s">
        <v>11915</v>
      </c>
      <c r="AU723">
        <v>2023</v>
      </c>
      <c r="AV723">
        <v>960</v>
      </c>
      <c r="AW723" t="s">
        <v>74</v>
      </c>
      <c r="AX723" t="s">
        <v>74</v>
      </c>
      <c r="AY723" t="s">
        <v>74</v>
      </c>
      <c r="AZ723" t="s">
        <v>74</v>
      </c>
      <c r="BA723" t="s">
        <v>74</v>
      </c>
      <c r="BB723" t="s">
        <v>74</v>
      </c>
      <c r="BC723" t="s">
        <v>74</v>
      </c>
      <c r="BD723">
        <v>170704</v>
      </c>
      <c r="BE723" t="s">
        <v>13108</v>
      </c>
      <c r="BF723" t="str">
        <f>HYPERLINK("http://dx.doi.org/10.1016/j.jallcom.2023.170704","http://dx.doi.org/10.1016/j.jallcom.2023.170704")</f>
        <v>http://dx.doi.org/10.1016/j.jallcom.2023.170704</v>
      </c>
      <c r="BG723" t="s">
        <v>74</v>
      </c>
      <c r="BH723" t="s">
        <v>74</v>
      </c>
      <c r="BI723">
        <v>13</v>
      </c>
      <c r="BJ723" t="s">
        <v>2118</v>
      </c>
      <c r="BK723" t="s">
        <v>100</v>
      </c>
      <c r="BL723" t="s">
        <v>2119</v>
      </c>
      <c r="BM723" t="s">
        <v>13109</v>
      </c>
      <c r="BN723" t="s">
        <v>74</v>
      </c>
      <c r="BO723" t="s">
        <v>74</v>
      </c>
      <c r="BP723" t="s">
        <v>74</v>
      </c>
      <c r="BQ723" t="s">
        <v>74</v>
      </c>
      <c r="BR723" t="s">
        <v>104</v>
      </c>
      <c r="BS723" t="s">
        <v>13110</v>
      </c>
      <c r="BT723" t="str">
        <f>HYPERLINK("https%3A%2F%2Fwww.webofscience.com%2Fwos%2Fwoscc%2Ffull-record%2FWOS:001053710800001","View Full Record in Web of Science")</f>
        <v>View Full Record in Web of Science</v>
      </c>
    </row>
    <row r="724" spans="1:72" x14ac:dyDescent="0.15">
      <c r="A724" t="s">
        <v>72</v>
      </c>
      <c r="B724" t="s">
        <v>13111</v>
      </c>
      <c r="C724" t="s">
        <v>74</v>
      </c>
      <c r="D724" t="s">
        <v>74</v>
      </c>
      <c r="E724" t="s">
        <v>74</v>
      </c>
      <c r="F724" t="s">
        <v>13112</v>
      </c>
      <c r="G724" t="s">
        <v>74</v>
      </c>
      <c r="H724" t="s">
        <v>74</v>
      </c>
      <c r="I724" t="s">
        <v>13113</v>
      </c>
      <c r="J724" t="s">
        <v>10493</v>
      </c>
      <c r="K724" t="s">
        <v>74</v>
      </c>
      <c r="L724" t="s">
        <v>74</v>
      </c>
      <c r="M724" t="s">
        <v>78</v>
      </c>
      <c r="N724" t="s">
        <v>79</v>
      </c>
      <c r="O724" t="s">
        <v>74</v>
      </c>
      <c r="P724" t="s">
        <v>74</v>
      </c>
      <c r="Q724" t="s">
        <v>74</v>
      </c>
      <c r="R724" t="s">
        <v>74</v>
      </c>
      <c r="S724" t="s">
        <v>74</v>
      </c>
      <c r="T724" t="s">
        <v>13114</v>
      </c>
      <c r="U724" t="s">
        <v>13115</v>
      </c>
      <c r="V724" t="s">
        <v>13116</v>
      </c>
      <c r="W724" t="s">
        <v>13117</v>
      </c>
      <c r="X724" t="s">
        <v>4835</v>
      </c>
      <c r="Y724" t="s">
        <v>13118</v>
      </c>
      <c r="Z724" t="s">
        <v>13119</v>
      </c>
      <c r="AA724" t="s">
        <v>74</v>
      </c>
      <c r="AB724" t="s">
        <v>13120</v>
      </c>
      <c r="AC724" t="s">
        <v>13121</v>
      </c>
      <c r="AD724" t="s">
        <v>13122</v>
      </c>
      <c r="AE724" t="s">
        <v>13123</v>
      </c>
      <c r="AF724" t="s">
        <v>74</v>
      </c>
      <c r="AG724">
        <v>26</v>
      </c>
      <c r="AH724">
        <v>0</v>
      </c>
      <c r="AI724">
        <v>0</v>
      </c>
      <c r="AJ724">
        <v>1</v>
      </c>
      <c r="AK724">
        <v>1</v>
      </c>
      <c r="AL724" t="s">
        <v>147</v>
      </c>
      <c r="AM724" t="s">
        <v>148</v>
      </c>
      <c r="AN724" t="s">
        <v>149</v>
      </c>
      <c r="AO724" t="s">
        <v>10505</v>
      </c>
      <c r="AP724" t="s">
        <v>10506</v>
      </c>
      <c r="AQ724" t="s">
        <v>74</v>
      </c>
      <c r="AR724" t="s">
        <v>10493</v>
      </c>
      <c r="AS724" t="s">
        <v>10507</v>
      </c>
      <c r="AT724" t="s">
        <v>11915</v>
      </c>
      <c r="AU724">
        <v>2023</v>
      </c>
      <c r="AV724">
        <v>210</v>
      </c>
      <c r="AW724" t="s">
        <v>74</v>
      </c>
      <c r="AX724" t="s">
        <v>74</v>
      </c>
      <c r="AY724" t="s">
        <v>74</v>
      </c>
      <c r="AZ724" t="s">
        <v>74</v>
      </c>
      <c r="BA724" t="s">
        <v>74</v>
      </c>
      <c r="BB724">
        <v>53</v>
      </c>
      <c r="BC724">
        <v>61</v>
      </c>
      <c r="BD724" t="s">
        <v>74</v>
      </c>
      <c r="BE724" t="s">
        <v>13124</v>
      </c>
      <c r="BF724" t="str">
        <f>HYPERLINK("http://dx.doi.org/10.1016/j.theriogenology.2023.07.009","http://dx.doi.org/10.1016/j.theriogenology.2023.07.009")</f>
        <v>http://dx.doi.org/10.1016/j.theriogenology.2023.07.009</v>
      </c>
      <c r="BG724" t="s">
        <v>74</v>
      </c>
      <c r="BH724" t="s">
        <v>74</v>
      </c>
      <c r="BI724">
        <v>9</v>
      </c>
      <c r="BJ724" t="s">
        <v>10509</v>
      </c>
      <c r="BK724" t="s">
        <v>100</v>
      </c>
      <c r="BL724" t="s">
        <v>10509</v>
      </c>
      <c r="BM724" t="s">
        <v>13125</v>
      </c>
      <c r="BN724">
        <v>37473596</v>
      </c>
      <c r="BO724" t="s">
        <v>74</v>
      </c>
      <c r="BP724" t="s">
        <v>74</v>
      </c>
      <c r="BQ724" t="s">
        <v>74</v>
      </c>
      <c r="BR724" t="s">
        <v>104</v>
      </c>
      <c r="BS724" t="s">
        <v>13126</v>
      </c>
      <c r="BT724" t="str">
        <f>HYPERLINK("https%3A%2F%2Fwww.webofscience.com%2Fwos%2Fwoscc%2Ffull-record%2FWOS:001046635300001","View Full Record in Web of Science")</f>
        <v>View Full Record in Web of Science</v>
      </c>
    </row>
    <row r="725" spans="1:72" x14ac:dyDescent="0.15">
      <c r="A725" t="s">
        <v>72</v>
      </c>
      <c r="B725" t="s">
        <v>13127</v>
      </c>
      <c r="C725" t="s">
        <v>74</v>
      </c>
      <c r="D725" t="s">
        <v>74</v>
      </c>
      <c r="E725" t="s">
        <v>74</v>
      </c>
      <c r="F725" t="s">
        <v>13128</v>
      </c>
      <c r="G725" t="s">
        <v>74</v>
      </c>
      <c r="H725" t="s">
        <v>74</v>
      </c>
      <c r="I725" t="s">
        <v>13129</v>
      </c>
      <c r="J725" t="s">
        <v>13130</v>
      </c>
      <c r="K725" t="s">
        <v>74</v>
      </c>
      <c r="L725" t="s">
        <v>74</v>
      </c>
      <c r="M725" t="s">
        <v>78</v>
      </c>
      <c r="N725" t="s">
        <v>79</v>
      </c>
      <c r="O725" t="s">
        <v>74</v>
      </c>
      <c r="P725" t="s">
        <v>74</v>
      </c>
      <c r="Q725" t="s">
        <v>74</v>
      </c>
      <c r="R725" t="s">
        <v>74</v>
      </c>
      <c r="S725" t="s">
        <v>74</v>
      </c>
      <c r="T725" t="s">
        <v>13131</v>
      </c>
      <c r="U725" t="s">
        <v>13132</v>
      </c>
      <c r="V725" t="s">
        <v>13133</v>
      </c>
      <c r="W725" t="s">
        <v>13134</v>
      </c>
      <c r="X725" t="s">
        <v>13135</v>
      </c>
      <c r="Y725" t="s">
        <v>13136</v>
      </c>
      <c r="Z725" t="s">
        <v>13137</v>
      </c>
      <c r="AA725" t="s">
        <v>74</v>
      </c>
      <c r="AB725" t="s">
        <v>74</v>
      </c>
      <c r="AC725" t="s">
        <v>74</v>
      </c>
      <c r="AD725" t="s">
        <v>74</v>
      </c>
      <c r="AE725" t="s">
        <v>74</v>
      </c>
      <c r="AF725" t="s">
        <v>74</v>
      </c>
      <c r="AG725">
        <v>55</v>
      </c>
      <c r="AH725">
        <v>0</v>
      </c>
      <c r="AI725">
        <v>0</v>
      </c>
      <c r="AJ725">
        <v>0</v>
      </c>
      <c r="AK725">
        <v>0</v>
      </c>
      <c r="AL725" t="s">
        <v>90</v>
      </c>
      <c r="AM725" t="s">
        <v>91</v>
      </c>
      <c r="AN725" t="s">
        <v>92</v>
      </c>
      <c r="AO725" t="s">
        <v>13138</v>
      </c>
      <c r="AP725" t="s">
        <v>13139</v>
      </c>
      <c r="AQ725" t="s">
        <v>74</v>
      </c>
      <c r="AR725" t="s">
        <v>13140</v>
      </c>
      <c r="AS725" t="s">
        <v>13141</v>
      </c>
      <c r="AT725" t="s">
        <v>11915</v>
      </c>
      <c r="AU725">
        <v>2023</v>
      </c>
      <c r="AV725">
        <v>584</v>
      </c>
      <c r="AW725" t="s">
        <v>74</v>
      </c>
      <c r="AX725" t="s">
        <v>74</v>
      </c>
      <c r="AY725" t="s">
        <v>74</v>
      </c>
      <c r="AZ725" t="s">
        <v>74</v>
      </c>
      <c r="BA725" t="s">
        <v>74</v>
      </c>
      <c r="BB725" t="s">
        <v>74</v>
      </c>
      <c r="BC725" t="s">
        <v>74</v>
      </c>
      <c r="BD725">
        <v>171048</v>
      </c>
      <c r="BE725" t="s">
        <v>13142</v>
      </c>
      <c r="BF725" t="str">
        <f>HYPERLINK("http://dx.doi.org/10.1016/j.jmmm.2023.171048","http://dx.doi.org/10.1016/j.jmmm.2023.171048")</f>
        <v>http://dx.doi.org/10.1016/j.jmmm.2023.171048</v>
      </c>
      <c r="BG725" t="s">
        <v>74</v>
      </c>
      <c r="BH725" t="s">
        <v>74</v>
      </c>
      <c r="BI725">
        <v>6</v>
      </c>
      <c r="BJ725" t="s">
        <v>8240</v>
      </c>
      <c r="BK725" t="s">
        <v>100</v>
      </c>
      <c r="BL725" t="s">
        <v>3022</v>
      </c>
      <c r="BM725" t="s">
        <v>13143</v>
      </c>
      <c r="BN725" t="s">
        <v>74</v>
      </c>
      <c r="BO725" t="s">
        <v>74</v>
      </c>
      <c r="BP725" t="s">
        <v>74</v>
      </c>
      <c r="BQ725" t="s">
        <v>74</v>
      </c>
      <c r="BR725" t="s">
        <v>104</v>
      </c>
      <c r="BS725" t="s">
        <v>13144</v>
      </c>
      <c r="BT725" t="str">
        <f>HYPERLINK("https%3A%2F%2Fwww.webofscience.com%2Fwos%2Fwoscc%2Ffull-record%2FWOS:001067574500001","View Full Record in Web of Science")</f>
        <v>View Full Record in Web of Science</v>
      </c>
    </row>
    <row r="726" spans="1:72" x14ac:dyDescent="0.15">
      <c r="A726" t="s">
        <v>72</v>
      </c>
      <c r="B726" t="s">
        <v>13145</v>
      </c>
      <c r="C726" t="s">
        <v>74</v>
      </c>
      <c r="D726" t="s">
        <v>74</v>
      </c>
      <c r="E726" t="s">
        <v>74</v>
      </c>
      <c r="F726" t="s">
        <v>13146</v>
      </c>
      <c r="G726" t="s">
        <v>74</v>
      </c>
      <c r="H726" t="s">
        <v>74</v>
      </c>
      <c r="I726" t="s">
        <v>13147</v>
      </c>
      <c r="J726" t="s">
        <v>2101</v>
      </c>
      <c r="K726" t="s">
        <v>74</v>
      </c>
      <c r="L726" t="s">
        <v>74</v>
      </c>
      <c r="M726" t="s">
        <v>78</v>
      </c>
      <c r="N726" t="s">
        <v>79</v>
      </c>
      <c r="O726" t="s">
        <v>74</v>
      </c>
      <c r="P726" t="s">
        <v>74</v>
      </c>
      <c r="Q726" t="s">
        <v>74</v>
      </c>
      <c r="R726" t="s">
        <v>74</v>
      </c>
      <c r="S726" t="s">
        <v>74</v>
      </c>
      <c r="T726" t="s">
        <v>13148</v>
      </c>
      <c r="U726" t="s">
        <v>13149</v>
      </c>
      <c r="V726" t="s">
        <v>13150</v>
      </c>
      <c r="W726" t="s">
        <v>13151</v>
      </c>
      <c r="X726" t="s">
        <v>13152</v>
      </c>
      <c r="Y726" t="s">
        <v>13153</v>
      </c>
      <c r="Z726" t="s">
        <v>13154</v>
      </c>
      <c r="AA726" t="s">
        <v>13155</v>
      </c>
      <c r="AB726" t="s">
        <v>13156</v>
      </c>
      <c r="AC726" t="s">
        <v>13157</v>
      </c>
      <c r="AD726" t="s">
        <v>13158</v>
      </c>
      <c r="AE726" t="s">
        <v>13159</v>
      </c>
      <c r="AF726" t="s">
        <v>74</v>
      </c>
      <c r="AG726">
        <v>43</v>
      </c>
      <c r="AH726">
        <v>0</v>
      </c>
      <c r="AI726">
        <v>0</v>
      </c>
      <c r="AJ726">
        <v>11</v>
      </c>
      <c r="AK726">
        <v>11</v>
      </c>
      <c r="AL726" t="s">
        <v>955</v>
      </c>
      <c r="AM726" t="s">
        <v>956</v>
      </c>
      <c r="AN726" t="s">
        <v>957</v>
      </c>
      <c r="AO726" t="s">
        <v>2112</v>
      </c>
      <c r="AP726" t="s">
        <v>2113</v>
      </c>
      <c r="AQ726" t="s">
        <v>74</v>
      </c>
      <c r="AR726" t="s">
        <v>2114</v>
      </c>
      <c r="AS726" t="s">
        <v>2115</v>
      </c>
      <c r="AT726" t="s">
        <v>11915</v>
      </c>
      <c r="AU726">
        <v>2023</v>
      </c>
      <c r="AV726">
        <v>960</v>
      </c>
      <c r="AW726" t="s">
        <v>74</v>
      </c>
      <c r="AX726" t="s">
        <v>74</v>
      </c>
      <c r="AY726" t="s">
        <v>74</v>
      </c>
      <c r="AZ726" t="s">
        <v>74</v>
      </c>
      <c r="BA726" t="s">
        <v>74</v>
      </c>
      <c r="BB726" t="s">
        <v>74</v>
      </c>
      <c r="BC726" t="s">
        <v>74</v>
      </c>
      <c r="BD726">
        <v>170867</v>
      </c>
      <c r="BE726" t="s">
        <v>13160</v>
      </c>
      <c r="BF726" t="str">
        <f>HYPERLINK("http://dx.doi.org/10.1016/j.jallcom.2023.170867","http://dx.doi.org/10.1016/j.jallcom.2023.170867")</f>
        <v>http://dx.doi.org/10.1016/j.jallcom.2023.170867</v>
      </c>
      <c r="BG726" t="s">
        <v>74</v>
      </c>
      <c r="BH726" t="s">
        <v>74</v>
      </c>
      <c r="BI726">
        <v>9</v>
      </c>
      <c r="BJ726" t="s">
        <v>2118</v>
      </c>
      <c r="BK726" t="s">
        <v>100</v>
      </c>
      <c r="BL726" t="s">
        <v>2119</v>
      </c>
      <c r="BM726" t="s">
        <v>13161</v>
      </c>
      <c r="BN726" t="s">
        <v>74</v>
      </c>
      <c r="BO726" t="s">
        <v>74</v>
      </c>
      <c r="BP726" t="s">
        <v>74</v>
      </c>
      <c r="BQ726" t="s">
        <v>74</v>
      </c>
      <c r="BR726" t="s">
        <v>104</v>
      </c>
      <c r="BS726" t="s">
        <v>13162</v>
      </c>
      <c r="BT726" t="str">
        <f>HYPERLINK("https%3A%2F%2Fwww.webofscience.com%2Fwos%2Fwoscc%2Ffull-record%2FWOS:001053709500001","View Full Record in Web of Science")</f>
        <v>View Full Record in Web of Science</v>
      </c>
    </row>
    <row r="727" spans="1:72" x14ac:dyDescent="0.15">
      <c r="A727" t="s">
        <v>72</v>
      </c>
      <c r="B727" t="s">
        <v>13163</v>
      </c>
      <c r="C727" t="s">
        <v>74</v>
      </c>
      <c r="D727" t="s">
        <v>74</v>
      </c>
      <c r="E727" t="s">
        <v>74</v>
      </c>
      <c r="F727" t="s">
        <v>13164</v>
      </c>
      <c r="G727" t="s">
        <v>74</v>
      </c>
      <c r="H727" t="s">
        <v>74</v>
      </c>
      <c r="I727" t="s">
        <v>13165</v>
      </c>
      <c r="J727" t="s">
        <v>3061</v>
      </c>
      <c r="K727" t="s">
        <v>74</v>
      </c>
      <c r="L727" t="s">
        <v>74</v>
      </c>
      <c r="M727" t="s">
        <v>78</v>
      </c>
      <c r="N727" t="s">
        <v>79</v>
      </c>
      <c r="O727" t="s">
        <v>74</v>
      </c>
      <c r="P727" t="s">
        <v>74</v>
      </c>
      <c r="Q727" t="s">
        <v>74</v>
      </c>
      <c r="R727" t="s">
        <v>74</v>
      </c>
      <c r="S727" t="s">
        <v>74</v>
      </c>
      <c r="T727" t="s">
        <v>13166</v>
      </c>
      <c r="U727" t="s">
        <v>13167</v>
      </c>
      <c r="V727" t="s">
        <v>13168</v>
      </c>
      <c r="W727" t="s">
        <v>13169</v>
      </c>
      <c r="X727" t="s">
        <v>13170</v>
      </c>
      <c r="Y727" t="s">
        <v>13171</v>
      </c>
      <c r="Z727" t="s">
        <v>13172</v>
      </c>
      <c r="AA727" t="s">
        <v>74</v>
      </c>
      <c r="AB727" t="s">
        <v>74</v>
      </c>
      <c r="AC727" t="s">
        <v>74</v>
      </c>
      <c r="AD727" t="s">
        <v>74</v>
      </c>
      <c r="AE727" t="s">
        <v>74</v>
      </c>
      <c r="AF727" t="s">
        <v>74</v>
      </c>
      <c r="AG727">
        <v>35</v>
      </c>
      <c r="AH727">
        <v>0</v>
      </c>
      <c r="AI727">
        <v>0</v>
      </c>
      <c r="AJ727">
        <v>3</v>
      </c>
      <c r="AK727">
        <v>3</v>
      </c>
      <c r="AL727" t="s">
        <v>120</v>
      </c>
      <c r="AM727" t="s">
        <v>121</v>
      </c>
      <c r="AN727" t="s">
        <v>122</v>
      </c>
      <c r="AO727" t="s">
        <v>3072</v>
      </c>
      <c r="AP727" t="s">
        <v>3073</v>
      </c>
      <c r="AQ727" t="s">
        <v>74</v>
      </c>
      <c r="AR727" t="s">
        <v>3074</v>
      </c>
      <c r="AS727" t="s">
        <v>3075</v>
      </c>
      <c r="AT727" t="s">
        <v>11915</v>
      </c>
      <c r="AU727">
        <v>2023</v>
      </c>
      <c r="AV727">
        <v>348</v>
      </c>
      <c r="AW727" t="s">
        <v>74</v>
      </c>
      <c r="AX727" t="s">
        <v>74</v>
      </c>
      <c r="AY727" t="s">
        <v>74</v>
      </c>
      <c r="AZ727" t="s">
        <v>74</v>
      </c>
      <c r="BA727" t="s">
        <v>74</v>
      </c>
      <c r="BB727" t="s">
        <v>74</v>
      </c>
      <c r="BC727" t="s">
        <v>74</v>
      </c>
      <c r="BD727">
        <v>121530</v>
      </c>
      <c r="BE727" t="s">
        <v>13173</v>
      </c>
      <c r="BF727" t="str">
        <f>HYPERLINK("http://dx.doi.org/10.1016/j.apenergy.2023.121530","http://dx.doi.org/10.1016/j.apenergy.2023.121530")</f>
        <v>http://dx.doi.org/10.1016/j.apenergy.2023.121530</v>
      </c>
      <c r="BG727" t="s">
        <v>74</v>
      </c>
      <c r="BH727" t="s">
        <v>74</v>
      </c>
      <c r="BI727">
        <v>16</v>
      </c>
      <c r="BJ727" t="s">
        <v>276</v>
      </c>
      <c r="BK727" t="s">
        <v>100</v>
      </c>
      <c r="BL727" t="s">
        <v>277</v>
      </c>
      <c r="BM727" t="s">
        <v>13174</v>
      </c>
      <c r="BN727" t="s">
        <v>74</v>
      </c>
      <c r="BO727" t="s">
        <v>74</v>
      </c>
      <c r="BP727" t="s">
        <v>74</v>
      </c>
      <c r="BQ727" t="s">
        <v>74</v>
      </c>
      <c r="BR727" t="s">
        <v>104</v>
      </c>
      <c r="BS727" t="s">
        <v>13175</v>
      </c>
      <c r="BT727" t="str">
        <f>HYPERLINK("https%3A%2F%2Fwww.webofscience.com%2Fwos%2Fwoscc%2Ffull-record%2FWOS:001048325900001","View Full Record in Web of Science")</f>
        <v>View Full Record in Web of Science</v>
      </c>
    </row>
    <row r="728" spans="1:72" x14ac:dyDescent="0.15">
      <c r="A728" t="s">
        <v>72</v>
      </c>
      <c r="B728" t="s">
        <v>13176</v>
      </c>
      <c r="C728" t="s">
        <v>74</v>
      </c>
      <c r="D728" t="s">
        <v>74</v>
      </c>
      <c r="E728" t="s">
        <v>74</v>
      </c>
      <c r="F728" t="s">
        <v>13177</v>
      </c>
      <c r="G728" t="s">
        <v>74</v>
      </c>
      <c r="H728" t="s">
        <v>74</v>
      </c>
      <c r="I728" t="s">
        <v>13178</v>
      </c>
      <c r="J728" t="s">
        <v>1793</v>
      </c>
      <c r="K728" t="s">
        <v>74</v>
      </c>
      <c r="L728" t="s">
        <v>74</v>
      </c>
      <c r="M728" t="s">
        <v>78</v>
      </c>
      <c r="N728" t="s">
        <v>79</v>
      </c>
      <c r="O728" t="s">
        <v>74</v>
      </c>
      <c r="P728" t="s">
        <v>74</v>
      </c>
      <c r="Q728" t="s">
        <v>74</v>
      </c>
      <c r="R728" t="s">
        <v>74</v>
      </c>
      <c r="S728" t="s">
        <v>74</v>
      </c>
      <c r="T728" t="s">
        <v>13179</v>
      </c>
      <c r="U728" t="s">
        <v>13180</v>
      </c>
      <c r="V728" t="s">
        <v>13181</v>
      </c>
      <c r="W728" t="s">
        <v>13182</v>
      </c>
      <c r="X728" t="s">
        <v>13183</v>
      </c>
      <c r="Y728" t="s">
        <v>13184</v>
      </c>
      <c r="Z728" t="s">
        <v>13185</v>
      </c>
      <c r="AA728" t="s">
        <v>74</v>
      </c>
      <c r="AB728" t="s">
        <v>74</v>
      </c>
      <c r="AC728" t="s">
        <v>13186</v>
      </c>
      <c r="AD728" t="s">
        <v>13187</v>
      </c>
      <c r="AE728" t="s">
        <v>13188</v>
      </c>
      <c r="AF728" t="s">
        <v>74</v>
      </c>
      <c r="AG728">
        <v>57</v>
      </c>
      <c r="AH728">
        <v>1</v>
      </c>
      <c r="AI728">
        <v>1</v>
      </c>
      <c r="AJ728">
        <v>6</v>
      </c>
      <c r="AK728">
        <v>6</v>
      </c>
      <c r="AL728" t="s">
        <v>173</v>
      </c>
      <c r="AM728" t="s">
        <v>121</v>
      </c>
      <c r="AN728" t="s">
        <v>174</v>
      </c>
      <c r="AO728" t="s">
        <v>1805</v>
      </c>
      <c r="AP728" t="s">
        <v>1806</v>
      </c>
      <c r="AQ728" t="s">
        <v>74</v>
      </c>
      <c r="AR728" t="s">
        <v>1807</v>
      </c>
      <c r="AS728" t="s">
        <v>1808</v>
      </c>
      <c r="AT728" t="s">
        <v>11915</v>
      </c>
      <c r="AU728">
        <v>2023</v>
      </c>
      <c r="AV728">
        <v>299</v>
      </c>
      <c r="AW728" t="s">
        <v>74</v>
      </c>
      <c r="AX728" t="s">
        <v>74</v>
      </c>
      <c r="AY728" t="s">
        <v>74</v>
      </c>
      <c r="AZ728" t="s">
        <v>74</v>
      </c>
      <c r="BA728" t="s">
        <v>74</v>
      </c>
      <c r="BB728" t="s">
        <v>74</v>
      </c>
      <c r="BC728" t="s">
        <v>74</v>
      </c>
      <c r="BD728">
        <v>122815</v>
      </c>
      <c r="BE728" t="s">
        <v>13189</v>
      </c>
      <c r="BF728" t="str">
        <f>HYPERLINK("http://dx.doi.org/10.1016/j.saa.2023.122815","http://dx.doi.org/10.1016/j.saa.2023.122815")</f>
        <v>http://dx.doi.org/10.1016/j.saa.2023.122815</v>
      </c>
      <c r="BG728" t="s">
        <v>74</v>
      </c>
      <c r="BH728" t="s">
        <v>74</v>
      </c>
      <c r="BI728">
        <v>9</v>
      </c>
      <c r="BJ728" t="s">
        <v>1810</v>
      </c>
      <c r="BK728" t="s">
        <v>100</v>
      </c>
      <c r="BL728" t="s">
        <v>1810</v>
      </c>
      <c r="BM728" t="s">
        <v>13190</v>
      </c>
      <c r="BN728">
        <v>37196549</v>
      </c>
      <c r="BO728" t="s">
        <v>74</v>
      </c>
      <c r="BP728" t="s">
        <v>74</v>
      </c>
      <c r="BQ728" t="s">
        <v>74</v>
      </c>
      <c r="BR728" t="s">
        <v>104</v>
      </c>
      <c r="BS728" t="s">
        <v>13191</v>
      </c>
      <c r="BT728" t="str">
        <f>HYPERLINK("https%3A%2F%2Fwww.webofscience.com%2Fwos%2Fwoscc%2Ffull-record%2FWOS:001052917500001","View Full Record in Web of Science")</f>
        <v>View Full Record in Web of Science</v>
      </c>
    </row>
    <row r="729" spans="1:72" x14ac:dyDescent="0.15">
      <c r="A729" t="s">
        <v>72</v>
      </c>
      <c r="B729" t="s">
        <v>13192</v>
      </c>
      <c r="C729" t="s">
        <v>74</v>
      </c>
      <c r="D729" t="s">
        <v>74</v>
      </c>
      <c r="E729" t="s">
        <v>74</v>
      </c>
      <c r="F729" t="s">
        <v>13193</v>
      </c>
      <c r="G729" t="s">
        <v>74</v>
      </c>
      <c r="H729" t="s">
        <v>74</v>
      </c>
      <c r="I729" t="s">
        <v>13194</v>
      </c>
      <c r="J729" t="s">
        <v>1793</v>
      </c>
      <c r="K729" t="s">
        <v>74</v>
      </c>
      <c r="L729" t="s">
        <v>74</v>
      </c>
      <c r="M729" t="s">
        <v>78</v>
      </c>
      <c r="N729" t="s">
        <v>79</v>
      </c>
      <c r="O729" t="s">
        <v>74</v>
      </c>
      <c r="P729" t="s">
        <v>74</v>
      </c>
      <c r="Q729" t="s">
        <v>74</v>
      </c>
      <c r="R729" t="s">
        <v>74</v>
      </c>
      <c r="S729" t="s">
        <v>74</v>
      </c>
      <c r="T729" t="s">
        <v>13195</v>
      </c>
      <c r="U729" t="s">
        <v>13196</v>
      </c>
      <c r="V729" t="s">
        <v>13197</v>
      </c>
      <c r="W729" t="s">
        <v>13198</v>
      </c>
      <c r="X729" t="s">
        <v>13199</v>
      </c>
      <c r="Y729" t="s">
        <v>13200</v>
      </c>
      <c r="Z729" t="s">
        <v>13201</v>
      </c>
      <c r="AA729" t="s">
        <v>74</v>
      </c>
      <c r="AB729" t="s">
        <v>74</v>
      </c>
      <c r="AC729" t="s">
        <v>74</v>
      </c>
      <c r="AD729" t="s">
        <v>74</v>
      </c>
      <c r="AE729" t="s">
        <v>74</v>
      </c>
      <c r="AF729" t="s">
        <v>74</v>
      </c>
      <c r="AG729">
        <v>49</v>
      </c>
      <c r="AH729">
        <v>1</v>
      </c>
      <c r="AI729">
        <v>1</v>
      </c>
      <c r="AJ729">
        <v>18</v>
      </c>
      <c r="AK729">
        <v>18</v>
      </c>
      <c r="AL729" t="s">
        <v>173</v>
      </c>
      <c r="AM729" t="s">
        <v>121</v>
      </c>
      <c r="AN729" t="s">
        <v>174</v>
      </c>
      <c r="AO729" t="s">
        <v>1805</v>
      </c>
      <c r="AP729" t="s">
        <v>1806</v>
      </c>
      <c r="AQ729" t="s">
        <v>74</v>
      </c>
      <c r="AR729" t="s">
        <v>1807</v>
      </c>
      <c r="AS729" t="s">
        <v>1808</v>
      </c>
      <c r="AT729" t="s">
        <v>11915</v>
      </c>
      <c r="AU729">
        <v>2023</v>
      </c>
      <c r="AV729">
        <v>299</v>
      </c>
      <c r="AW729" t="s">
        <v>74</v>
      </c>
      <c r="AX729" t="s">
        <v>74</v>
      </c>
      <c r="AY729" t="s">
        <v>74</v>
      </c>
      <c r="AZ729" t="s">
        <v>74</v>
      </c>
      <c r="BA729" t="s">
        <v>74</v>
      </c>
      <c r="BB729" t="s">
        <v>74</v>
      </c>
      <c r="BC729" t="s">
        <v>74</v>
      </c>
      <c r="BD729">
        <v>122874</v>
      </c>
      <c r="BE729" t="s">
        <v>13202</v>
      </c>
      <c r="BF729" t="str">
        <f>HYPERLINK("http://dx.doi.org/10.1016/j.saa.2023.122874","http://dx.doi.org/10.1016/j.saa.2023.122874")</f>
        <v>http://dx.doi.org/10.1016/j.saa.2023.122874</v>
      </c>
      <c r="BG729" t="s">
        <v>74</v>
      </c>
      <c r="BH729" t="s">
        <v>74</v>
      </c>
      <c r="BI729">
        <v>9</v>
      </c>
      <c r="BJ729" t="s">
        <v>1810</v>
      </c>
      <c r="BK729" t="s">
        <v>100</v>
      </c>
      <c r="BL729" t="s">
        <v>1810</v>
      </c>
      <c r="BM729" t="s">
        <v>13203</v>
      </c>
      <c r="BN729">
        <v>37210857</v>
      </c>
      <c r="BO729" t="s">
        <v>74</v>
      </c>
      <c r="BP729" t="s">
        <v>74</v>
      </c>
      <c r="BQ729" t="s">
        <v>74</v>
      </c>
      <c r="BR729" t="s">
        <v>104</v>
      </c>
      <c r="BS729" t="s">
        <v>13204</v>
      </c>
      <c r="BT729" t="str">
        <f>HYPERLINK("https%3A%2F%2Fwww.webofscience.com%2Fwos%2Fwoscc%2Ffull-record%2FWOS:001058487400001","View Full Record in Web of Science")</f>
        <v>View Full Record in Web of Science</v>
      </c>
    </row>
    <row r="730" spans="1:72" x14ac:dyDescent="0.15">
      <c r="A730" t="s">
        <v>72</v>
      </c>
      <c r="B730" t="s">
        <v>13205</v>
      </c>
      <c r="C730" t="s">
        <v>74</v>
      </c>
      <c r="D730" t="s">
        <v>74</v>
      </c>
      <c r="E730" t="s">
        <v>74</v>
      </c>
      <c r="F730" t="s">
        <v>13206</v>
      </c>
      <c r="G730" t="s">
        <v>74</v>
      </c>
      <c r="H730" t="s">
        <v>74</v>
      </c>
      <c r="I730" t="s">
        <v>13207</v>
      </c>
      <c r="J730" t="s">
        <v>7867</v>
      </c>
      <c r="K730" t="s">
        <v>74</v>
      </c>
      <c r="L730" t="s">
        <v>74</v>
      </c>
      <c r="M730" t="s">
        <v>78</v>
      </c>
      <c r="N730" t="s">
        <v>79</v>
      </c>
      <c r="O730" t="s">
        <v>74</v>
      </c>
      <c r="P730" t="s">
        <v>74</v>
      </c>
      <c r="Q730" t="s">
        <v>74</v>
      </c>
      <c r="R730" t="s">
        <v>74</v>
      </c>
      <c r="S730" t="s">
        <v>74</v>
      </c>
      <c r="T730" t="s">
        <v>13208</v>
      </c>
      <c r="U730" t="s">
        <v>13209</v>
      </c>
      <c r="V730" t="s">
        <v>13210</v>
      </c>
      <c r="W730" t="s">
        <v>13211</v>
      </c>
      <c r="X730" t="s">
        <v>13212</v>
      </c>
      <c r="Y730" t="s">
        <v>13213</v>
      </c>
      <c r="Z730" t="s">
        <v>13214</v>
      </c>
      <c r="AA730" t="s">
        <v>74</v>
      </c>
      <c r="AB730" t="s">
        <v>74</v>
      </c>
      <c r="AC730" t="s">
        <v>13215</v>
      </c>
      <c r="AD730" t="s">
        <v>13216</v>
      </c>
      <c r="AE730" t="s">
        <v>13217</v>
      </c>
      <c r="AF730" t="s">
        <v>74</v>
      </c>
      <c r="AG730">
        <v>41</v>
      </c>
      <c r="AH730">
        <v>0</v>
      </c>
      <c r="AI730">
        <v>0</v>
      </c>
      <c r="AJ730">
        <v>10</v>
      </c>
      <c r="AK730">
        <v>10</v>
      </c>
      <c r="AL730" t="s">
        <v>7022</v>
      </c>
      <c r="AM730" t="s">
        <v>121</v>
      </c>
      <c r="AN730" t="s">
        <v>7023</v>
      </c>
      <c r="AO730" t="s">
        <v>7878</v>
      </c>
      <c r="AP730" t="s">
        <v>7879</v>
      </c>
      <c r="AQ730" t="s">
        <v>74</v>
      </c>
      <c r="AR730" t="s">
        <v>7880</v>
      </c>
      <c r="AS730" t="s">
        <v>7881</v>
      </c>
      <c r="AT730" t="s">
        <v>11915</v>
      </c>
      <c r="AU730">
        <v>2023</v>
      </c>
      <c r="AV730">
        <v>238</v>
      </c>
      <c r="AW730" t="s">
        <v>74</v>
      </c>
      <c r="AX730" t="s">
        <v>74</v>
      </c>
      <c r="AY730" t="s">
        <v>74</v>
      </c>
      <c r="AZ730" t="s">
        <v>74</v>
      </c>
      <c r="BA730" t="s">
        <v>74</v>
      </c>
      <c r="BB730" t="s">
        <v>74</v>
      </c>
      <c r="BC730" t="s">
        <v>74</v>
      </c>
      <c r="BD730">
        <v>115583</v>
      </c>
      <c r="BE730" t="s">
        <v>13218</v>
      </c>
      <c r="BF730" t="str">
        <f>HYPERLINK("http://dx.doi.org/10.1016/j.bios.2023.115583","http://dx.doi.org/10.1016/j.bios.2023.115583")</f>
        <v>http://dx.doi.org/10.1016/j.bios.2023.115583</v>
      </c>
      <c r="BG730" t="s">
        <v>74</v>
      </c>
      <c r="BH730" t="s">
        <v>74</v>
      </c>
      <c r="BI730">
        <v>7</v>
      </c>
      <c r="BJ730" t="s">
        <v>7883</v>
      </c>
      <c r="BK730" t="s">
        <v>100</v>
      </c>
      <c r="BL730" t="s">
        <v>7884</v>
      </c>
      <c r="BM730" t="s">
        <v>13219</v>
      </c>
      <c r="BN730">
        <v>37573643</v>
      </c>
      <c r="BO730" t="s">
        <v>74</v>
      </c>
      <c r="BP730" t="s">
        <v>74</v>
      </c>
      <c r="BQ730" t="s">
        <v>74</v>
      </c>
      <c r="BR730" t="s">
        <v>104</v>
      </c>
      <c r="BS730" t="s">
        <v>13220</v>
      </c>
      <c r="BT730" t="str">
        <f>HYPERLINK("https%3A%2F%2Fwww.webofscience.com%2Fwos%2Fwoscc%2Ffull-record%2FWOS:001055667000001","View Full Record in Web of Science")</f>
        <v>View Full Record in Web of Science</v>
      </c>
    </row>
    <row r="731" spans="1:72" x14ac:dyDescent="0.15">
      <c r="A731" t="s">
        <v>72</v>
      </c>
      <c r="B731" t="s">
        <v>13221</v>
      </c>
      <c r="C731" t="s">
        <v>74</v>
      </c>
      <c r="D731" t="s">
        <v>74</v>
      </c>
      <c r="E731" t="s">
        <v>74</v>
      </c>
      <c r="F731" t="s">
        <v>13222</v>
      </c>
      <c r="G731" t="s">
        <v>74</v>
      </c>
      <c r="H731" t="s">
        <v>74</v>
      </c>
      <c r="I731" t="s">
        <v>13223</v>
      </c>
      <c r="J731" t="s">
        <v>13224</v>
      </c>
      <c r="K731" t="s">
        <v>74</v>
      </c>
      <c r="L731" t="s">
        <v>74</v>
      </c>
      <c r="M731" t="s">
        <v>78</v>
      </c>
      <c r="N731" t="s">
        <v>79</v>
      </c>
      <c r="O731" t="s">
        <v>74</v>
      </c>
      <c r="P731" t="s">
        <v>74</v>
      </c>
      <c r="Q731" t="s">
        <v>74</v>
      </c>
      <c r="R731" t="s">
        <v>74</v>
      </c>
      <c r="S731" t="s">
        <v>74</v>
      </c>
      <c r="T731" t="s">
        <v>13225</v>
      </c>
      <c r="U731" t="s">
        <v>13226</v>
      </c>
      <c r="V731" t="s">
        <v>13227</v>
      </c>
      <c r="W731" t="s">
        <v>13228</v>
      </c>
      <c r="X731" t="s">
        <v>13229</v>
      </c>
      <c r="Y731" t="s">
        <v>13230</v>
      </c>
      <c r="Z731" t="s">
        <v>13231</v>
      </c>
      <c r="AA731" t="s">
        <v>74</v>
      </c>
      <c r="AB731" t="s">
        <v>74</v>
      </c>
      <c r="AC731" t="s">
        <v>13232</v>
      </c>
      <c r="AD731" t="s">
        <v>13233</v>
      </c>
      <c r="AE731" t="s">
        <v>13234</v>
      </c>
      <c r="AF731" t="s">
        <v>74</v>
      </c>
      <c r="AG731">
        <v>48</v>
      </c>
      <c r="AH731">
        <v>0</v>
      </c>
      <c r="AI731">
        <v>0</v>
      </c>
      <c r="AJ731">
        <v>1</v>
      </c>
      <c r="AK731">
        <v>1</v>
      </c>
      <c r="AL731" t="s">
        <v>173</v>
      </c>
      <c r="AM731" t="s">
        <v>121</v>
      </c>
      <c r="AN731" t="s">
        <v>174</v>
      </c>
      <c r="AO731" t="s">
        <v>13235</v>
      </c>
      <c r="AP731" t="s">
        <v>13236</v>
      </c>
      <c r="AQ731" t="s">
        <v>74</v>
      </c>
      <c r="AR731" t="s">
        <v>13237</v>
      </c>
      <c r="AS731" t="s">
        <v>13238</v>
      </c>
      <c r="AT731" t="s">
        <v>11915</v>
      </c>
      <c r="AU731">
        <v>2023</v>
      </c>
      <c r="AV731">
        <v>372</v>
      </c>
      <c r="AW731" t="s">
        <v>74</v>
      </c>
      <c r="AX731" t="s">
        <v>74</v>
      </c>
      <c r="AY731" t="s">
        <v>74</v>
      </c>
      <c r="AZ731" t="s">
        <v>74</v>
      </c>
      <c r="BA731" t="s">
        <v>74</v>
      </c>
      <c r="BB731" t="s">
        <v>74</v>
      </c>
      <c r="BC731" t="s">
        <v>74</v>
      </c>
      <c r="BD731">
        <v>115308</v>
      </c>
      <c r="BE731" t="s">
        <v>13239</v>
      </c>
      <c r="BF731" t="str">
        <f>HYPERLINK("http://dx.doi.org/10.1016/j.ssc.2023.115308","http://dx.doi.org/10.1016/j.ssc.2023.115308")</f>
        <v>http://dx.doi.org/10.1016/j.ssc.2023.115308</v>
      </c>
      <c r="BG731" t="s">
        <v>74</v>
      </c>
      <c r="BH731" t="s">
        <v>74</v>
      </c>
      <c r="BI731">
        <v>7</v>
      </c>
      <c r="BJ731" t="s">
        <v>12036</v>
      </c>
      <c r="BK731" t="s">
        <v>100</v>
      </c>
      <c r="BL731" t="s">
        <v>9937</v>
      </c>
      <c r="BM731" t="s">
        <v>13240</v>
      </c>
      <c r="BN731" t="s">
        <v>74</v>
      </c>
      <c r="BO731" t="s">
        <v>74</v>
      </c>
      <c r="BP731" t="s">
        <v>74</v>
      </c>
      <c r="BQ731" t="s">
        <v>74</v>
      </c>
      <c r="BR731" t="s">
        <v>104</v>
      </c>
      <c r="BS731" t="s">
        <v>13241</v>
      </c>
      <c r="BT731" t="str">
        <f>HYPERLINK("https%3A%2F%2Fwww.webofscience.com%2Fwos%2Fwoscc%2Ffull-record%2FWOS:001062903900001","View Full Record in Web of Science")</f>
        <v>View Full Record in Web of Science</v>
      </c>
    </row>
    <row r="732" spans="1:72" x14ac:dyDescent="0.15">
      <c r="A732" t="s">
        <v>72</v>
      </c>
      <c r="B732" t="s">
        <v>13242</v>
      </c>
      <c r="C732" t="s">
        <v>74</v>
      </c>
      <c r="D732" t="s">
        <v>74</v>
      </c>
      <c r="E732" t="s">
        <v>74</v>
      </c>
      <c r="F732" t="s">
        <v>13243</v>
      </c>
      <c r="G732" t="s">
        <v>74</v>
      </c>
      <c r="H732" t="s">
        <v>74</v>
      </c>
      <c r="I732" t="s">
        <v>13244</v>
      </c>
      <c r="J732" t="s">
        <v>7707</v>
      </c>
      <c r="K732" t="s">
        <v>74</v>
      </c>
      <c r="L732" t="s">
        <v>74</v>
      </c>
      <c r="M732" t="s">
        <v>78</v>
      </c>
      <c r="N732" t="s">
        <v>79</v>
      </c>
      <c r="O732" t="s">
        <v>74</v>
      </c>
      <c r="P732" t="s">
        <v>74</v>
      </c>
      <c r="Q732" t="s">
        <v>74</v>
      </c>
      <c r="R732" t="s">
        <v>74</v>
      </c>
      <c r="S732" t="s">
        <v>74</v>
      </c>
      <c r="T732" t="s">
        <v>13245</v>
      </c>
      <c r="U732" t="s">
        <v>13246</v>
      </c>
      <c r="V732" t="s">
        <v>13247</v>
      </c>
      <c r="W732" t="s">
        <v>13248</v>
      </c>
      <c r="X732" t="s">
        <v>13249</v>
      </c>
      <c r="Y732" t="s">
        <v>13250</v>
      </c>
      <c r="Z732" t="s">
        <v>13251</v>
      </c>
      <c r="AA732" t="s">
        <v>74</v>
      </c>
      <c r="AB732" t="s">
        <v>74</v>
      </c>
      <c r="AC732" t="s">
        <v>13252</v>
      </c>
      <c r="AD732" t="s">
        <v>13253</v>
      </c>
      <c r="AE732" t="s">
        <v>13254</v>
      </c>
      <c r="AF732" t="s">
        <v>74</v>
      </c>
      <c r="AG732">
        <v>59</v>
      </c>
      <c r="AH732">
        <v>1</v>
      </c>
      <c r="AI732">
        <v>1</v>
      </c>
      <c r="AJ732">
        <v>1</v>
      </c>
      <c r="AK732">
        <v>1</v>
      </c>
      <c r="AL732" t="s">
        <v>955</v>
      </c>
      <c r="AM732" t="s">
        <v>956</v>
      </c>
      <c r="AN732" t="s">
        <v>957</v>
      </c>
      <c r="AO732" t="s">
        <v>74</v>
      </c>
      <c r="AP732" t="s">
        <v>7718</v>
      </c>
      <c r="AQ732" t="s">
        <v>74</v>
      </c>
      <c r="AR732" t="s">
        <v>7719</v>
      </c>
      <c r="AS732" t="s">
        <v>7720</v>
      </c>
      <c r="AT732" t="s">
        <v>11915</v>
      </c>
      <c r="AU732">
        <v>2023</v>
      </c>
      <c r="AV732">
        <v>393</v>
      </c>
      <c r="AW732" t="s">
        <v>74</v>
      </c>
      <c r="AX732" t="s">
        <v>74</v>
      </c>
      <c r="AY732" t="s">
        <v>74</v>
      </c>
      <c r="AZ732" t="s">
        <v>74</v>
      </c>
      <c r="BA732" t="s">
        <v>74</v>
      </c>
      <c r="BB732" t="s">
        <v>74</v>
      </c>
      <c r="BC732" t="s">
        <v>74</v>
      </c>
      <c r="BD732">
        <v>134176</v>
      </c>
      <c r="BE732" t="s">
        <v>13255</v>
      </c>
      <c r="BF732" t="str">
        <f>HYPERLINK("http://dx.doi.org/10.1016/j.snb.2023.134176","http://dx.doi.org/10.1016/j.snb.2023.134176")</f>
        <v>http://dx.doi.org/10.1016/j.snb.2023.134176</v>
      </c>
      <c r="BG732" t="s">
        <v>74</v>
      </c>
      <c r="BH732" t="s">
        <v>74</v>
      </c>
      <c r="BI732">
        <v>10</v>
      </c>
      <c r="BJ732" t="s">
        <v>7722</v>
      </c>
      <c r="BK732" t="s">
        <v>100</v>
      </c>
      <c r="BL732" t="s">
        <v>7723</v>
      </c>
      <c r="BM732" t="s">
        <v>13256</v>
      </c>
      <c r="BN732" t="s">
        <v>74</v>
      </c>
      <c r="BO732" t="s">
        <v>74</v>
      </c>
      <c r="BP732" t="s">
        <v>74</v>
      </c>
      <c r="BQ732" t="s">
        <v>74</v>
      </c>
      <c r="BR732" t="s">
        <v>104</v>
      </c>
      <c r="BS732" t="s">
        <v>13257</v>
      </c>
      <c r="BT732" t="str">
        <f>HYPERLINK("https%3A%2F%2Fwww.webofscience.com%2Fwos%2Fwoscc%2Ffull-record%2FWOS:001062103900001","View Full Record in Web of Science")</f>
        <v>View Full Record in Web of Science</v>
      </c>
    </row>
    <row r="733" spans="1:72" x14ac:dyDescent="0.15">
      <c r="A733" t="s">
        <v>72</v>
      </c>
      <c r="B733" t="s">
        <v>13258</v>
      </c>
      <c r="C733" t="s">
        <v>74</v>
      </c>
      <c r="D733" t="s">
        <v>74</v>
      </c>
      <c r="E733" t="s">
        <v>74</v>
      </c>
      <c r="F733" t="s">
        <v>13259</v>
      </c>
      <c r="G733" t="s">
        <v>74</v>
      </c>
      <c r="H733" t="s">
        <v>74</v>
      </c>
      <c r="I733" t="s">
        <v>13260</v>
      </c>
      <c r="J733" t="s">
        <v>11581</v>
      </c>
      <c r="K733" t="s">
        <v>74</v>
      </c>
      <c r="L733" t="s">
        <v>74</v>
      </c>
      <c r="M733" t="s">
        <v>78</v>
      </c>
      <c r="N733" t="s">
        <v>79</v>
      </c>
      <c r="O733" t="s">
        <v>74</v>
      </c>
      <c r="P733" t="s">
        <v>74</v>
      </c>
      <c r="Q733" t="s">
        <v>74</v>
      </c>
      <c r="R733" t="s">
        <v>74</v>
      </c>
      <c r="S733" t="s">
        <v>74</v>
      </c>
      <c r="T733" t="s">
        <v>13261</v>
      </c>
      <c r="U733" t="s">
        <v>74</v>
      </c>
      <c r="V733" t="s">
        <v>13262</v>
      </c>
      <c r="W733" t="s">
        <v>13263</v>
      </c>
      <c r="X733" t="s">
        <v>13264</v>
      </c>
      <c r="Y733" t="s">
        <v>13265</v>
      </c>
      <c r="Z733" t="s">
        <v>13266</v>
      </c>
      <c r="AA733" t="s">
        <v>74</v>
      </c>
      <c r="AB733" t="s">
        <v>13267</v>
      </c>
      <c r="AC733" t="s">
        <v>13268</v>
      </c>
      <c r="AD733" t="s">
        <v>13269</v>
      </c>
      <c r="AE733" t="s">
        <v>13270</v>
      </c>
      <c r="AF733" t="s">
        <v>74</v>
      </c>
      <c r="AG733">
        <v>68</v>
      </c>
      <c r="AH733">
        <v>0</v>
      </c>
      <c r="AI733">
        <v>0</v>
      </c>
      <c r="AJ733">
        <v>2</v>
      </c>
      <c r="AK733">
        <v>2</v>
      </c>
      <c r="AL733" t="s">
        <v>90</v>
      </c>
      <c r="AM733" t="s">
        <v>91</v>
      </c>
      <c r="AN733" t="s">
        <v>92</v>
      </c>
      <c r="AO733" t="s">
        <v>11593</v>
      </c>
      <c r="AP733" t="s">
        <v>11594</v>
      </c>
      <c r="AQ733" t="s">
        <v>74</v>
      </c>
      <c r="AR733" t="s">
        <v>11581</v>
      </c>
      <c r="AS733" t="s">
        <v>11595</v>
      </c>
      <c r="AT733" t="s">
        <v>13271</v>
      </c>
      <c r="AU733">
        <v>2023</v>
      </c>
      <c r="AV733">
        <v>554</v>
      </c>
      <c r="AW733" t="s">
        <v>74</v>
      </c>
      <c r="AX733" t="s">
        <v>74</v>
      </c>
      <c r="AY733" t="s">
        <v>74</v>
      </c>
      <c r="AZ733" t="s">
        <v>74</v>
      </c>
      <c r="BA733" t="s">
        <v>74</v>
      </c>
      <c r="BB733" t="s">
        <v>74</v>
      </c>
      <c r="BC733" t="s">
        <v>74</v>
      </c>
      <c r="BD733">
        <v>126576</v>
      </c>
      <c r="BE733" t="s">
        <v>13272</v>
      </c>
      <c r="BF733" t="str">
        <f>HYPERLINK("http://dx.doi.org/10.1016/j.neucom.2023.126576","http://dx.doi.org/10.1016/j.neucom.2023.126576")</f>
        <v>http://dx.doi.org/10.1016/j.neucom.2023.126576</v>
      </c>
      <c r="BG733" t="s">
        <v>74</v>
      </c>
      <c r="BH733" t="s">
        <v>74</v>
      </c>
      <c r="BI733">
        <v>14</v>
      </c>
      <c r="BJ733" t="s">
        <v>562</v>
      </c>
      <c r="BK733" t="s">
        <v>100</v>
      </c>
      <c r="BL733" t="s">
        <v>563</v>
      </c>
      <c r="BM733" t="s">
        <v>13273</v>
      </c>
      <c r="BN733" t="s">
        <v>74</v>
      </c>
      <c r="BO733" t="s">
        <v>74</v>
      </c>
      <c r="BP733" t="s">
        <v>74</v>
      </c>
      <c r="BQ733" t="s">
        <v>74</v>
      </c>
      <c r="BR733" t="s">
        <v>104</v>
      </c>
      <c r="BS733" t="s">
        <v>13274</v>
      </c>
      <c r="BT733" t="str">
        <f>HYPERLINK("https%3A%2F%2Fwww.webofscience.com%2Fwos%2Fwoscc%2Ffull-record%2FWOS:001053060500001","View Full Record in Web of Science")</f>
        <v>View Full Record in Web of Science</v>
      </c>
    </row>
    <row r="734" spans="1:72" x14ac:dyDescent="0.15">
      <c r="A734" t="s">
        <v>72</v>
      </c>
      <c r="B734" t="s">
        <v>13275</v>
      </c>
      <c r="C734" t="s">
        <v>74</v>
      </c>
      <c r="D734" t="s">
        <v>74</v>
      </c>
      <c r="E734" t="s">
        <v>74</v>
      </c>
      <c r="F734" t="s">
        <v>13276</v>
      </c>
      <c r="G734" t="s">
        <v>74</v>
      </c>
      <c r="H734" t="s">
        <v>74</v>
      </c>
      <c r="I734" t="s">
        <v>13277</v>
      </c>
      <c r="J734" t="s">
        <v>6567</v>
      </c>
      <c r="K734" t="s">
        <v>74</v>
      </c>
      <c r="L734" t="s">
        <v>74</v>
      </c>
      <c r="M734" t="s">
        <v>78</v>
      </c>
      <c r="N734" t="s">
        <v>241</v>
      </c>
      <c r="O734" t="s">
        <v>74</v>
      </c>
      <c r="P734" t="s">
        <v>74</v>
      </c>
      <c r="Q734" t="s">
        <v>74</v>
      </c>
      <c r="R734" t="s">
        <v>74</v>
      </c>
      <c r="S734" t="s">
        <v>74</v>
      </c>
      <c r="T734" t="s">
        <v>13278</v>
      </c>
      <c r="U734" t="s">
        <v>13279</v>
      </c>
      <c r="V734" t="s">
        <v>13280</v>
      </c>
      <c r="W734" t="s">
        <v>13281</v>
      </c>
      <c r="X734" t="s">
        <v>13282</v>
      </c>
      <c r="Y734" t="s">
        <v>13283</v>
      </c>
      <c r="Z734" t="s">
        <v>13284</v>
      </c>
      <c r="AA734" t="s">
        <v>13285</v>
      </c>
      <c r="AB734" t="s">
        <v>13286</v>
      </c>
      <c r="AC734" t="s">
        <v>74</v>
      </c>
      <c r="AD734" t="s">
        <v>74</v>
      </c>
      <c r="AE734" t="s">
        <v>74</v>
      </c>
      <c r="AF734" t="s">
        <v>74</v>
      </c>
      <c r="AG734">
        <v>167</v>
      </c>
      <c r="AH734">
        <v>0</v>
      </c>
      <c r="AI734">
        <v>0</v>
      </c>
      <c r="AJ734">
        <v>2</v>
      </c>
      <c r="AK734">
        <v>2</v>
      </c>
      <c r="AL734" t="s">
        <v>120</v>
      </c>
      <c r="AM734" t="s">
        <v>121</v>
      </c>
      <c r="AN734" t="s">
        <v>122</v>
      </c>
      <c r="AO734" t="s">
        <v>6578</v>
      </c>
      <c r="AP734" t="s">
        <v>6579</v>
      </c>
      <c r="AQ734" t="s">
        <v>74</v>
      </c>
      <c r="AR734" t="s">
        <v>6580</v>
      </c>
      <c r="AS734" t="s">
        <v>6581</v>
      </c>
      <c r="AT734" t="s">
        <v>13287</v>
      </c>
      <c r="AU734">
        <v>2023</v>
      </c>
      <c r="AV734">
        <v>400</v>
      </c>
      <c r="AW734" t="s">
        <v>74</v>
      </c>
      <c r="AX734" t="s">
        <v>74</v>
      </c>
      <c r="AY734" t="s">
        <v>74</v>
      </c>
      <c r="AZ734" t="s">
        <v>74</v>
      </c>
      <c r="BA734" t="s">
        <v>74</v>
      </c>
      <c r="BB734" t="s">
        <v>74</v>
      </c>
      <c r="BC734" t="s">
        <v>74</v>
      </c>
      <c r="BD734">
        <v>132858</v>
      </c>
      <c r="BE734" t="s">
        <v>13288</v>
      </c>
      <c r="BF734" t="str">
        <f>HYPERLINK("http://dx.doi.org/10.1016/j.conbuildmat.2023.132858","http://dx.doi.org/10.1016/j.conbuildmat.2023.132858")</f>
        <v>http://dx.doi.org/10.1016/j.conbuildmat.2023.132858</v>
      </c>
      <c r="BG734" t="s">
        <v>74</v>
      </c>
      <c r="BH734" t="s">
        <v>74</v>
      </c>
      <c r="BI734">
        <v>17</v>
      </c>
      <c r="BJ734" t="s">
        <v>2648</v>
      </c>
      <c r="BK734" t="s">
        <v>100</v>
      </c>
      <c r="BL734" t="s">
        <v>2649</v>
      </c>
      <c r="BM734" t="s">
        <v>13289</v>
      </c>
      <c r="BN734" t="s">
        <v>74</v>
      </c>
      <c r="BO734" t="s">
        <v>74</v>
      </c>
      <c r="BP734" t="s">
        <v>74</v>
      </c>
      <c r="BQ734" t="s">
        <v>74</v>
      </c>
      <c r="BR734" t="s">
        <v>104</v>
      </c>
      <c r="BS734" t="s">
        <v>13290</v>
      </c>
      <c r="BT734" t="str">
        <f>HYPERLINK("https%3A%2F%2Fwww.webofscience.com%2Fwos%2Fwoscc%2Ffull-record%2FWOS:001058631400001","View Full Record in Web of Science")</f>
        <v>View Full Record in Web of Science</v>
      </c>
    </row>
    <row r="735" spans="1:72" x14ac:dyDescent="0.15">
      <c r="A735" t="s">
        <v>72</v>
      </c>
      <c r="B735" t="s">
        <v>13291</v>
      </c>
      <c r="C735" t="s">
        <v>74</v>
      </c>
      <c r="D735" t="s">
        <v>74</v>
      </c>
      <c r="E735" t="s">
        <v>74</v>
      </c>
      <c r="F735" t="s">
        <v>13292</v>
      </c>
      <c r="G735" t="s">
        <v>74</v>
      </c>
      <c r="H735" t="s">
        <v>74</v>
      </c>
      <c r="I735" t="s">
        <v>13293</v>
      </c>
      <c r="J735" t="s">
        <v>6567</v>
      </c>
      <c r="K735" t="s">
        <v>74</v>
      </c>
      <c r="L735" t="s">
        <v>74</v>
      </c>
      <c r="M735" t="s">
        <v>78</v>
      </c>
      <c r="N735" t="s">
        <v>79</v>
      </c>
      <c r="O735" t="s">
        <v>74</v>
      </c>
      <c r="P735" t="s">
        <v>74</v>
      </c>
      <c r="Q735" t="s">
        <v>74</v>
      </c>
      <c r="R735" t="s">
        <v>74</v>
      </c>
      <c r="S735" t="s">
        <v>74</v>
      </c>
      <c r="T735" t="s">
        <v>13294</v>
      </c>
      <c r="U735" t="s">
        <v>13295</v>
      </c>
      <c r="V735" t="s">
        <v>13296</v>
      </c>
      <c r="W735" t="s">
        <v>13297</v>
      </c>
      <c r="X735" t="s">
        <v>13298</v>
      </c>
      <c r="Y735" t="s">
        <v>13299</v>
      </c>
      <c r="Z735" t="s">
        <v>13300</v>
      </c>
      <c r="AA735" t="s">
        <v>74</v>
      </c>
      <c r="AB735" t="s">
        <v>74</v>
      </c>
      <c r="AC735" t="s">
        <v>13301</v>
      </c>
      <c r="AD735" t="s">
        <v>252</v>
      </c>
      <c r="AE735" t="s">
        <v>13302</v>
      </c>
      <c r="AF735" t="s">
        <v>74</v>
      </c>
      <c r="AG735">
        <v>52</v>
      </c>
      <c r="AH735">
        <v>0</v>
      </c>
      <c r="AI735">
        <v>0</v>
      </c>
      <c r="AJ735">
        <v>10</v>
      </c>
      <c r="AK735">
        <v>10</v>
      </c>
      <c r="AL735" t="s">
        <v>120</v>
      </c>
      <c r="AM735" t="s">
        <v>121</v>
      </c>
      <c r="AN735" t="s">
        <v>122</v>
      </c>
      <c r="AO735" t="s">
        <v>6578</v>
      </c>
      <c r="AP735" t="s">
        <v>6579</v>
      </c>
      <c r="AQ735" t="s">
        <v>74</v>
      </c>
      <c r="AR735" t="s">
        <v>6580</v>
      </c>
      <c r="AS735" t="s">
        <v>6581</v>
      </c>
      <c r="AT735" t="s">
        <v>13287</v>
      </c>
      <c r="AU735">
        <v>2023</v>
      </c>
      <c r="AV735">
        <v>400</v>
      </c>
      <c r="AW735" t="s">
        <v>74</v>
      </c>
      <c r="AX735" t="s">
        <v>74</v>
      </c>
      <c r="AY735" t="s">
        <v>74</v>
      </c>
      <c r="AZ735" t="s">
        <v>74</v>
      </c>
      <c r="BA735" t="s">
        <v>74</v>
      </c>
      <c r="BB735" t="s">
        <v>74</v>
      </c>
      <c r="BC735" t="s">
        <v>74</v>
      </c>
      <c r="BD735">
        <v>132641</v>
      </c>
      <c r="BE735" t="s">
        <v>13303</v>
      </c>
      <c r="BF735" t="str">
        <f>HYPERLINK("http://dx.doi.org/10.1016/j.conbuildmat.2023.132641","http://dx.doi.org/10.1016/j.conbuildmat.2023.132641")</f>
        <v>http://dx.doi.org/10.1016/j.conbuildmat.2023.132641</v>
      </c>
      <c r="BG735" t="s">
        <v>74</v>
      </c>
      <c r="BH735" t="s">
        <v>74</v>
      </c>
      <c r="BI735">
        <v>10</v>
      </c>
      <c r="BJ735" t="s">
        <v>2648</v>
      </c>
      <c r="BK735" t="s">
        <v>100</v>
      </c>
      <c r="BL735" t="s">
        <v>2649</v>
      </c>
      <c r="BM735" t="s">
        <v>13304</v>
      </c>
      <c r="BN735" t="s">
        <v>74</v>
      </c>
      <c r="BO735" t="s">
        <v>74</v>
      </c>
      <c r="BP735" t="s">
        <v>74</v>
      </c>
      <c r="BQ735" t="s">
        <v>74</v>
      </c>
      <c r="BR735" t="s">
        <v>104</v>
      </c>
      <c r="BS735" t="s">
        <v>13305</v>
      </c>
      <c r="BT735" t="str">
        <f>HYPERLINK("https%3A%2F%2Fwww.webofscience.com%2Fwos%2Fwoscc%2Ffull-record%2FWOS:001051432100001","View Full Record in Web of Science")</f>
        <v>View Full Record in Web of Science</v>
      </c>
    </row>
    <row r="736" spans="1:72" x14ac:dyDescent="0.15">
      <c r="A736" t="s">
        <v>72</v>
      </c>
      <c r="B736" t="s">
        <v>13306</v>
      </c>
      <c r="C736" t="s">
        <v>74</v>
      </c>
      <c r="D736" t="s">
        <v>74</v>
      </c>
      <c r="E736" t="s">
        <v>74</v>
      </c>
      <c r="F736" t="s">
        <v>13307</v>
      </c>
      <c r="G736" t="s">
        <v>74</v>
      </c>
      <c r="H736" t="s">
        <v>74</v>
      </c>
      <c r="I736" t="s">
        <v>13308</v>
      </c>
      <c r="J736" t="s">
        <v>6567</v>
      </c>
      <c r="K736" t="s">
        <v>74</v>
      </c>
      <c r="L736" t="s">
        <v>74</v>
      </c>
      <c r="M736" t="s">
        <v>78</v>
      </c>
      <c r="N736" t="s">
        <v>79</v>
      </c>
      <c r="O736" t="s">
        <v>74</v>
      </c>
      <c r="P736" t="s">
        <v>74</v>
      </c>
      <c r="Q736" t="s">
        <v>74</v>
      </c>
      <c r="R736" t="s">
        <v>74</v>
      </c>
      <c r="S736" t="s">
        <v>74</v>
      </c>
      <c r="T736" t="s">
        <v>13309</v>
      </c>
      <c r="U736" t="s">
        <v>13310</v>
      </c>
      <c r="V736" t="s">
        <v>13311</v>
      </c>
      <c r="W736" t="s">
        <v>13312</v>
      </c>
      <c r="X736" t="s">
        <v>13313</v>
      </c>
      <c r="Y736" t="s">
        <v>13314</v>
      </c>
      <c r="Z736" t="s">
        <v>13315</v>
      </c>
      <c r="AA736" t="s">
        <v>74</v>
      </c>
      <c r="AB736" t="s">
        <v>74</v>
      </c>
      <c r="AC736" t="s">
        <v>13316</v>
      </c>
      <c r="AD736" t="s">
        <v>9765</v>
      </c>
      <c r="AE736" t="s">
        <v>13317</v>
      </c>
      <c r="AF736" t="s">
        <v>74</v>
      </c>
      <c r="AG736">
        <v>26</v>
      </c>
      <c r="AH736">
        <v>0</v>
      </c>
      <c r="AI736">
        <v>0</v>
      </c>
      <c r="AJ736">
        <v>3</v>
      </c>
      <c r="AK736">
        <v>3</v>
      </c>
      <c r="AL736" t="s">
        <v>120</v>
      </c>
      <c r="AM736" t="s">
        <v>121</v>
      </c>
      <c r="AN736" t="s">
        <v>122</v>
      </c>
      <c r="AO736" t="s">
        <v>6578</v>
      </c>
      <c r="AP736" t="s">
        <v>6579</v>
      </c>
      <c r="AQ736" t="s">
        <v>74</v>
      </c>
      <c r="AR736" t="s">
        <v>6580</v>
      </c>
      <c r="AS736" t="s">
        <v>6581</v>
      </c>
      <c r="AT736" t="s">
        <v>13287</v>
      </c>
      <c r="AU736">
        <v>2023</v>
      </c>
      <c r="AV736">
        <v>400</v>
      </c>
      <c r="AW736" t="s">
        <v>74</v>
      </c>
      <c r="AX736" t="s">
        <v>74</v>
      </c>
      <c r="AY736" t="s">
        <v>74</v>
      </c>
      <c r="AZ736" t="s">
        <v>74</v>
      </c>
      <c r="BA736" t="s">
        <v>74</v>
      </c>
      <c r="BB736" t="s">
        <v>74</v>
      </c>
      <c r="BC736" t="s">
        <v>74</v>
      </c>
      <c r="BD736">
        <v>132629</v>
      </c>
      <c r="BE736" t="s">
        <v>13318</v>
      </c>
      <c r="BF736" t="str">
        <f>HYPERLINK("http://dx.doi.org/10.1016/j.conbuildmat.2023.132629","http://dx.doi.org/10.1016/j.conbuildmat.2023.132629")</f>
        <v>http://dx.doi.org/10.1016/j.conbuildmat.2023.132629</v>
      </c>
      <c r="BG736" t="s">
        <v>74</v>
      </c>
      <c r="BH736" t="s">
        <v>74</v>
      </c>
      <c r="BI736">
        <v>13</v>
      </c>
      <c r="BJ736" t="s">
        <v>2648</v>
      </c>
      <c r="BK736" t="s">
        <v>100</v>
      </c>
      <c r="BL736" t="s">
        <v>2649</v>
      </c>
      <c r="BM736" t="s">
        <v>13319</v>
      </c>
      <c r="BN736" t="s">
        <v>74</v>
      </c>
      <c r="BO736" t="s">
        <v>74</v>
      </c>
      <c r="BP736" t="s">
        <v>74</v>
      </c>
      <c r="BQ736" t="s">
        <v>74</v>
      </c>
      <c r="BR736" t="s">
        <v>104</v>
      </c>
      <c r="BS736" t="s">
        <v>13320</v>
      </c>
      <c r="BT736" t="str">
        <f>HYPERLINK("https%3A%2F%2Fwww.webofscience.com%2Fwos%2Fwoscc%2Ffull-record%2FWOS:001058614200001","View Full Record in Web of Science")</f>
        <v>View Full Record in Web of Science</v>
      </c>
    </row>
    <row r="737" spans="1:72" x14ac:dyDescent="0.15">
      <c r="A737" t="s">
        <v>72</v>
      </c>
      <c r="B737" t="s">
        <v>13321</v>
      </c>
      <c r="C737" t="s">
        <v>74</v>
      </c>
      <c r="D737" t="s">
        <v>74</v>
      </c>
      <c r="E737" t="s">
        <v>74</v>
      </c>
      <c r="F737" t="s">
        <v>13322</v>
      </c>
      <c r="G737" t="s">
        <v>74</v>
      </c>
      <c r="H737" t="s">
        <v>74</v>
      </c>
      <c r="I737" t="s">
        <v>13323</v>
      </c>
      <c r="J737" t="s">
        <v>6567</v>
      </c>
      <c r="K737" t="s">
        <v>74</v>
      </c>
      <c r="L737" t="s">
        <v>74</v>
      </c>
      <c r="M737" t="s">
        <v>78</v>
      </c>
      <c r="N737" t="s">
        <v>79</v>
      </c>
      <c r="O737" t="s">
        <v>74</v>
      </c>
      <c r="P737" t="s">
        <v>74</v>
      </c>
      <c r="Q737" t="s">
        <v>74</v>
      </c>
      <c r="R737" t="s">
        <v>74</v>
      </c>
      <c r="S737" t="s">
        <v>74</v>
      </c>
      <c r="T737" t="s">
        <v>13324</v>
      </c>
      <c r="U737" t="s">
        <v>13325</v>
      </c>
      <c r="V737" t="s">
        <v>13326</v>
      </c>
      <c r="W737" t="s">
        <v>13327</v>
      </c>
      <c r="X737" t="s">
        <v>13328</v>
      </c>
      <c r="Y737" t="s">
        <v>13329</v>
      </c>
      <c r="Z737" t="s">
        <v>13330</v>
      </c>
      <c r="AA737" t="s">
        <v>13331</v>
      </c>
      <c r="AB737" t="s">
        <v>13332</v>
      </c>
      <c r="AC737" t="s">
        <v>74</v>
      </c>
      <c r="AD737" t="s">
        <v>74</v>
      </c>
      <c r="AE737" t="s">
        <v>74</v>
      </c>
      <c r="AF737" t="s">
        <v>74</v>
      </c>
      <c r="AG737">
        <v>31</v>
      </c>
      <c r="AH737">
        <v>0</v>
      </c>
      <c r="AI737">
        <v>0</v>
      </c>
      <c r="AJ737">
        <v>1</v>
      </c>
      <c r="AK737">
        <v>1</v>
      </c>
      <c r="AL737" t="s">
        <v>120</v>
      </c>
      <c r="AM737" t="s">
        <v>121</v>
      </c>
      <c r="AN737" t="s">
        <v>122</v>
      </c>
      <c r="AO737" t="s">
        <v>6578</v>
      </c>
      <c r="AP737" t="s">
        <v>6579</v>
      </c>
      <c r="AQ737" t="s">
        <v>74</v>
      </c>
      <c r="AR737" t="s">
        <v>6580</v>
      </c>
      <c r="AS737" t="s">
        <v>6581</v>
      </c>
      <c r="AT737" t="s">
        <v>13287</v>
      </c>
      <c r="AU737">
        <v>2023</v>
      </c>
      <c r="AV737">
        <v>400</v>
      </c>
      <c r="AW737" t="s">
        <v>74</v>
      </c>
      <c r="AX737" t="s">
        <v>74</v>
      </c>
      <c r="AY737" t="s">
        <v>74</v>
      </c>
      <c r="AZ737" t="s">
        <v>74</v>
      </c>
      <c r="BA737" t="s">
        <v>74</v>
      </c>
      <c r="BB737" t="s">
        <v>74</v>
      </c>
      <c r="BC737" t="s">
        <v>74</v>
      </c>
      <c r="BD737">
        <v>132727</v>
      </c>
      <c r="BE737" t="s">
        <v>13333</v>
      </c>
      <c r="BF737" t="str">
        <f>HYPERLINK("http://dx.doi.org/10.1016/j.conbuildmat.2023.132727","http://dx.doi.org/10.1016/j.conbuildmat.2023.132727")</f>
        <v>http://dx.doi.org/10.1016/j.conbuildmat.2023.132727</v>
      </c>
      <c r="BG737" t="s">
        <v>74</v>
      </c>
      <c r="BH737" t="s">
        <v>74</v>
      </c>
      <c r="BI737">
        <v>9</v>
      </c>
      <c r="BJ737" t="s">
        <v>2648</v>
      </c>
      <c r="BK737" t="s">
        <v>100</v>
      </c>
      <c r="BL737" t="s">
        <v>2649</v>
      </c>
      <c r="BM737" t="s">
        <v>13334</v>
      </c>
      <c r="BN737" t="s">
        <v>74</v>
      </c>
      <c r="BO737" t="s">
        <v>74</v>
      </c>
      <c r="BP737" t="s">
        <v>74</v>
      </c>
      <c r="BQ737" t="s">
        <v>74</v>
      </c>
      <c r="BR737" t="s">
        <v>104</v>
      </c>
      <c r="BS737" t="s">
        <v>13335</v>
      </c>
      <c r="BT737" t="str">
        <f>HYPERLINK("https%3A%2F%2Fwww.webofscience.com%2Fwos%2Fwoscc%2Ffull-record%2FWOS:001058677900001","View Full Record in Web of Science")</f>
        <v>View Full Record in Web of Science</v>
      </c>
    </row>
    <row r="738" spans="1:72" x14ac:dyDescent="0.15">
      <c r="A738" t="s">
        <v>72</v>
      </c>
      <c r="B738" t="s">
        <v>13336</v>
      </c>
      <c r="C738" t="s">
        <v>74</v>
      </c>
      <c r="D738" t="s">
        <v>74</v>
      </c>
      <c r="E738" t="s">
        <v>74</v>
      </c>
      <c r="F738" t="s">
        <v>13337</v>
      </c>
      <c r="G738" t="s">
        <v>74</v>
      </c>
      <c r="H738" t="s">
        <v>74</v>
      </c>
      <c r="I738" t="s">
        <v>13338</v>
      </c>
      <c r="J738" t="s">
        <v>6567</v>
      </c>
      <c r="K738" t="s">
        <v>74</v>
      </c>
      <c r="L738" t="s">
        <v>74</v>
      </c>
      <c r="M738" t="s">
        <v>78</v>
      </c>
      <c r="N738" t="s">
        <v>79</v>
      </c>
      <c r="O738" t="s">
        <v>74</v>
      </c>
      <c r="P738" t="s">
        <v>74</v>
      </c>
      <c r="Q738" t="s">
        <v>74</v>
      </c>
      <c r="R738" t="s">
        <v>74</v>
      </c>
      <c r="S738" t="s">
        <v>74</v>
      </c>
      <c r="T738" t="s">
        <v>13339</v>
      </c>
      <c r="U738" t="s">
        <v>74</v>
      </c>
      <c r="V738" t="s">
        <v>13340</v>
      </c>
      <c r="W738" t="s">
        <v>13341</v>
      </c>
      <c r="X738" t="s">
        <v>13342</v>
      </c>
      <c r="Y738" t="s">
        <v>13343</v>
      </c>
      <c r="Z738" t="s">
        <v>13344</v>
      </c>
      <c r="AA738" t="s">
        <v>74</v>
      </c>
      <c r="AB738" t="s">
        <v>74</v>
      </c>
      <c r="AC738" t="s">
        <v>13345</v>
      </c>
      <c r="AD738" t="s">
        <v>13346</v>
      </c>
      <c r="AE738" t="s">
        <v>13347</v>
      </c>
      <c r="AF738" t="s">
        <v>74</v>
      </c>
      <c r="AG738">
        <v>12</v>
      </c>
      <c r="AH738">
        <v>0</v>
      </c>
      <c r="AI738">
        <v>0</v>
      </c>
      <c r="AJ738">
        <v>2</v>
      </c>
      <c r="AK738">
        <v>2</v>
      </c>
      <c r="AL738" t="s">
        <v>120</v>
      </c>
      <c r="AM738" t="s">
        <v>121</v>
      </c>
      <c r="AN738" t="s">
        <v>122</v>
      </c>
      <c r="AO738" t="s">
        <v>6578</v>
      </c>
      <c r="AP738" t="s">
        <v>6579</v>
      </c>
      <c r="AQ738" t="s">
        <v>74</v>
      </c>
      <c r="AR738" t="s">
        <v>6580</v>
      </c>
      <c r="AS738" t="s">
        <v>6581</v>
      </c>
      <c r="AT738" t="s">
        <v>13287</v>
      </c>
      <c r="AU738">
        <v>2023</v>
      </c>
      <c r="AV738">
        <v>400</v>
      </c>
      <c r="AW738" t="s">
        <v>74</v>
      </c>
      <c r="AX738" t="s">
        <v>74</v>
      </c>
      <c r="AY738" t="s">
        <v>74</v>
      </c>
      <c r="AZ738" t="s">
        <v>74</v>
      </c>
      <c r="BA738" t="s">
        <v>74</v>
      </c>
      <c r="BB738" t="s">
        <v>74</v>
      </c>
      <c r="BC738" t="s">
        <v>74</v>
      </c>
      <c r="BD738">
        <v>132653</v>
      </c>
      <c r="BE738" t="s">
        <v>13348</v>
      </c>
      <c r="BF738" t="str">
        <f>HYPERLINK("http://dx.doi.org/10.1016/j.conbuildmat.2023.132653","http://dx.doi.org/10.1016/j.conbuildmat.2023.132653")</f>
        <v>http://dx.doi.org/10.1016/j.conbuildmat.2023.132653</v>
      </c>
      <c r="BG738" t="s">
        <v>74</v>
      </c>
      <c r="BH738" t="s">
        <v>74</v>
      </c>
      <c r="BI738">
        <v>9</v>
      </c>
      <c r="BJ738" t="s">
        <v>2648</v>
      </c>
      <c r="BK738" t="s">
        <v>100</v>
      </c>
      <c r="BL738" t="s">
        <v>2649</v>
      </c>
      <c r="BM738" t="s">
        <v>13349</v>
      </c>
      <c r="BN738" t="s">
        <v>74</v>
      </c>
      <c r="BO738" t="s">
        <v>74</v>
      </c>
      <c r="BP738" t="s">
        <v>74</v>
      </c>
      <c r="BQ738" t="s">
        <v>74</v>
      </c>
      <c r="BR738" t="s">
        <v>104</v>
      </c>
      <c r="BS738" t="s">
        <v>13350</v>
      </c>
      <c r="BT738" t="str">
        <f>HYPERLINK("https%3A%2F%2Fwww.webofscience.com%2Fwos%2Fwoscc%2Ffull-record%2FWOS:001053162100001","View Full Record in Web of Science")</f>
        <v>View Full Record in Web of Science</v>
      </c>
    </row>
    <row r="739" spans="1:72" x14ac:dyDescent="0.15">
      <c r="A739" t="s">
        <v>72</v>
      </c>
      <c r="B739" t="s">
        <v>13351</v>
      </c>
      <c r="C739" t="s">
        <v>74</v>
      </c>
      <c r="D739" t="s">
        <v>74</v>
      </c>
      <c r="E739" t="s">
        <v>74</v>
      </c>
      <c r="F739" t="s">
        <v>13352</v>
      </c>
      <c r="G739" t="s">
        <v>74</v>
      </c>
      <c r="H739" t="s">
        <v>74</v>
      </c>
      <c r="I739" t="s">
        <v>13353</v>
      </c>
      <c r="J739" t="s">
        <v>6567</v>
      </c>
      <c r="K739" t="s">
        <v>74</v>
      </c>
      <c r="L739" t="s">
        <v>74</v>
      </c>
      <c r="M739" t="s">
        <v>78</v>
      </c>
      <c r="N739" t="s">
        <v>79</v>
      </c>
      <c r="O739" t="s">
        <v>74</v>
      </c>
      <c r="P739" t="s">
        <v>74</v>
      </c>
      <c r="Q739" t="s">
        <v>74</v>
      </c>
      <c r="R739" t="s">
        <v>74</v>
      </c>
      <c r="S739" t="s">
        <v>74</v>
      </c>
      <c r="T739" t="s">
        <v>13354</v>
      </c>
      <c r="U739" t="s">
        <v>13355</v>
      </c>
      <c r="V739" t="s">
        <v>13356</v>
      </c>
      <c r="W739" t="s">
        <v>13357</v>
      </c>
      <c r="X739" t="s">
        <v>13358</v>
      </c>
      <c r="Y739" t="s">
        <v>13359</v>
      </c>
      <c r="Z739" t="s">
        <v>13360</v>
      </c>
      <c r="AA739" t="s">
        <v>74</v>
      </c>
      <c r="AB739" t="s">
        <v>74</v>
      </c>
      <c r="AC739" t="s">
        <v>13361</v>
      </c>
      <c r="AD739" t="s">
        <v>13362</v>
      </c>
      <c r="AE739" t="s">
        <v>13363</v>
      </c>
      <c r="AF739" t="s">
        <v>74</v>
      </c>
      <c r="AG739">
        <v>58</v>
      </c>
      <c r="AH739">
        <v>0</v>
      </c>
      <c r="AI739">
        <v>0</v>
      </c>
      <c r="AJ739">
        <v>4</v>
      </c>
      <c r="AK739">
        <v>4</v>
      </c>
      <c r="AL739" t="s">
        <v>120</v>
      </c>
      <c r="AM739" t="s">
        <v>121</v>
      </c>
      <c r="AN739" t="s">
        <v>122</v>
      </c>
      <c r="AO739" t="s">
        <v>6578</v>
      </c>
      <c r="AP739" t="s">
        <v>6579</v>
      </c>
      <c r="AQ739" t="s">
        <v>74</v>
      </c>
      <c r="AR739" t="s">
        <v>6580</v>
      </c>
      <c r="AS739" t="s">
        <v>6581</v>
      </c>
      <c r="AT739" t="s">
        <v>13287</v>
      </c>
      <c r="AU739">
        <v>2023</v>
      </c>
      <c r="AV739">
        <v>400</v>
      </c>
      <c r="AW739" t="s">
        <v>74</v>
      </c>
      <c r="AX739" t="s">
        <v>74</v>
      </c>
      <c r="AY739" t="s">
        <v>74</v>
      </c>
      <c r="AZ739" t="s">
        <v>74</v>
      </c>
      <c r="BA739" t="s">
        <v>74</v>
      </c>
      <c r="BB739" t="s">
        <v>74</v>
      </c>
      <c r="BC739" t="s">
        <v>74</v>
      </c>
      <c r="BD739">
        <v>132646</v>
      </c>
      <c r="BE739" t="s">
        <v>13364</v>
      </c>
      <c r="BF739" t="str">
        <f>HYPERLINK("http://dx.doi.org/10.1016/j.conbuildmat.2023.132646","http://dx.doi.org/10.1016/j.conbuildmat.2023.132646")</f>
        <v>http://dx.doi.org/10.1016/j.conbuildmat.2023.132646</v>
      </c>
      <c r="BG739" t="s">
        <v>74</v>
      </c>
      <c r="BH739" t="s">
        <v>74</v>
      </c>
      <c r="BI739">
        <v>16</v>
      </c>
      <c r="BJ739" t="s">
        <v>2648</v>
      </c>
      <c r="BK739" t="s">
        <v>100</v>
      </c>
      <c r="BL739" t="s">
        <v>2649</v>
      </c>
      <c r="BM739" t="s">
        <v>13365</v>
      </c>
      <c r="BN739" t="s">
        <v>74</v>
      </c>
      <c r="BO739" t="s">
        <v>74</v>
      </c>
      <c r="BP739" t="s">
        <v>74</v>
      </c>
      <c r="BQ739" t="s">
        <v>74</v>
      </c>
      <c r="BR739" t="s">
        <v>104</v>
      </c>
      <c r="BS739" t="s">
        <v>13366</v>
      </c>
      <c r="BT739" t="str">
        <f>HYPERLINK("https%3A%2F%2Fwww.webofscience.com%2Fwos%2Fwoscc%2Ffull-record%2FWOS:001058785600001","View Full Record in Web of Science")</f>
        <v>View Full Record in Web of Science</v>
      </c>
    </row>
    <row r="740" spans="1:72" x14ac:dyDescent="0.15">
      <c r="A740" t="s">
        <v>72</v>
      </c>
      <c r="B740" t="s">
        <v>13367</v>
      </c>
      <c r="C740" t="s">
        <v>74</v>
      </c>
      <c r="D740" t="s">
        <v>74</v>
      </c>
      <c r="E740" t="s">
        <v>74</v>
      </c>
      <c r="F740" t="s">
        <v>13368</v>
      </c>
      <c r="G740" t="s">
        <v>74</v>
      </c>
      <c r="H740" t="s">
        <v>74</v>
      </c>
      <c r="I740" t="s">
        <v>13369</v>
      </c>
      <c r="J740" t="s">
        <v>6880</v>
      </c>
      <c r="K740" t="s">
        <v>74</v>
      </c>
      <c r="L740" t="s">
        <v>74</v>
      </c>
      <c r="M740" t="s">
        <v>78</v>
      </c>
      <c r="N740" t="s">
        <v>79</v>
      </c>
      <c r="O740" t="s">
        <v>74</v>
      </c>
      <c r="P740" t="s">
        <v>74</v>
      </c>
      <c r="Q740" t="s">
        <v>74</v>
      </c>
      <c r="R740" t="s">
        <v>74</v>
      </c>
      <c r="S740" t="s">
        <v>74</v>
      </c>
      <c r="T740" t="s">
        <v>13370</v>
      </c>
      <c r="U740" t="s">
        <v>13371</v>
      </c>
      <c r="V740" t="s">
        <v>13372</v>
      </c>
      <c r="W740" t="s">
        <v>13373</v>
      </c>
      <c r="X740" t="s">
        <v>7114</v>
      </c>
      <c r="Y740" t="s">
        <v>13374</v>
      </c>
      <c r="Z740" t="s">
        <v>13375</v>
      </c>
      <c r="AA740" t="s">
        <v>74</v>
      </c>
      <c r="AB740" t="s">
        <v>13376</v>
      </c>
      <c r="AC740" t="s">
        <v>13377</v>
      </c>
      <c r="AD740" t="s">
        <v>13378</v>
      </c>
      <c r="AE740" t="s">
        <v>13379</v>
      </c>
      <c r="AF740" t="s">
        <v>74</v>
      </c>
      <c r="AG740">
        <v>43</v>
      </c>
      <c r="AH740">
        <v>0</v>
      </c>
      <c r="AI740">
        <v>0</v>
      </c>
      <c r="AJ740">
        <v>4</v>
      </c>
      <c r="AK740">
        <v>4</v>
      </c>
      <c r="AL740" t="s">
        <v>173</v>
      </c>
      <c r="AM740" t="s">
        <v>121</v>
      </c>
      <c r="AN740" t="s">
        <v>174</v>
      </c>
      <c r="AO740" t="s">
        <v>6891</v>
      </c>
      <c r="AP740" t="s">
        <v>6892</v>
      </c>
      <c r="AQ740" t="s">
        <v>74</v>
      </c>
      <c r="AR740" t="s">
        <v>6893</v>
      </c>
      <c r="AS740" t="s">
        <v>6894</v>
      </c>
      <c r="AT740" t="s">
        <v>13380</v>
      </c>
      <c r="AU740">
        <v>2023</v>
      </c>
      <c r="AV740">
        <v>465</v>
      </c>
      <c r="AW740" t="s">
        <v>74</v>
      </c>
      <c r="AX740" t="s">
        <v>74</v>
      </c>
      <c r="AY740" t="s">
        <v>74</v>
      </c>
      <c r="AZ740" t="s">
        <v>74</v>
      </c>
      <c r="BA740" t="s">
        <v>74</v>
      </c>
      <c r="BB740" t="s">
        <v>74</v>
      </c>
      <c r="BC740" t="s">
        <v>74</v>
      </c>
      <c r="BD740">
        <v>143021</v>
      </c>
      <c r="BE740" t="s">
        <v>13381</v>
      </c>
      <c r="BF740" t="str">
        <f>HYPERLINK("http://dx.doi.org/10.1016/j.electacta.2023.143021","http://dx.doi.org/10.1016/j.electacta.2023.143021")</f>
        <v>http://dx.doi.org/10.1016/j.electacta.2023.143021</v>
      </c>
      <c r="BG740" t="s">
        <v>74</v>
      </c>
      <c r="BH740" t="s">
        <v>74</v>
      </c>
      <c r="BI740">
        <v>11</v>
      </c>
      <c r="BJ740" t="s">
        <v>6896</v>
      </c>
      <c r="BK740" t="s">
        <v>100</v>
      </c>
      <c r="BL740" t="s">
        <v>6896</v>
      </c>
      <c r="BM740" t="s">
        <v>13382</v>
      </c>
      <c r="BN740" t="s">
        <v>74</v>
      </c>
      <c r="BO740" t="s">
        <v>74</v>
      </c>
      <c r="BP740" t="s">
        <v>74</v>
      </c>
      <c r="BQ740" t="s">
        <v>74</v>
      </c>
      <c r="BR740" t="s">
        <v>104</v>
      </c>
      <c r="BS740" t="s">
        <v>13383</v>
      </c>
      <c r="BT740" t="str">
        <f>HYPERLINK("https%3A%2F%2Fwww.webofscience.com%2Fwos%2Fwoscc%2Ffull-record%2FWOS:001059023700001","View Full Record in Web of Science")</f>
        <v>View Full Record in Web of Science</v>
      </c>
    </row>
    <row r="741" spans="1:72" x14ac:dyDescent="0.15">
      <c r="A741" t="s">
        <v>72</v>
      </c>
      <c r="B741" t="s">
        <v>13384</v>
      </c>
      <c r="C741" t="s">
        <v>74</v>
      </c>
      <c r="D741" t="s">
        <v>74</v>
      </c>
      <c r="E741" t="s">
        <v>74</v>
      </c>
      <c r="F741" t="s">
        <v>13385</v>
      </c>
      <c r="G741" t="s">
        <v>74</v>
      </c>
      <c r="H741" t="s">
        <v>74</v>
      </c>
      <c r="I741" t="s">
        <v>13386</v>
      </c>
      <c r="J741" t="s">
        <v>6880</v>
      </c>
      <c r="K741" t="s">
        <v>74</v>
      </c>
      <c r="L741" t="s">
        <v>74</v>
      </c>
      <c r="M741" t="s">
        <v>78</v>
      </c>
      <c r="N741" t="s">
        <v>79</v>
      </c>
      <c r="O741" t="s">
        <v>74</v>
      </c>
      <c r="P741" t="s">
        <v>74</v>
      </c>
      <c r="Q741" t="s">
        <v>74</v>
      </c>
      <c r="R741" t="s">
        <v>74</v>
      </c>
      <c r="S741" t="s">
        <v>74</v>
      </c>
      <c r="T741" t="s">
        <v>13387</v>
      </c>
      <c r="U741" t="s">
        <v>13388</v>
      </c>
      <c r="V741" t="s">
        <v>13389</v>
      </c>
      <c r="W741" t="s">
        <v>13390</v>
      </c>
      <c r="X741" t="s">
        <v>13391</v>
      </c>
      <c r="Y741" t="s">
        <v>13392</v>
      </c>
      <c r="Z741" t="s">
        <v>13393</v>
      </c>
      <c r="AA741" t="s">
        <v>13394</v>
      </c>
      <c r="AB741" t="s">
        <v>13395</v>
      </c>
      <c r="AC741" t="s">
        <v>13396</v>
      </c>
      <c r="AD741" t="s">
        <v>13396</v>
      </c>
      <c r="AE741" t="s">
        <v>13397</v>
      </c>
      <c r="AF741" t="s">
        <v>74</v>
      </c>
      <c r="AG741">
        <v>72</v>
      </c>
      <c r="AH741">
        <v>1</v>
      </c>
      <c r="AI741">
        <v>1</v>
      </c>
      <c r="AJ741">
        <v>3</v>
      </c>
      <c r="AK741">
        <v>3</v>
      </c>
      <c r="AL741" t="s">
        <v>173</v>
      </c>
      <c r="AM741" t="s">
        <v>121</v>
      </c>
      <c r="AN741" t="s">
        <v>174</v>
      </c>
      <c r="AO741" t="s">
        <v>6891</v>
      </c>
      <c r="AP741" t="s">
        <v>6892</v>
      </c>
      <c r="AQ741" t="s">
        <v>74</v>
      </c>
      <c r="AR741" t="s">
        <v>6893</v>
      </c>
      <c r="AS741" t="s">
        <v>6894</v>
      </c>
      <c r="AT741" t="s">
        <v>13380</v>
      </c>
      <c r="AU741">
        <v>2023</v>
      </c>
      <c r="AV741">
        <v>465</v>
      </c>
      <c r="AW741" t="s">
        <v>74</v>
      </c>
      <c r="AX741" t="s">
        <v>74</v>
      </c>
      <c r="AY741" t="s">
        <v>74</v>
      </c>
      <c r="AZ741" t="s">
        <v>74</v>
      </c>
      <c r="BA741" t="s">
        <v>74</v>
      </c>
      <c r="BB741" t="s">
        <v>74</v>
      </c>
      <c r="BC741" t="s">
        <v>74</v>
      </c>
      <c r="BD741">
        <v>142959</v>
      </c>
      <c r="BE741" t="s">
        <v>13398</v>
      </c>
      <c r="BF741" t="str">
        <f>HYPERLINK("http://dx.doi.org/10.1016/j.electacta.2023.142959","http://dx.doi.org/10.1016/j.electacta.2023.142959")</f>
        <v>http://dx.doi.org/10.1016/j.electacta.2023.142959</v>
      </c>
      <c r="BG741" t="s">
        <v>74</v>
      </c>
      <c r="BH741" t="s">
        <v>74</v>
      </c>
      <c r="BI741">
        <v>11</v>
      </c>
      <c r="BJ741" t="s">
        <v>6896</v>
      </c>
      <c r="BK741" t="s">
        <v>100</v>
      </c>
      <c r="BL741" t="s">
        <v>6896</v>
      </c>
      <c r="BM741" t="s">
        <v>13399</v>
      </c>
      <c r="BN741" t="s">
        <v>74</v>
      </c>
      <c r="BO741" t="s">
        <v>74</v>
      </c>
      <c r="BP741" t="s">
        <v>74</v>
      </c>
      <c r="BQ741" t="s">
        <v>74</v>
      </c>
      <c r="BR741" t="s">
        <v>104</v>
      </c>
      <c r="BS741" t="s">
        <v>13400</v>
      </c>
      <c r="BT741" t="str">
        <f>HYPERLINK("https%3A%2F%2Fwww.webofscience.com%2Fwos%2Fwoscc%2Ffull-record%2FWOS:001059117000001","View Full Record in Web of Science")</f>
        <v>View Full Record in Web of Science</v>
      </c>
    </row>
    <row r="742" spans="1:72" x14ac:dyDescent="0.15">
      <c r="A742" t="s">
        <v>72</v>
      </c>
      <c r="B742" t="s">
        <v>13401</v>
      </c>
      <c r="C742" t="s">
        <v>74</v>
      </c>
      <c r="D742" t="s">
        <v>74</v>
      </c>
      <c r="E742" t="s">
        <v>74</v>
      </c>
      <c r="F742" t="s">
        <v>13402</v>
      </c>
      <c r="G742" t="s">
        <v>74</v>
      </c>
      <c r="H742" t="s">
        <v>74</v>
      </c>
      <c r="I742" t="s">
        <v>13403</v>
      </c>
      <c r="J742" t="s">
        <v>1524</v>
      </c>
      <c r="K742" t="s">
        <v>74</v>
      </c>
      <c r="L742" t="s">
        <v>74</v>
      </c>
      <c r="M742" t="s">
        <v>78</v>
      </c>
      <c r="N742" t="s">
        <v>79</v>
      </c>
      <c r="O742" t="s">
        <v>74</v>
      </c>
      <c r="P742" t="s">
        <v>74</v>
      </c>
      <c r="Q742" t="s">
        <v>74</v>
      </c>
      <c r="R742" t="s">
        <v>74</v>
      </c>
      <c r="S742" t="s">
        <v>74</v>
      </c>
      <c r="T742" t="s">
        <v>13404</v>
      </c>
      <c r="U742" t="s">
        <v>13405</v>
      </c>
      <c r="V742" t="s">
        <v>13406</v>
      </c>
      <c r="W742" t="s">
        <v>13407</v>
      </c>
      <c r="X742" t="s">
        <v>13408</v>
      </c>
      <c r="Y742" t="s">
        <v>13409</v>
      </c>
      <c r="Z742" t="s">
        <v>13410</v>
      </c>
      <c r="AA742" t="s">
        <v>74</v>
      </c>
      <c r="AB742" t="s">
        <v>74</v>
      </c>
      <c r="AC742" t="s">
        <v>13411</v>
      </c>
      <c r="AD742" t="s">
        <v>13412</v>
      </c>
      <c r="AE742" t="s">
        <v>13413</v>
      </c>
      <c r="AF742" t="s">
        <v>74</v>
      </c>
      <c r="AG742">
        <v>39</v>
      </c>
      <c r="AH742">
        <v>1</v>
      </c>
      <c r="AI742">
        <v>1</v>
      </c>
      <c r="AJ742">
        <v>25</v>
      </c>
      <c r="AK742">
        <v>25</v>
      </c>
      <c r="AL742" t="s">
        <v>90</v>
      </c>
      <c r="AM742" t="s">
        <v>91</v>
      </c>
      <c r="AN742" t="s">
        <v>92</v>
      </c>
      <c r="AO742" t="s">
        <v>1534</v>
      </c>
      <c r="AP742" t="s">
        <v>1535</v>
      </c>
      <c r="AQ742" t="s">
        <v>74</v>
      </c>
      <c r="AR742" t="s">
        <v>1536</v>
      </c>
      <c r="AS742" t="s">
        <v>1537</v>
      </c>
      <c r="AT742" t="s">
        <v>13380</v>
      </c>
      <c r="AU742">
        <v>2023</v>
      </c>
      <c r="AV742">
        <v>894</v>
      </c>
      <c r="AW742" t="s">
        <v>74</v>
      </c>
      <c r="AX742" t="s">
        <v>74</v>
      </c>
      <c r="AY742" t="s">
        <v>74</v>
      </c>
      <c r="AZ742" t="s">
        <v>74</v>
      </c>
      <c r="BA742" t="s">
        <v>74</v>
      </c>
      <c r="BB742" t="s">
        <v>74</v>
      </c>
      <c r="BC742" t="s">
        <v>74</v>
      </c>
      <c r="BD742">
        <v>165002</v>
      </c>
      <c r="BE742" t="s">
        <v>13414</v>
      </c>
      <c r="BF742" t="str">
        <f>HYPERLINK("http://dx.doi.org/10.1016/j.scitotenv.2023.165002","http://dx.doi.org/10.1016/j.scitotenv.2023.165002")</f>
        <v>http://dx.doi.org/10.1016/j.scitotenv.2023.165002</v>
      </c>
      <c r="BG742" t="s">
        <v>74</v>
      </c>
      <c r="BH742" t="s">
        <v>74</v>
      </c>
      <c r="BI742">
        <v>12</v>
      </c>
      <c r="BJ742" t="s">
        <v>1539</v>
      </c>
      <c r="BK742" t="s">
        <v>100</v>
      </c>
      <c r="BL742" t="s">
        <v>1540</v>
      </c>
      <c r="BM742" t="s">
        <v>13415</v>
      </c>
      <c r="BN742">
        <v>37348718</v>
      </c>
      <c r="BO742" t="s">
        <v>74</v>
      </c>
      <c r="BP742" t="s">
        <v>74</v>
      </c>
      <c r="BQ742" t="s">
        <v>74</v>
      </c>
      <c r="BR742" t="s">
        <v>104</v>
      </c>
      <c r="BS742" t="s">
        <v>13416</v>
      </c>
      <c r="BT742" t="str">
        <f>HYPERLINK("https%3A%2F%2Fwww.webofscience.com%2Fwos%2Fwoscc%2Ffull-record%2FWOS:001055165300001","View Full Record in Web of Science")</f>
        <v>View Full Record in Web of Science</v>
      </c>
    </row>
    <row r="743" spans="1:72" x14ac:dyDescent="0.15">
      <c r="A743" t="s">
        <v>72</v>
      </c>
      <c r="B743" t="s">
        <v>13417</v>
      </c>
      <c r="C743" t="s">
        <v>74</v>
      </c>
      <c r="D743" t="s">
        <v>74</v>
      </c>
      <c r="E743" t="s">
        <v>74</v>
      </c>
      <c r="F743" t="s">
        <v>13418</v>
      </c>
      <c r="G743" t="s">
        <v>74</v>
      </c>
      <c r="H743" t="s">
        <v>74</v>
      </c>
      <c r="I743" t="s">
        <v>13419</v>
      </c>
      <c r="J743" t="s">
        <v>6880</v>
      </c>
      <c r="K743" t="s">
        <v>74</v>
      </c>
      <c r="L743" t="s">
        <v>74</v>
      </c>
      <c r="M743" t="s">
        <v>78</v>
      </c>
      <c r="N743" t="s">
        <v>79</v>
      </c>
      <c r="O743" t="s">
        <v>74</v>
      </c>
      <c r="P743" t="s">
        <v>74</v>
      </c>
      <c r="Q743" t="s">
        <v>74</v>
      </c>
      <c r="R743" t="s">
        <v>74</v>
      </c>
      <c r="S743" t="s">
        <v>74</v>
      </c>
      <c r="T743" t="s">
        <v>13420</v>
      </c>
      <c r="U743" t="s">
        <v>13421</v>
      </c>
      <c r="V743" t="s">
        <v>13422</v>
      </c>
      <c r="W743" t="s">
        <v>13423</v>
      </c>
      <c r="X743" t="s">
        <v>13424</v>
      </c>
      <c r="Y743" t="s">
        <v>13425</v>
      </c>
      <c r="Z743" t="s">
        <v>13426</v>
      </c>
      <c r="AA743" t="s">
        <v>74</v>
      </c>
      <c r="AB743" t="s">
        <v>74</v>
      </c>
      <c r="AC743" t="s">
        <v>13427</v>
      </c>
      <c r="AD743" t="s">
        <v>13428</v>
      </c>
      <c r="AE743" t="s">
        <v>13429</v>
      </c>
      <c r="AF743" t="s">
        <v>74</v>
      </c>
      <c r="AG743">
        <v>96</v>
      </c>
      <c r="AH743">
        <v>0</v>
      </c>
      <c r="AI743">
        <v>0</v>
      </c>
      <c r="AJ743">
        <v>0</v>
      </c>
      <c r="AK743">
        <v>0</v>
      </c>
      <c r="AL743" t="s">
        <v>173</v>
      </c>
      <c r="AM743" t="s">
        <v>121</v>
      </c>
      <c r="AN743" t="s">
        <v>174</v>
      </c>
      <c r="AO743" t="s">
        <v>6891</v>
      </c>
      <c r="AP743" t="s">
        <v>6892</v>
      </c>
      <c r="AQ743" t="s">
        <v>74</v>
      </c>
      <c r="AR743" t="s">
        <v>6893</v>
      </c>
      <c r="AS743" t="s">
        <v>6894</v>
      </c>
      <c r="AT743" t="s">
        <v>13380</v>
      </c>
      <c r="AU743">
        <v>2023</v>
      </c>
      <c r="AV743">
        <v>465</v>
      </c>
      <c r="AW743" t="s">
        <v>74</v>
      </c>
      <c r="AX743" t="s">
        <v>74</v>
      </c>
      <c r="AY743" t="s">
        <v>74</v>
      </c>
      <c r="AZ743" t="s">
        <v>74</v>
      </c>
      <c r="BA743" t="s">
        <v>74</v>
      </c>
      <c r="BB743" t="s">
        <v>74</v>
      </c>
      <c r="BC743" t="s">
        <v>74</v>
      </c>
      <c r="BD743">
        <v>142954</v>
      </c>
      <c r="BE743" t="s">
        <v>13430</v>
      </c>
      <c r="BF743" t="str">
        <f>HYPERLINK("http://dx.doi.org/10.1016/j.electacta.2023.142954","http://dx.doi.org/10.1016/j.electacta.2023.142954")</f>
        <v>http://dx.doi.org/10.1016/j.electacta.2023.142954</v>
      </c>
      <c r="BG743" t="s">
        <v>74</v>
      </c>
      <c r="BH743" t="s">
        <v>74</v>
      </c>
      <c r="BI743">
        <v>12</v>
      </c>
      <c r="BJ743" t="s">
        <v>6896</v>
      </c>
      <c r="BK743" t="s">
        <v>100</v>
      </c>
      <c r="BL743" t="s">
        <v>6896</v>
      </c>
      <c r="BM743" t="s">
        <v>13431</v>
      </c>
      <c r="BN743" t="s">
        <v>74</v>
      </c>
      <c r="BO743" t="s">
        <v>74</v>
      </c>
      <c r="BP743" t="s">
        <v>74</v>
      </c>
      <c r="BQ743" t="s">
        <v>74</v>
      </c>
      <c r="BR743" t="s">
        <v>104</v>
      </c>
      <c r="BS743" t="s">
        <v>13432</v>
      </c>
      <c r="BT743" t="str">
        <f>HYPERLINK("https%3A%2F%2Fwww.webofscience.com%2Fwos%2Fwoscc%2Ffull-record%2FWOS:001061698300001","View Full Record in Web of Science")</f>
        <v>View Full Record in Web of Science</v>
      </c>
    </row>
    <row r="744" spans="1:72" x14ac:dyDescent="0.15">
      <c r="A744" t="s">
        <v>72</v>
      </c>
      <c r="B744" t="s">
        <v>13433</v>
      </c>
      <c r="C744" t="s">
        <v>74</v>
      </c>
      <c r="D744" t="s">
        <v>74</v>
      </c>
      <c r="E744" t="s">
        <v>74</v>
      </c>
      <c r="F744" t="s">
        <v>13434</v>
      </c>
      <c r="G744" t="s">
        <v>74</v>
      </c>
      <c r="H744" t="s">
        <v>74</v>
      </c>
      <c r="I744" t="s">
        <v>13435</v>
      </c>
      <c r="J744" t="s">
        <v>11716</v>
      </c>
      <c r="K744" t="s">
        <v>74</v>
      </c>
      <c r="L744" t="s">
        <v>74</v>
      </c>
      <c r="M744" t="s">
        <v>78</v>
      </c>
      <c r="N744" t="s">
        <v>79</v>
      </c>
      <c r="O744" t="s">
        <v>74</v>
      </c>
      <c r="P744" t="s">
        <v>74</v>
      </c>
      <c r="Q744" t="s">
        <v>74</v>
      </c>
      <c r="R744" t="s">
        <v>74</v>
      </c>
      <c r="S744" t="s">
        <v>74</v>
      </c>
      <c r="T744" t="s">
        <v>13436</v>
      </c>
      <c r="U744" t="s">
        <v>13437</v>
      </c>
      <c r="V744" t="s">
        <v>13438</v>
      </c>
      <c r="W744" t="s">
        <v>13439</v>
      </c>
      <c r="X744" t="s">
        <v>13440</v>
      </c>
      <c r="Y744" t="s">
        <v>13441</v>
      </c>
      <c r="Z744" t="s">
        <v>13442</v>
      </c>
      <c r="AA744" t="s">
        <v>74</v>
      </c>
      <c r="AB744" t="s">
        <v>74</v>
      </c>
      <c r="AC744" t="s">
        <v>13443</v>
      </c>
      <c r="AD744" t="s">
        <v>13444</v>
      </c>
      <c r="AE744" t="s">
        <v>13445</v>
      </c>
      <c r="AF744" t="s">
        <v>74</v>
      </c>
      <c r="AG744">
        <v>39</v>
      </c>
      <c r="AH744">
        <v>0</v>
      </c>
      <c r="AI744">
        <v>0</v>
      </c>
      <c r="AJ744">
        <v>1</v>
      </c>
      <c r="AK744">
        <v>1</v>
      </c>
      <c r="AL744" t="s">
        <v>90</v>
      </c>
      <c r="AM744" t="s">
        <v>91</v>
      </c>
      <c r="AN744" t="s">
        <v>92</v>
      </c>
      <c r="AO744" t="s">
        <v>11727</v>
      </c>
      <c r="AP744" t="s">
        <v>11728</v>
      </c>
      <c r="AQ744" t="s">
        <v>74</v>
      </c>
      <c r="AR744" t="s">
        <v>11729</v>
      </c>
      <c r="AS744" t="s">
        <v>11730</v>
      </c>
      <c r="AT744" t="s">
        <v>13446</v>
      </c>
      <c r="AU744">
        <v>2023</v>
      </c>
      <c r="AV744">
        <v>277</v>
      </c>
      <c r="AW744" t="s">
        <v>74</v>
      </c>
      <c r="AX744" t="s">
        <v>74</v>
      </c>
      <c r="AY744" t="s">
        <v>74</v>
      </c>
      <c r="AZ744" t="s">
        <v>74</v>
      </c>
      <c r="BA744" t="s">
        <v>74</v>
      </c>
      <c r="BB744" t="s">
        <v>74</v>
      </c>
      <c r="BC744" t="s">
        <v>74</v>
      </c>
      <c r="BD744">
        <v>110788</v>
      </c>
      <c r="BE744" t="s">
        <v>13447</v>
      </c>
      <c r="BF744" t="str">
        <f>HYPERLINK("http://dx.doi.org/10.1016/j.knosys.2023.110788","http://dx.doi.org/10.1016/j.knosys.2023.110788")</f>
        <v>http://dx.doi.org/10.1016/j.knosys.2023.110788</v>
      </c>
      <c r="BG744" t="s">
        <v>74</v>
      </c>
      <c r="BH744" t="s">
        <v>74</v>
      </c>
      <c r="BI744">
        <v>11</v>
      </c>
      <c r="BJ744" t="s">
        <v>562</v>
      </c>
      <c r="BK744" t="s">
        <v>100</v>
      </c>
      <c r="BL744" t="s">
        <v>563</v>
      </c>
      <c r="BM744" t="s">
        <v>13448</v>
      </c>
      <c r="BN744" t="s">
        <v>74</v>
      </c>
      <c r="BO744" t="s">
        <v>74</v>
      </c>
      <c r="BP744" t="s">
        <v>74</v>
      </c>
      <c r="BQ744" t="s">
        <v>74</v>
      </c>
      <c r="BR744" t="s">
        <v>104</v>
      </c>
      <c r="BS744" t="s">
        <v>13449</v>
      </c>
      <c r="BT744" t="str">
        <f>HYPERLINK("https%3A%2F%2Fwww.webofscience.com%2Fwos%2Fwoscc%2Ffull-record%2FWOS:001057993300001","View Full Record in Web of Science")</f>
        <v>View Full Record in Web of Science</v>
      </c>
    </row>
    <row r="745" spans="1:72" x14ac:dyDescent="0.15">
      <c r="A745" t="s">
        <v>72</v>
      </c>
      <c r="B745" t="s">
        <v>13450</v>
      </c>
      <c r="C745" t="s">
        <v>74</v>
      </c>
      <c r="D745" t="s">
        <v>74</v>
      </c>
      <c r="E745" t="s">
        <v>74</v>
      </c>
      <c r="F745" t="s">
        <v>13451</v>
      </c>
      <c r="G745" t="s">
        <v>74</v>
      </c>
      <c r="H745" t="s">
        <v>74</v>
      </c>
      <c r="I745" t="s">
        <v>13452</v>
      </c>
      <c r="J745" t="s">
        <v>12233</v>
      </c>
      <c r="K745" t="s">
        <v>74</v>
      </c>
      <c r="L745" t="s">
        <v>74</v>
      </c>
      <c r="M745" t="s">
        <v>78</v>
      </c>
      <c r="N745" t="s">
        <v>79</v>
      </c>
      <c r="O745" t="s">
        <v>74</v>
      </c>
      <c r="P745" t="s">
        <v>74</v>
      </c>
      <c r="Q745" t="s">
        <v>74</v>
      </c>
      <c r="R745" t="s">
        <v>74</v>
      </c>
      <c r="S745" t="s">
        <v>74</v>
      </c>
      <c r="T745" t="s">
        <v>13453</v>
      </c>
      <c r="U745" t="s">
        <v>13454</v>
      </c>
      <c r="V745" t="s">
        <v>13455</v>
      </c>
      <c r="W745" t="s">
        <v>13456</v>
      </c>
      <c r="X745" t="s">
        <v>13457</v>
      </c>
      <c r="Y745" t="s">
        <v>13458</v>
      </c>
      <c r="Z745" t="s">
        <v>13459</v>
      </c>
      <c r="AA745" t="s">
        <v>74</v>
      </c>
      <c r="AB745" t="s">
        <v>74</v>
      </c>
      <c r="AC745" t="s">
        <v>74</v>
      </c>
      <c r="AD745" t="s">
        <v>74</v>
      </c>
      <c r="AE745" t="s">
        <v>74</v>
      </c>
      <c r="AF745" t="s">
        <v>74</v>
      </c>
      <c r="AG745">
        <v>78</v>
      </c>
      <c r="AH745">
        <v>0</v>
      </c>
      <c r="AI745">
        <v>0</v>
      </c>
      <c r="AJ745">
        <v>6</v>
      </c>
      <c r="AK745">
        <v>6</v>
      </c>
      <c r="AL745" t="s">
        <v>475</v>
      </c>
      <c r="AM745" t="s">
        <v>476</v>
      </c>
      <c r="AN745" t="s">
        <v>477</v>
      </c>
      <c r="AO745" t="s">
        <v>12244</v>
      </c>
      <c r="AP745" t="s">
        <v>12245</v>
      </c>
      <c r="AQ745" t="s">
        <v>74</v>
      </c>
      <c r="AR745" t="s">
        <v>12246</v>
      </c>
      <c r="AS745" t="s">
        <v>12247</v>
      </c>
      <c r="AT745" t="s">
        <v>13460</v>
      </c>
      <c r="AU745">
        <v>2023</v>
      </c>
      <c r="AV745">
        <v>676</v>
      </c>
      <c r="AW745" t="s">
        <v>74</v>
      </c>
      <c r="AX745" t="s">
        <v>74</v>
      </c>
      <c r="AY745" t="s">
        <v>74</v>
      </c>
      <c r="AZ745" t="s">
        <v>74</v>
      </c>
      <c r="BA745" t="s">
        <v>74</v>
      </c>
      <c r="BB745">
        <v>171</v>
      </c>
      <c r="BC745">
        <v>181</v>
      </c>
      <c r="BD745" t="s">
        <v>74</v>
      </c>
      <c r="BE745" t="s">
        <v>13461</v>
      </c>
      <c r="BF745" t="str">
        <f>HYPERLINK("http://dx.doi.org/10.1016/j.bbrc.2023.07.055","http://dx.doi.org/10.1016/j.bbrc.2023.07.055")</f>
        <v>http://dx.doi.org/10.1016/j.bbrc.2023.07.055</v>
      </c>
      <c r="BG745" t="s">
        <v>74</v>
      </c>
      <c r="BH745" t="s">
        <v>74</v>
      </c>
      <c r="BI745">
        <v>11</v>
      </c>
      <c r="BJ745" t="s">
        <v>3342</v>
      </c>
      <c r="BK745" t="s">
        <v>100</v>
      </c>
      <c r="BL745" t="s">
        <v>3342</v>
      </c>
      <c r="BM745" t="s">
        <v>13462</v>
      </c>
      <c r="BN745">
        <v>37517220</v>
      </c>
      <c r="BO745" t="s">
        <v>74</v>
      </c>
      <c r="BP745" t="s">
        <v>74</v>
      </c>
      <c r="BQ745" t="s">
        <v>74</v>
      </c>
      <c r="BR745" t="s">
        <v>104</v>
      </c>
      <c r="BS745" t="s">
        <v>13463</v>
      </c>
      <c r="BT745" t="str">
        <f>HYPERLINK("https%3A%2F%2Fwww.webofscience.com%2Fwos%2Fwoscc%2Ffull-record%2FWOS:001046992200001","View Full Record in Web of Science")</f>
        <v>View Full Record in Web of Science</v>
      </c>
    </row>
    <row r="746" spans="1:72" x14ac:dyDescent="0.15">
      <c r="A746" t="s">
        <v>72</v>
      </c>
      <c r="B746" t="s">
        <v>13464</v>
      </c>
      <c r="C746" t="s">
        <v>74</v>
      </c>
      <c r="D746" t="s">
        <v>74</v>
      </c>
      <c r="E746" t="s">
        <v>74</v>
      </c>
      <c r="F746" t="s">
        <v>13465</v>
      </c>
      <c r="G746" t="s">
        <v>74</v>
      </c>
      <c r="H746" t="s">
        <v>74</v>
      </c>
      <c r="I746" t="s">
        <v>13466</v>
      </c>
      <c r="J746" t="s">
        <v>12786</v>
      </c>
      <c r="K746" t="s">
        <v>74</v>
      </c>
      <c r="L746" t="s">
        <v>74</v>
      </c>
      <c r="M746" t="s">
        <v>78</v>
      </c>
      <c r="N746" t="s">
        <v>79</v>
      </c>
      <c r="O746" t="s">
        <v>74</v>
      </c>
      <c r="P746" t="s">
        <v>74</v>
      </c>
      <c r="Q746" t="s">
        <v>74</v>
      </c>
      <c r="R746" t="s">
        <v>74</v>
      </c>
      <c r="S746" t="s">
        <v>74</v>
      </c>
      <c r="T746" t="s">
        <v>13467</v>
      </c>
      <c r="U746" t="s">
        <v>13468</v>
      </c>
      <c r="V746" t="s">
        <v>13469</v>
      </c>
      <c r="W746" t="s">
        <v>13470</v>
      </c>
      <c r="X746" t="s">
        <v>13471</v>
      </c>
      <c r="Y746" t="s">
        <v>13472</v>
      </c>
      <c r="Z746" t="s">
        <v>13473</v>
      </c>
      <c r="AA746" t="s">
        <v>74</v>
      </c>
      <c r="AB746" t="s">
        <v>13474</v>
      </c>
      <c r="AC746" t="s">
        <v>13475</v>
      </c>
      <c r="AD746" t="s">
        <v>13476</v>
      </c>
      <c r="AE746" t="s">
        <v>13477</v>
      </c>
      <c r="AF746" t="s">
        <v>74</v>
      </c>
      <c r="AG746">
        <v>50</v>
      </c>
      <c r="AH746">
        <v>0</v>
      </c>
      <c r="AI746">
        <v>0</v>
      </c>
      <c r="AJ746">
        <v>16</v>
      </c>
      <c r="AK746">
        <v>16</v>
      </c>
      <c r="AL746" t="s">
        <v>90</v>
      </c>
      <c r="AM746" t="s">
        <v>91</v>
      </c>
      <c r="AN746" t="s">
        <v>92</v>
      </c>
      <c r="AO746" t="s">
        <v>12799</v>
      </c>
      <c r="AP746" t="s">
        <v>12800</v>
      </c>
      <c r="AQ746" t="s">
        <v>74</v>
      </c>
      <c r="AR746" t="s">
        <v>12801</v>
      </c>
      <c r="AS746" t="s">
        <v>12802</v>
      </c>
      <c r="AT746" t="s">
        <v>13478</v>
      </c>
      <c r="AU746">
        <v>2023</v>
      </c>
      <c r="AV746">
        <v>459</v>
      </c>
      <c r="AW746" t="s">
        <v>74</v>
      </c>
      <c r="AX746" t="s">
        <v>74</v>
      </c>
      <c r="AY746" t="s">
        <v>74</v>
      </c>
      <c r="AZ746" t="s">
        <v>74</v>
      </c>
      <c r="BA746" t="s">
        <v>74</v>
      </c>
      <c r="BB746" t="s">
        <v>74</v>
      </c>
      <c r="BC746" t="s">
        <v>74</v>
      </c>
      <c r="BD746">
        <v>132105</v>
      </c>
      <c r="BE746" t="s">
        <v>13479</v>
      </c>
      <c r="BF746" t="str">
        <f>HYPERLINK("http://dx.doi.org/10.1016/j.jhazmat.2023.132105","http://dx.doi.org/10.1016/j.jhazmat.2023.132105")</f>
        <v>http://dx.doi.org/10.1016/j.jhazmat.2023.132105</v>
      </c>
      <c r="BG746" t="s">
        <v>74</v>
      </c>
      <c r="BH746" t="s">
        <v>74</v>
      </c>
      <c r="BI746">
        <v>12</v>
      </c>
      <c r="BJ746" t="s">
        <v>12804</v>
      </c>
      <c r="BK746" t="s">
        <v>100</v>
      </c>
      <c r="BL746" t="s">
        <v>12805</v>
      </c>
      <c r="BM746" t="s">
        <v>13480</v>
      </c>
      <c r="BN746">
        <v>37494799</v>
      </c>
      <c r="BO746" t="s">
        <v>74</v>
      </c>
      <c r="BP746" t="s">
        <v>74</v>
      </c>
      <c r="BQ746" t="s">
        <v>74</v>
      </c>
      <c r="BR746" t="s">
        <v>104</v>
      </c>
      <c r="BS746" t="s">
        <v>13481</v>
      </c>
      <c r="BT746" t="str">
        <f>HYPERLINK("https%3A%2F%2Fwww.webofscience.com%2Fwos%2Fwoscc%2Ffull-record%2FWOS:001048977700001","View Full Record in Web of Science")</f>
        <v>View Full Record in Web of Science</v>
      </c>
    </row>
    <row r="747" spans="1:72" x14ac:dyDescent="0.15">
      <c r="A747" t="s">
        <v>72</v>
      </c>
      <c r="B747" t="s">
        <v>13482</v>
      </c>
      <c r="C747" t="s">
        <v>74</v>
      </c>
      <c r="D747" t="s">
        <v>74</v>
      </c>
      <c r="E747" t="s">
        <v>74</v>
      </c>
      <c r="F747" t="s">
        <v>13483</v>
      </c>
      <c r="G747" t="s">
        <v>74</v>
      </c>
      <c r="H747" t="s">
        <v>74</v>
      </c>
      <c r="I747" t="s">
        <v>13484</v>
      </c>
      <c r="J747" t="s">
        <v>5192</v>
      </c>
      <c r="K747" t="s">
        <v>74</v>
      </c>
      <c r="L747" t="s">
        <v>74</v>
      </c>
      <c r="M747" t="s">
        <v>78</v>
      </c>
      <c r="N747" t="s">
        <v>79</v>
      </c>
      <c r="O747" t="s">
        <v>74</v>
      </c>
      <c r="P747" t="s">
        <v>74</v>
      </c>
      <c r="Q747" t="s">
        <v>74</v>
      </c>
      <c r="R747" t="s">
        <v>74</v>
      </c>
      <c r="S747" t="s">
        <v>74</v>
      </c>
      <c r="T747" t="s">
        <v>13485</v>
      </c>
      <c r="U747" t="s">
        <v>13486</v>
      </c>
      <c r="V747" t="s">
        <v>13487</v>
      </c>
      <c r="W747" t="s">
        <v>13488</v>
      </c>
      <c r="X747" t="s">
        <v>13489</v>
      </c>
      <c r="Y747" t="s">
        <v>13490</v>
      </c>
      <c r="Z747" t="s">
        <v>13491</v>
      </c>
      <c r="AA747" t="s">
        <v>74</v>
      </c>
      <c r="AB747" t="s">
        <v>74</v>
      </c>
      <c r="AC747" t="s">
        <v>13492</v>
      </c>
      <c r="AD747" t="s">
        <v>13493</v>
      </c>
      <c r="AE747" t="s">
        <v>13494</v>
      </c>
      <c r="AF747" t="s">
        <v>74</v>
      </c>
      <c r="AG747">
        <v>80</v>
      </c>
      <c r="AH747">
        <v>0</v>
      </c>
      <c r="AI747">
        <v>0</v>
      </c>
      <c r="AJ747">
        <v>2</v>
      </c>
      <c r="AK747">
        <v>2</v>
      </c>
      <c r="AL747" t="s">
        <v>90</v>
      </c>
      <c r="AM747" t="s">
        <v>91</v>
      </c>
      <c r="AN747" t="s">
        <v>92</v>
      </c>
      <c r="AO747" t="s">
        <v>5203</v>
      </c>
      <c r="AP747" t="s">
        <v>5204</v>
      </c>
      <c r="AQ747" t="s">
        <v>74</v>
      </c>
      <c r="AR747" t="s">
        <v>5205</v>
      </c>
      <c r="AS747" t="s">
        <v>5206</v>
      </c>
      <c r="AT747" t="s">
        <v>13478</v>
      </c>
      <c r="AU747">
        <v>2023</v>
      </c>
      <c r="AV747">
        <v>674</v>
      </c>
      <c r="AW747" t="s">
        <v>74</v>
      </c>
      <c r="AX747" t="s">
        <v>74</v>
      </c>
      <c r="AY747" t="s">
        <v>74</v>
      </c>
      <c r="AZ747" t="s">
        <v>74</v>
      </c>
      <c r="BA747" t="s">
        <v>74</v>
      </c>
      <c r="BB747" t="s">
        <v>74</v>
      </c>
      <c r="BC747" t="s">
        <v>74</v>
      </c>
      <c r="BD747">
        <v>131840</v>
      </c>
      <c r="BE747" t="s">
        <v>13495</v>
      </c>
      <c r="BF747" t="str">
        <f>HYPERLINK("http://dx.doi.org/10.1016/j.colsurfa.2023.131840","http://dx.doi.org/10.1016/j.colsurfa.2023.131840")</f>
        <v>http://dx.doi.org/10.1016/j.colsurfa.2023.131840</v>
      </c>
      <c r="BG747" t="s">
        <v>74</v>
      </c>
      <c r="BH747" t="s">
        <v>74</v>
      </c>
      <c r="BI747">
        <v>10</v>
      </c>
      <c r="BJ747" t="s">
        <v>394</v>
      </c>
      <c r="BK747" t="s">
        <v>100</v>
      </c>
      <c r="BL747" t="s">
        <v>395</v>
      </c>
      <c r="BM747" t="s">
        <v>13496</v>
      </c>
      <c r="BN747" t="s">
        <v>74</v>
      </c>
      <c r="BO747" t="s">
        <v>74</v>
      </c>
      <c r="BP747" t="s">
        <v>74</v>
      </c>
      <c r="BQ747" t="s">
        <v>74</v>
      </c>
      <c r="BR747" t="s">
        <v>104</v>
      </c>
      <c r="BS747" t="s">
        <v>13497</v>
      </c>
      <c r="BT747" t="str">
        <f>HYPERLINK("https%3A%2F%2Fwww.webofscience.com%2Fwos%2Fwoscc%2Ffull-record%2FWOS:001054859200001","View Full Record in Web of Science")</f>
        <v>View Full Record in Web of Science</v>
      </c>
    </row>
    <row r="748" spans="1:72" x14ac:dyDescent="0.15">
      <c r="A748" t="s">
        <v>72</v>
      </c>
      <c r="B748" t="s">
        <v>13498</v>
      </c>
      <c r="C748" t="s">
        <v>74</v>
      </c>
      <c r="D748" t="s">
        <v>74</v>
      </c>
      <c r="E748" t="s">
        <v>74</v>
      </c>
      <c r="F748" t="s">
        <v>13499</v>
      </c>
      <c r="G748" t="s">
        <v>74</v>
      </c>
      <c r="H748" t="s">
        <v>74</v>
      </c>
      <c r="I748" t="s">
        <v>13500</v>
      </c>
      <c r="J748" t="s">
        <v>6567</v>
      </c>
      <c r="K748" t="s">
        <v>74</v>
      </c>
      <c r="L748" t="s">
        <v>74</v>
      </c>
      <c r="M748" t="s">
        <v>78</v>
      </c>
      <c r="N748" t="s">
        <v>79</v>
      </c>
      <c r="O748" t="s">
        <v>74</v>
      </c>
      <c r="P748" t="s">
        <v>74</v>
      </c>
      <c r="Q748" t="s">
        <v>74</v>
      </c>
      <c r="R748" t="s">
        <v>74</v>
      </c>
      <c r="S748" t="s">
        <v>74</v>
      </c>
      <c r="T748" t="s">
        <v>13501</v>
      </c>
      <c r="U748" t="s">
        <v>13502</v>
      </c>
      <c r="V748" t="s">
        <v>13503</v>
      </c>
      <c r="W748" t="s">
        <v>13504</v>
      </c>
      <c r="X748" t="s">
        <v>13505</v>
      </c>
      <c r="Y748" t="s">
        <v>13506</v>
      </c>
      <c r="Z748" t="s">
        <v>13507</v>
      </c>
      <c r="AA748" t="s">
        <v>74</v>
      </c>
      <c r="AB748" t="s">
        <v>74</v>
      </c>
      <c r="AC748" t="s">
        <v>13508</v>
      </c>
      <c r="AD748" t="s">
        <v>5661</v>
      </c>
      <c r="AE748" t="s">
        <v>13509</v>
      </c>
      <c r="AF748" t="s">
        <v>74</v>
      </c>
      <c r="AG748">
        <v>34</v>
      </c>
      <c r="AH748">
        <v>0</v>
      </c>
      <c r="AI748">
        <v>0</v>
      </c>
      <c r="AJ748">
        <v>4</v>
      </c>
      <c r="AK748">
        <v>4</v>
      </c>
      <c r="AL748" t="s">
        <v>120</v>
      </c>
      <c r="AM748" t="s">
        <v>121</v>
      </c>
      <c r="AN748" t="s">
        <v>122</v>
      </c>
      <c r="AO748" t="s">
        <v>6578</v>
      </c>
      <c r="AP748" t="s">
        <v>6579</v>
      </c>
      <c r="AQ748" t="s">
        <v>74</v>
      </c>
      <c r="AR748" t="s">
        <v>6580</v>
      </c>
      <c r="AS748" t="s">
        <v>6581</v>
      </c>
      <c r="AT748" t="s">
        <v>13478</v>
      </c>
      <c r="AU748">
        <v>2023</v>
      </c>
      <c r="AV748">
        <v>399</v>
      </c>
      <c r="AW748" t="s">
        <v>74</v>
      </c>
      <c r="AX748" t="s">
        <v>74</v>
      </c>
      <c r="AY748" t="s">
        <v>74</v>
      </c>
      <c r="AZ748" t="s">
        <v>74</v>
      </c>
      <c r="BA748" t="s">
        <v>74</v>
      </c>
      <c r="BB748" t="s">
        <v>74</v>
      </c>
      <c r="BC748" t="s">
        <v>74</v>
      </c>
      <c r="BD748">
        <v>132586</v>
      </c>
      <c r="BE748" t="s">
        <v>13510</v>
      </c>
      <c r="BF748" t="str">
        <f>HYPERLINK("http://dx.doi.org/10.1016/j.conbuildmat.2023.132586","http://dx.doi.org/10.1016/j.conbuildmat.2023.132586")</f>
        <v>http://dx.doi.org/10.1016/j.conbuildmat.2023.132586</v>
      </c>
      <c r="BG748" t="s">
        <v>74</v>
      </c>
      <c r="BH748" t="s">
        <v>74</v>
      </c>
      <c r="BI748">
        <v>11</v>
      </c>
      <c r="BJ748" t="s">
        <v>2648</v>
      </c>
      <c r="BK748" t="s">
        <v>100</v>
      </c>
      <c r="BL748" t="s">
        <v>2649</v>
      </c>
      <c r="BM748" t="s">
        <v>13511</v>
      </c>
      <c r="BN748" t="s">
        <v>74</v>
      </c>
      <c r="BO748" t="s">
        <v>74</v>
      </c>
      <c r="BP748" t="s">
        <v>74</v>
      </c>
      <c r="BQ748" t="s">
        <v>74</v>
      </c>
      <c r="BR748" t="s">
        <v>104</v>
      </c>
      <c r="BS748" t="s">
        <v>13512</v>
      </c>
      <c r="BT748" t="str">
        <f>HYPERLINK("https%3A%2F%2Fwww.webofscience.com%2Fwos%2Fwoscc%2Ffull-record%2FWOS:001049011600001","View Full Record in Web of Science")</f>
        <v>View Full Record in Web of Science</v>
      </c>
    </row>
    <row r="749" spans="1:72" x14ac:dyDescent="0.15">
      <c r="A749" t="s">
        <v>72</v>
      </c>
      <c r="B749" t="s">
        <v>13513</v>
      </c>
      <c r="C749" t="s">
        <v>74</v>
      </c>
      <c r="D749" t="s">
        <v>74</v>
      </c>
      <c r="E749" t="s">
        <v>74</v>
      </c>
      <c r="F749" t="s">
        <v>13514</v>
      </c>
      <c r="G749" t="s">
        <v>74</v>
      </c>
      <c r="H749" t="s">
        <v>74</v>
      </c>
      <c r="I749" t="s">
        <v>13515</v>
      </c>
      <c r="J749" t="s">
        <v>5192</v>
      </c>
      <c r="K749" t="s">
        <v>74</v>
      </c>
      <c r="L749" t="s">
        <v>74</v>
      </c>
      <c r="M749" t="s">
        <v>78</v>
      </c>
      <c r="N749" t="s">
        <v>79</v>
      </c>
      <c r="O749" t="s">
        <v>74</v>
      </c>
      <c r="P749" t="s">
        <v>74</v>
      </c>
      <c r="Q749" t="s">
        <v>74</v>
      </c>
      <c r="R749" t="s">
        <v>74</v>
      </c>
      <c r="S749" t="s">
        <v>74</v>
      </c>
      <c r="T749" t="s">
        <v>13516</v>
      </c>
      <c r="U749" t="s">
        <v>13517</v>
      </c>
      <c r="V749" t="s">
        <v>13518</v>
      </c>
      <c r="W749" t="s">
        <v>13519</v>
      </c>
      <c r="X749" t="s">
        <v>13520</v>
      </c>
      <c r="Y749" t="s">
        <v>13521</v>
      </c>
      <c r="Z749" t="s">
        <v>13522</v>
      </c>
      <c r="AA749" t="s">
        <v>74</v>
      </c>
      <c r="AB749" t="s">
        <v>74</v>
      </c>
      <c r="AC749" t="s">
        <v>13523</v>
      </c>
      <c r="AD749" t="s">
        <v>13524</v>
      </c>
      <c r="AE749" t="s">
        <v>13525</v>
      </c>
      <c r="AF749" t="s">
        <v>74</v>
      </c>
      <c r="AG749">
        <v>37</v>
      </c>
      <c r="AH749">
        <v>0</v>
      </c>
      <c r="AI749">
        <v>0</v>
      </c>
      <c r="AJ749">
        <v>6</v>
      </c>
      <c r="AK749">
        <v>6</v>
      </c>
      <c r="AL749" t="s">
        <v>90</v>
      </c>
      <c r="AM749" t="s">
        <v>91</v>
      </c>
      <c r="AN749" t="s">
        <v>92</v>
      </c>
      <c r="AO749" t="s">
        <v>5203</v>
      </c>
      <c r="AP749" t="s">
        <v>5204</v>
      </c>
      <c r="AQ749" t="s">
        <v>74</v>
      </c>
      <c r="AR749" t="s">
        <v>5205</v>
      </c>
      <c r="AS749" t="s">
        <v>5206</v>
      </c>
      <c r="AT749" t="s">
        <v>13478</v>
      </c>
      <c r="AU749">
        <v>2023</v>
      </c>
      <c r="AV749">
        <v>674</v>
      </c>
      <c r="AW749" t="s">
        <v>74</v>
      </c>
      <c r="AX749" t="s">
        <v>74</v>
      </c>
      <c r="AY749" t="s">
        <v>74</v>
      </c>
      <c r="AZ749" t="s">
        <v>74</v>
      </c>
      <c r="BA749" t="s">
        <v>74</v>
      </c>
      <c r="BB749" t="s">
        <v>74</v>
      </c>
      <c r="BC749" t="s">
        <v>74</v>
      </c>
      <c r="BD749">
        <v>131839</v>
      </c>
      <c r="BE749" t="s">
        <v>13526</v>
      </c>
      <c r="BF749" t="str">
        <f>HYPERLINK("http://dx.doi.org/10.1016/j.colsurfa.2023.131839","http://dx.doi.org/10.1016/j.colsurfa.2023.131839")</f>
        <v>http://dx.doi.org/10.1016/j.colsurfa.2023.131839</v>
      </c>
      <c r="BG749" t="s">
        <v>74</v>
      </c>
      <c r="BH749" t="s">
        <v>74</v>
      </c>
      <c r="BI749">
        <v>8</v>
      </c>
      <c r="BJ749" t="s">
        <v>394</v>
      </c>
      <c r="BK749" t="s">
        <v>100</v>
      </c>
      <c r="BL749" t="s">
        <v>395</v>
      </c>
      <c r="BM749" t="s">
        <v>13527</v>
      </c>
      <c r="BN749" t="s">
        <v>74</v>
      </c>
      <c r="BO749" t="s">
        <v>74</v>
      </c>
      <c r="BP749" t="s">
        <v>74</v>
      </c>
      <c r="BQ749" t="s">
        <v>74</v>
      </c>
      <c r="BR749" t="s">
        <v>104</v>
      </c>
      <c r="BS749" t="s">
        <v>13528</v>
      </c>
      <c r="BT749" t="str">
        <f>HYPERLINK("https%3A%2F%2Fwww.webofscience.com%2Fwos%2Fwoscc%2Ffull-record%2FWOS:001054876300001","View Full Record in Web of Science")</f>
        <v>View Full Record in Web of Science</v>
      </c>
    </row>
    <row r="750" spans="1:72" x14ac:dyDescent="0.15">
      <c r="A750" t="s">
        <v>72</v>
      </c>
      <c r="B750" t="s">
        <v>13529</v>
      </c>
      <c r="C750" t="s">
        <v>74</v>
      </c>
      <c r="D750" t="s">
        <v>74</v>
      </c>
      <c r="E750" t="s">
        <v>74</v>
      </c>
      <c r="F750" t="s">
        <v>13530</v>
      </c>
      <c r="G750" t="s">
        <v>74</v>
      </c>
      <c r="H750" t="s">
        <v>74</v>
      </c>
      <c r="I750" t="s">
        <v>13531</v>
      </c>
      <c r="J750" t="s">
        <v>441</v>
      </c>
      <c r="K750" t="s">
        <v>74</v>
      </c>
      <c r="L750" t="s">
        <v>74</v>
      </c>
      <c r="M750" t="s">
        <v>78</v>
      </c>
      <c r="N750" t="s">
        <v>79</v>
      </c>
      <c r="O750" t="s">
        <v>74</v>
      </c>
      <c r="P750" t="s">
        <v>74</v>
      </c>
      <c r="Q750" t="s">
        <v>74</v>
      </c>
      <c r="R750" t="s">
        <v>74</v>
      </c>
      <c r="S750" t="s">
        <v>74</v>
      </c>
      <c r="T750" t="s">
        <v>13532</v>
      </c>
      <c r="U750" t="s">
        <v>13533</v>
      </c>
      <c r="V750" t="s">
        <v>13534</v>
      </c>
      <c r="W750" t="s">
        <v>13535</v>
      </c>
      <c r="X750" t="s">
        <v>13536</v>
      </c>
      <c r="Y750" t="s">
        <v>13537</v>
      </c>
      <c r="Z750" t="s">
        <v>13538</v>
      </c>
      <c r="AA750" t="s">
        <v>74</v>
      </c>
      <c r="AB750" t="s">
        <v>74</v>
      </c>
      <c r="AC750" t="s">
        <v>13539</v>
      </c>
      <c r="AD750" t="s">
        <v>13540</v>
      </c>
      <c r="AE750" t="s">
        <v>13541</v>
      </c>
      <c r="AF750" t="s">
        <v>74</v>
      </c>
      <c r="AG750">
        <v>82</v>
      </c>
      <c r="AH750">
        <v>1</v>
      </c>
      <c r="AI750">
        <v>1</v>
      </c>
      <c r="AJ750">
        <v>11</v>
      </c>
      <c r="AK750">
        <v>11</v>
      </c>
      <c r="AL750" t="s">
        <v>90</v>
      </c>
      <c r="AM750" t="s">
        <v>91</v>
      </c>
      <c r="AN750" t="s">
        <v>92</v>
      </c>
      <c r="AO750" t="s">
        <v>452</v>
      </c>
      <c r="AP750" t="s">
        <v>453</v>
      </c>
      <c r="AQ750" t="s">
        <v>74</v>
      </c>
      <c r="AR750" t="s">
        <v>454</v>
      </c>
      <c r="AS750" t="s">
        <v>455</v>
      </c>
      <c r="AT750" t="s">
        <v>13478</v>
      </c>
      <c r="AU750">
        <v>2023</v>
      </c>
      <c r="AV750">
        <v>334</v>
      </c>
      <c r="AW750" t="s">
        <v>74</v>
      </c>
      <c r="AX750" t="s">
        <v>74</v>
      </c>
      <c r="AY750" t="s">
        <v>74</v>
      </c>
      <c r="AZ750" t="s">
        <v>74</v>
      </c>
      <c r="BA750" t="s">
        <v>74</v>
      </c>
      <c r="BB750" t="s">
        <v>74</v>
      </c>
      <c r="BC750" t="s">
        <v>74</v>
      </c>
      <c r="BD750">
        <v>122806</v>
      </c>
      <c r="BE750" t="s">
        <v>13542</v>
      </c>
      <c r="BF750" t="str">
        <f>HYPERLINK("http://dx.doi.org/10.1016/j.apcatb.2023.122806","http://dx.doi.org/10.1016/j.apcatb.2023.122806")</f>
        <v>http://dx.doi.org/10.1016/j.apcatb.2023.122806</v>
      </c>
      <c r="BG750" t="s">
        <v>74</v>
      </c>
      <c r="BH750" t="s">
        <v>74</v>
      </c>
      <c r="BI750">
        <v>10</v>
      </c>
      <c r="BJ750" t="s">
        <v>457</v>
      </c>
      <c r="BK750" t="s">
        <v>100</v>
      </c>
      <c r="BL750" t="s">
        <v>458</v>
      </c>
      <c r="BM750" t="s">
        <v>13543</v>
      </c>
      <c r="BN750" t="s">
        <v>74</v>
      </c>
      <c r="BO750" t="s">
        <v>74</v>
      </c>
      <c r="BP750" t="s">
        <v>74</v>
      </c>
      <c r="BQ750" t="s">
        <v>74</v>
      </c>
      <c r="BR750" t="s">
        <v>104</v>
      </c>
      <c r="BS750" t="s">
        <v>13544</v>
      </c>
      <c r="BT750" t="str">
        <f>HYPERLINK("https%3A%2F%2Fwww.webofscience.com%2Fwos%2Fwoscc%2Ffull-record%2FWOS:001053237100001","View Full Record in Web of Science")</f>
        <v>View Full Record in Web of Science</v>
      </c>
    </row>
    <row r="751" spans="1:72" x14ac:dyDescent="0.15">
      <c r="A751" t="s">
        <v>72</v>
      </c>
      <c r="B751" t="s">
        <v>13545</v>
      </c>
      <c r="C751" t="s">
        <v>74</v>
      </c>
      <c r="D751" t="s">
        <v>74</v>
      </c>
      <c r="E751" t="s">
        <v>74</v>
      </c>
      <c r="F751" t="s">
        <v>13546</v>
      </c>
      <c r="G751" t="s">
        <v>74</v>
      </c>
      <c r="H751" t="s">
        <v>74</v>
      </c>
      <c r="I751" t="s">
        <v>13547</v>
      </c>
      <c r="J751" t="s">
        <v>13548</v>
      </c>
      <c r="K751" t="s">
        <v>74</v>
      </c>
      <c r="L751" t="s">
        <v>74</v>
      </c>
      <c r="M751" t="s">
        <v>78</v>
      </c>
      <c r="N751" t="s">
        <v>79</v>
      </c>
      <c r="O751" t="s">
        <v>74</v>
      </c>
      <c r="P751" t="s">
        <v>74</v>
      </c>
      <c r="Q751" t="s">
        <v>74</v>
      </c>
      <c r="R751" t="s">
        <v>74</v>
      </c>
      <c r="S751" t="s">
        <v>74</v>
      </c>
      <c r="T751" t="s">
        <v>13549</v>
      </c>
      <c r="U751" t="s">
        <v>13550</v>
      </c>
      <c r="V751" t="s">
        <v>13551</v>
      </c>
      <c r="W751" t="s">
        <v>13552</v>
      </c>
      <c r="X751" t="s">
        <v>13553</v>
      </c>
      <c r="Y751" t="s">
        <v>13554</v>
      </c>
      <c r="Z751" t="s">
        <v>13555</v>
      </c>
      <c r="AA751" t="s">
        <v>74</v>
      </c>
      <c r="AB751" t="s">
        <v>74</v>
      </c>
      <c r="AC751" t="s">
        <v>13556</v>
      </c>
      <c r="AD751" t="s">
        <v>13557</v>
      </c>
      <c r="AE751" t="s">
        <v>13558</v>
      </c>
      <c r="AF751" t="s">
        <v>74</v>
      </c>
      <c r="AG751">
        <v>113</v>
      </c>
      <c r="AH751">
        <v>0</v>
      </c>
      <c r="AI751">
        <v>0</v>
      </c>
      <c r="AJ751">
        <v>5</v>
      </c>
      <c r="AK751">
        <v>5</v>
      </c>
      <c r="AL751" t="s">
        <v>90</v>
      </c>
      <c r="AM751" t="s">
        <v>91</v>
      </c>
      <c r="AN751" t="s">
        <v>92</v>
      </c>
      <c r="AO751" t="s">
        <v>13559</v>
      </c>
      <c r="AP751" t="s">
        <v>13560</v>
      </c>
      <c r="AQ751" t="s">
        <v>74</v>
      </c>
      <c r="AR751" t="s">
        <v>13561</v>
      </c>
      <c r="AS751" t="s">
        <v>13562</v>
      </c>
      <c r="AT751" t="s">
        <v>13478</v>
      </c>
      <c r="AU751">
        <v>2023</v>
      </c>
      <c r="AV751">
        <v>956</v>
      </c>
      <c r="AW751" t="s">
        <v>74</v>
      </c>
      <c r="AX751" t="s">
        <v>74</v>
      </c>
      <c r="AY751" t="s">
        <v>74</v>
      </c>
      <c r="AZ751" t="s">
        <v>74</v>
      </c>
      <c r="BA751" t="s">
        <v>74</v>
      </c>
      <c r="BB751" t="s">
        <v>74</v>
      </c>
      <c r="BC751" t="s">
        <v>74</v>
      </c>
      <c r="BD751">
        <v>175966</v>
      </c>
      <c r="BE751" t="s">
        <v>13563</v>
      </c>
      <c r="BF751" t="str">
        <f>HYPERLINK("http://dx.doi.org/10.1016/j.ejphar.2023.175966","http://dx.doi.org/10.1016/j.ejphar.2023.175966")</f>
        <v>http://dx.doi.org/10.1016/j.ejphar.2023.175966</v>
      </c>
      <c r="BG751" t="s">
        <v>74</v>
      </c>
      <c r="BH751" t="s">
        <v>74</v>
      </c>
      <c r="BI751">
        <v>9</v>
      </c>
      <c r="BJ751" t="s">
        <v>2605</v>
      </c>
      <c r="BK751" t="s">
        <v>100</v>
      </c>
      <c r="BL751" t="s">
        <v>2605</v>
      </c>
      <c r="BM751" t="s">
        <v>13564</v>
      </c>
      <c r="BN751">
        <v>37549725</v>
      </c>
      <c r="BO751" t="s">
        <v>74</v>
      </c>
      <c r="BP751" t="s">
        <v>74</v>
      </c>
      <c r="BQ751" t="s">
        <v>74</v>
      </c>
      <c r="BR751" t="s">
        <v>104</v>
      </c>
      <c r="BS751" t="s">
        <v>13565</v>
      </c>
      <c r="BT751" t="str">
        <f>HYPERLINK("https%3A%2F%2Fwww.webofscience.com%2Fwos%2Fwoscc%2Ffull-record%2FWOS:001059133900001","View Full Record in Web of Science")</f>
        <v>View Full Record in Web of Science</v>
      </c>
    </row>
    <row r="752" spans="1:72" x14ac:dyDescent="0.15">
      <c r="A752" t="s">
        <v>72</v>
      </c>
      <c r="B752" t="s">
        <v>13566</v>
      </c>
      <c r="C752" t="s">
        <v>74</v>
      </c>
      <c r="D752" t="s">
        <v>74</v>
      </c>
      <c r="E752" t="s">
        <v>74</v>
      </c>
      <c r="F752" t="s">
        <v>13567</v>
      </c>
      <c r="G752" t="s">
        <v>74</v>
      </c>
      <c r="H752" t="s">
        <v>74</v>
      </c>
      <c r="I752" t="s">
        <v>13568</v>
      </c>
      <c r="J752" t="s">
        <v>12786</v>
      </c>
      <c r="K752" t="s">
        <v>74</v>
      </c>
      <c r="L752" t="s">
        <v>74</v>
      </c>
      <c r="M752" t="s">
        <v>78</v>
      </c>
      <c r="N752" t="s">
        <v>79</v>
      </c>
      <c r="O752" t="s">
        <v>74</v>
      </c>
      <c r="P752" t="s">
        <v>74</v>
      </c>
      <c r="Q752" t="s">
        <v>74</v>
      </c>
      <c r="R752" t="s">
        <v>74</v>
      </c>
      <c r="S752" t="s">
        <v>74</v>
      </c>
      <c r="T752" t="s">
        <v>13569</v>
      </c>
      <c r="U752" t="s">
        <v>13570</v>
      </c>
      <c r="V752" t="s">
        <v>13571</v>
      </c>
      <c r="W752" t="s">
        <v>13572</v>
      </c>
      <c r="X752" t="s">
        <v>13573</v>
      </c>
      <c r="Y752" t="s">
        <v>13574</v>
      </c>
      <c r="Z752" t="s">
        <v>13575</v>
      </c>
      <c r="AA752" t="s">
        <v>74</v>
      </c>
      <c r="AB752" t="s">
        <v>13576</v>
      </c>
      <c r="AC752" t="s">
        <v>74</v>
      </c>
      <c r="AD752" t="s">
        <v>74</v>
      </c>
      <c r="AE752" t="s">
        <v>74</v>
      </c>
      <c r="AF752" t="s">
        <v>74</v>
      </c>
      <c r="AG752">
        <v>101</v>
      </c>
      <c r="AH752">
        <v>1</v>
      </c>
      <c r="AI752">
        <v>1</v>
      </c>
      <c r="AJ752">
        <v>10</v>
      </c>
      <c r="AK752">
        <v>10</v>
      </c>
      <c r="AL752" t="s">
        <v>90</v>
      </c>
      <c r="AM752" t="s">
        <v>91</v>
      </c>
      <c r="AN752" t="s">
        <v>92</v>
      </c>
      <c r="AO752" t="s">
        <v>12799</v>
      </c>
      <c r="AP752" t="s">
        <v>12800</v>
      </c>
      <c r="AQ752" t="s">
        <v>74</v>
      </c>
      <c r="AR752" t="s">
        <v>12801</v>
      </c>
      <c r="AS752" t="s">
        <v>12802</v>
      </c>
      <c r="AT752" t="s">
        <v>13478</v>
      </c>
      <c r="AU752">
        <v>2023</v>
      </c>
      <c r="AV752">
        <v>459</v>
      </c>
      <c r="AW752" t="s">
        <v>74</v>
      </c>
      <c r="AX752" t="s">
        <v>74</v>
      </c>
      <c r="AY752" t="s">
        <v>74</v>
      </c>
      <c r="AZ752" t="s">
        <v>74</v>
      </c>
      <c r="BA752" t="s">
        <v>74</v>
      </c>
      <c r="BB752" t="s">
        <v>74</v>
      </c>
      <c r="BC752" t="s">
        <v>74</v>
      </c>
      <c r="BD752">
        <v>131833</v>
      </c>
      <c r="BE752" t="s">
        <v>13577</v>
      </c>
      <c r="BF752" t="str">
        <f>HYPERLINK("http://dx.doi.org/10.1016/j.jhazmat.2023.131833","http://dx.doi.org/10.1016/j.jhazmat.2023.131833")</f>
        <v>http://dx.doi.org/10.1016/j.jhazmat.2023.131833</v>
      </c>
      <c r="BG752" t="s">
        <v>74</v>
      </c>
      <c r="BH752" t="s">
        <v>74</v>
      </c>
      <c r="BI752">
        <v>11</v>
      </c>
      <c r="BJ752" t="s">
        <v>12804</v>
      </c>
      <c r="BK752" t="s">
        <v>100</v>
      </c>
      <c r="BL752" t="s">
        <v>12805</v>
      </c>
      <c r="BM752" t="s">
        <v>13578</v>
      </c>
      <c r="BN752">
        <v>37473572</v>
      </c>
      <c r="BO752" t="s">
        <v>74</v>
      </c>
      <c r="BP752" t="s">
        <v>74</v>
      </c>
      <c r="BQ752" t="s">
        <v>74</v>
      </c>
      <c r="BR752" t="s">
        <v>104</v>
      </c>
      <c r="BS752" t="s">
        <v>13579</v>
      </c>
      <c r="BT752" t="str">
        <f>HYPERLINK("https%3A%2F%2Fwww.webofscience.com%2Fwos%2Fwoscc%2Ffull-record%2FWOS:001049862500001","View Full Record in Web of Science")</f>
        <v>View Full Record in Web of Science</v>
      </c>
    </row>
    <row r="753" spans="1:72" x14ac:dyDescent="0.15">
      <c r="A753" t="s">
        <v>72</v>
      </c>
      <c r="B753" t="s">
        <v>13580</v>
      </c>
      <c r="C753" t="s">
        <v>74</v>
      </c>
      <c r="D753" t="s">
        <v>74</v>
      </c>
      <c r="E753" t="s">
        <v>74</v>
      </c>
      <c r="F753" t="s">
        <v>13581</v>
      </c>
      <c r="G753" t="s">
        <v>74</v>
      </c>
      <c r="H753" t="s">
        <v>74</v>
      </c>
      <c r="I753" t="s">
        <v>13582</v>
      </c>
      <c r="J753" t="s">
        <v>13548</v>
      </c>
      <c r="K753" t="s">
        <v>74</v>
      </c>
      <c r="L753" t="s">
        <v>74</v>
      </c>
      <c r="M753" t="s">
        <v>78</v>
      </c>
      <c r="N753" t="s">
        <v>79</v>
      </c>
      <c r="O753" t="s">
        <v>74</v>
      </c>
      <c r="P753" t="s">
        <v>74</v>
      </c>
      <c r="Q753" t="s">
        <v>74</v>
      </c>
      <c r="R753" t="s">
        <v>74</v>
      </c>
      <c r="S753" t="s">
        <v>74</v>
      </c>
      <c r="T753" t="s">
        <v>13583</v>
      </c>
      <c r="U753" t="s">
        <v>13584</v>
      </c>
      <c r="V753" t="s">
        <v>13585</v>
      </c>
      <c r="W753" t="s">
        <v>13586</v>
      </c>
      <c r="X753" t="s">
        <v>13587</v>
      </c>
      <c r="Y753" t="s">
        <v>13588</v>
      </c>
      <c r="Z753" t="s">
        <v>13589</v>
      </c>
      <c r="AA753" t="s">
        <v>74</v>
      </c>
      <c r="AB753" t="s">
        <v>74</v>
      </c>
      <c r="AC753" t="s">
        <v>74</v>
      </c>
      <c r="AD753" t="s">
        <v>74</v>
      </c>
      <c r="AE753" t="s">
        <v>74</v>
      </c>
      <c r="AF753" t="s">
        <v>74</v>
      </c>
      <c r="AG753">
        <v>86</v>
      </c>
      <c r="AH753">
        <v>0</v>
      </c>
      <c r="AI753">
        <v>0</v>
      </c>
      <c r="AJ753">
        <v>0</v>
      </c>
      <c r="AK753">
        <v>0</v>
      </c>
      <c r="AL753" t="s">
        <v>90</v>
      </c>
      <c r="AM753" t="s">
        <v>91</v>
      </c>
      <c r="AN753" t="s">
        <v>92</v>
      </c>
      <c r="AO753" t="s">
        <v>13559</v>
      </c>
      <c r="AP753" t="s">
        <v>13560</v>
      </c>
      <c r="AQ753" t="s">
        <v>74</v>
      </c>
      <c r="AR753" t="s">
        <v>13561</v>
      </c>
      <c r="AS753" t="s">
        <v>13562</v>
      </c>
      <c r="AT753" t="s">
        <v>13478</v>
      </c>
      <c r="AU753">
        <v>2023</v>
      </c>
      <c r="AV753">
        <v>956</v>
      </c>
      <c r="AW753" t="s">
        <v>74</v>
      </c>
      <c r="AX753" t="s">
        <v>74</v>
      </c>
      <c r="AY753" t="s">
        <v>74</v>
      </c>
      <c r="AZ753" t="s">
        <v>74</v>
      </c>
      <c r="BA753" t="s">
        <v>74</v>
      </c>
      <c r="BB753" t="s">
        <v>74</v>
      </c>
      <c r="BC753" t="s">
        <v>74</v>
      </c>
      <c r="BD753">
        <v>175953</v>
      </c>
      <c r="BE753" t="s">
        <v>13590</v>
      </c>
      <c r="BF753" t="str">
        <f>HYPERLINK("http://dx.doi.org/10.1016/j.ejphar.2023.175953","http://dx.doi.org/10.1016/j.ejphar.2023.175953")</f>
        <v>http://dx.doi.org/10.1016/j.ejphar.2023.175953</v>
      </c>
      <c r="BG753" t="s">
        <v>74</v>
      </c>
      <c r="BH753" t="s">
        <v>74</v>
      </c>
      <c r="BI753">
        <v>9</v>
      </c>
      <c r="BJ753" t="s">
        <v>2605</v>
      </c>
      <c r="BK753" t="s">
        <v>100</v>
      </c>
      <c r="BL753" t="s">
        <v>2605</v>
      </c>
      <c r="BM753" t="s">
        <v>13591</v>
      </c>
      <c r="BN753">
        <v>37541371</v>
      </c>
      <c r="BO753" t="s">
        <v>295</v>
      </c>
      <c r="BP753" t="s">
        <v>74</v>
      </c>
      <c r="BQ753" t="s">
        <v>74</v>
      </c>
      <c r="BR753" t="s">
        <v>104</v>
      </c>
      <c r="BS753" t="s">
        <v>13592</v>
      </c>
      <c r="BT753" t="str">
        <f>HYPERLINK("https%3A%2F%2Fwww.webofscience.com%2Fwos%2Fwoscc%2Ffull-record%2FWOS:001059102900001","View Full Record in Web of Science")</f>
        <v>View Full Record in Web of Science</v>
      </c>
    </row>
    <row r="754" spans="1:72" x14ac:dyDescent="0.15">
      <c r="A754" t="s">
        <v>72</v>
      </c>
      <c r="B754" t="s">
        <v>13593</v>
      </c>
      <c r="C754" t="s">
        <v>74</v>
      </c>
      <c r="D754" t="s">
        <v>74</v>
      </c>
      <c r="E754" t="s">
        <v>74</v>
      </c>
      <c r="F754" t="s">
        <v>13594</v>
      </c>
      <c r="G754" t="s">
        <v>74</v>
      </c>
      <c r="H754" t="s">
        <v>74</v>
      </c>
      <c r="I754" t="s">
        <v>13595</v>
      </c>
      <c r="J754" t="s">
        <v>441</v>
      </c>
      <c r="K754" t="s">
        <v>74</v>
      </c>
      <c r="L754" t="s">
        <v>74</v>
      </c>
      <c r="M754" t="s">
        <v>78</v>
      </c>
      <c r="N754" t="s">
        <v>79</v>
      </c>
      <c r="O754" t="s">
        <v>74</v>
      </c>
      <c r="P754" t="s">
        <v>74</v>
      </c>
      <c r="Q754" t="s">
        <v>74</v>
      </c>
      <c r="R754" t="s">
        <v>74</v>
      </c>
      <c r="S754" t="s">
        <v>74</v>
      </c>
      <c r="T754" t="s">
        <v>13596</v>
      </c>
      <c r="U754" t="s">
        <v>13597</v>
      </c>
      <c r="V754" t="s">
        <v>13598</v>
      </c>
      <c r="W754" t="s">
        <v>13599</v>
      </c>
      <c r="X754" t="s">
        <v>13600</v>
      </c>
      <c r="Y754" t="s">
        <v>13601</v>
      </c>
      <c r="Z754" t="s">
        <v>13602</v>
      </c>
      <c r="AA754" t="s">
        <v>74</v>
      </c>
      <c r="AB754" t="s">
        <v>74</v>
      </c>
      <c r="AC754" t="s">
        <v>13603</v>
      </c>
      <c r="AD754" t="s">
        <v>13604</v>
      </c>
      <c r="AE754" t="s">
        <v>13605</v>
      </c>
      <c r="AF754" t="s">
        <v>74</v>
      </c>
      <c r="AG754">
        <v>53</v>
      </c>
      <c r="AH754">
        <v>0</v>
      </c>
      <c r="AI754">
        <v>0</v>
      </c>
      <c r="AJ754">
        <v>20</v>
      </c>
      <c r="AK754">
        <v>20</v>
      </c>
      <c r="AL754" t="s">
        <v>90</v>
      </c>
      <c r="AM754" t="s">
        <v>91</v>
      </c>
      <c r="AN754" t="s">
        <v>92</v>
      </c>
      <c r="AO754" t="s">
        <v>452</v>
      </c>
      <c r="AP754" t="s">
        <v>453</v>
      </c>
      <c r="AQ754" t="s">
        <v>74</v>
      </c>
      <c r="AR754" t="s">
        <v>454</v>
      </c>
      <c r="AS754" t="s">
        <v>455</v>
      </c>
      <c r="AT754" t="s">
        <v>13478</v>
      </c>
      <c r="AU754">
        <v>2023</v>
      </c>
      <c r="AV754">
        <v>334</v>
      </c>
      <c r="AW754" t="s">
        <v>74</v>
      </c>
      <c r="AX754" t="s">
        <v>74</v>
      </c>
      <c r="AY754" t="s">
        <v>74</v>
      </c>
      <c r="AZ754" t="s">
        <v>74</v>
      </c>
      <c r="BA754" t="s">
        <v>74</v>
      </c>
      <c r="BB754" t="s">
        <v>74</v>
      </c>
      <c r="BC754" t="s">
        <v>74</v>
      </c>
      <c r="BD754">
        <v>122822</v>
      </c>
      <c r="BE754" t="s">
        <v>13606</v>
      </c>
      <c r="BF754" t="str">
        <f>HYPERLINK("http://dx.doi.org/10.1016/j.apcatb.2023.122822","http://dx.doi.org/10.1016/j.apcatb.2023.122822")</f>
        <v>http://dx.doi.org/10.1016/j.apcatb.2023.122822</v>
      </c>
      <c r="BG754" t="s">
        <v>74</v>
      </c>
      <c r="BH754" t="s">
        <v>74</v>
      </c>
      <c r="BI754">
        <v>13</v>
      </c>
      <c r="BJ754" t="s">
        <v>457</v>
      </c>
      <c r="BK754" t="s">
        <v>100</v>
      </c>
      <c r="BL754" t="s">
        <v>458</v>
      </c>
      <c r="BM754" t="s">
        <v>13607</v>
      </c>
      <c r="BN754" t="s">
        <v>74</v>
      </c>
      <c r="BO754" t="s">
        <v>74</v>
      </c>
      <c r="BP754" t="s">
        <v>74</v>
      </c>
      <c r="BQ754" t="s">
        <v>74</v>
      </c>
      <c r="BR754" t="s">
        <v>104</v>
      </c>
      <c r="BS754" t="s">
        <v>13608</v>
      </c>
      <c r="BT754" t="str">
        <f>HYPERLINK("https%3A%2F%2Fwww.webofscience.com%2Fwos%2Fwoscc%2Ffull-record%2FWOS:001054624600001","View Full Record in Web of Science")</f>
        <v>View Full Record in Web of Science</v>
      </c>
    </row>
    <row r="755" spans="1:72" x14ac:dyDescent="0.15">
      <c r="A755" t="s">
        <v>72</v>
      </c>
      <c r="B755" t="s">
        <v>13609</v>
      </c>
      <c r="C755" t="s">
        <v>74</v>
      </c>
      <c r="D755" t="s">
        <v>74</v>
      </c>
      <c r="E755" t="s">
        <v>74</v>
      </c>
      <c r="F755" t="s">
        <v>13610</v>
      </c>
      <c r="G755" t="s">
        <v>74</v>
      </c>
      <c r="H755" t="s">
        <v>74</v>
      </c>
      <c r="I755" t="s">
        <v>13611</v>
      </c>
      <c r="J755" t="s">
        <v>1793</v>
      </c>
      <c r="K755" t="s">
        <v>74</v>
      </c>
      <c r="L755" t="s">
        <v>74</v>
      </c>
      <c r="M755" t="s">
        <v>78</v>
      </c>
      <c r="N755" t="s">
        <v>79</v>
      </c>
      <c r="O755" t="s">
        <v>74</v>
      </c>
      <c r="P755" t="s">
        <v>74</v>
      </c>
      <c r="Q755" t="s">
        <v>74</v>
      </c>
      <c r="R755" t="s">
        <v>74</v>
      </c>
      <c r="S755" t="s">
        <v>74</v>
      </c>
      <c r="T755" t="s">
        <v>13612</v>
      </c>
      <c r="U755" t="s">
        <v>13613</v>
      </c>
      <c r="V755" t="s">
        <v>13614</v>
      </c>
      <c r="W755" t="s">
        <v>13615</v>
      </c>
      <c r="X755" t="s">
        <v>167</v>
      </c>
      <c r="Y755" t="s">
        <v>13616</v>
      </c>
      <c r="Z755" t="s">
        <v>13617</v>
      </c>
      <c r="AA755" t="s">
        <v>74</v>
      </c>
      <c r="AB755" t="s">
        <v>13618</v>
      </c>
      <c r="AC755" t="s">
        <v>13619</v>
      </c>
      <c r="AD755" t="s">
        <v>2421</v>
      </c>
      <c r="AE755" t="s">
        <v>13620</v>
      </c>
      <c r="AF755" t="s">
        <v>74</v>
      </c>
      <c r="AG755">
        <v>41</v>
      </c>
      <c r="AH755">
        <v>0</v>
      </c>
      <c r="AI755">
        <v>0</v>
      </c>
      <c r="AJ755">
        <v>9</v>
      </c>
      <c r="AK755">
        <v>9</v>
      </c>
      <c r="AL755" t="s">
        <v>173</v>
      </c>
      <c r="AM755" t="s">
        <v>121</v>
      </c>
      <c r="AN755" t="s">
        <v>174</v>
      </c>
      <c r="AO755" t="s">
        <v>1805</v>
      </c>
      <c r="AP755" t="s">
        <v>1806</v>
      </c>
      <c r="AQ755" t="s">
        <v>74</v>
      </c>
      <c r="AR755" t="s">
        <v>1807</v>
      </c>
      <c r="AS755" t="s">
        <v>1808</v>
      </c>
      <c r="AT755" t="s">
        <v>13478</v>
      </c>
      <c r="AU755">
        <v>2023</v>
      </c>
      <c r="AV755">
        <v>298</v>
      </c>
      <c r="AW755" t="s">
        <v>74</v>
      </c>
      <c r="AX755" t="s">
        <v>74</v>
      </c>
      <c r="AY755" t="s">
        <v>74</v>
      </c>
      <c r="AZ755" t="s">
        <v>74</v>
      </c>
      <c r="BA755" t="s">
        <v>74</v>
      </c>
      <c r="BB755" t="s">
        <v>74</v>
      </c>
      <c r="BC755" t="s">
        <v>74</v>
      </c>
      <c r="BD755">
        <v>122767</v>
      </c>
      <c r="BE755" t="s">
        <v>13621</v>
      </c>
      <c r="BF755" t="str">
        <f>HYPERLINK("http://dx.doi.org/10.1016/j.saa.2023.122767","http://dx.doi.org/10.1016/j.saa.2023.122767")</f>
        <v>http://dx.doi.org/10.1016/j.saa.2023.122767</v>
      </c>
      <c r="BG755" t="s">
        <v>74</v>
      </c>
      <c r="BH755" t="s">
        <v>74</v>
      </c>
      <c r="BI755">
        <v>9</v>
      </c>
      <c r="BJ755" t="s">
        <v>1810</v>
      </c>
      <c r="BK755" t="s">
        <v>100</v>
      </c>
      <c r="BL755" t="s">
        <v>1810</v>
      </c>
      <c r="BM755" t="s">
        <v>13622</v>
      </c>
      <c r="BN755">
        <v>37120951</v>
      </c>
      <c r="BO755" t="s">
        <v>74</v>
      </c>
      <c r="BP755" t="s">
        <v>74</v>
      </c>
      <c r="BQ755" t="s">
        <v>74</v>
      </c>
      <c r="BR755" t="s">
        <v>104</v>
      </c>
      <c r="BS755" t="s">
        <v>13623</v>
      </c>
      <c r="BT755" t="str">
        <f>HYPERLINK("https%3A%2F%2Fwww.webofscience.com%2Fwos%2Fwoscc%2Ffull-record%2FWOS:001054995400001","View Full Record in Web of Science")</f>
        <v>View Full Record in Web of Science</v>
      </c>
    </row>
    <row r="756" spans="1:72" x14ac:dyDescent="0.15">
      <c r="A756" t="s">
        <v>72</v>
      </c>
      <c r="B756" t="s">
        <v>13624</v>
      </c>
      <c r="C756" t="s">
        <v>74</v>
      </c>
      <c r="D756" t="s">
        <v>74</v>
      </c>
      <c r="E756" t="s">
        <v>74</v>
      </c>
      <c r="F756" t="s">
        <v>13625</v>
      </c>
      <c r="G756" t="s">
        <v>74</v>
      </c>
      <c r="H756" t="s">
        <v>74</v>
      </c>
      <c r="I756" t="s">
        <v>13626</v>
      </c>
      <c r="J756" t="s">
        <v>12786</v>
      </c>
      <c r="K756" t="s">
        <v>74</v>
      </c>
      <c r="L756" t="s">
        <v>74</v>
      </c>
      <c r="M756" t="s">
        <v>78</v>
      </c>
      <c r="N756" t="s">
        <v>79</v>
      </c>
      <c r="O756" t="s">
        <v>74</v>
      </c>
      <c r="P756" t="s">
        <v>74</v>
      </c>
      <c r="Q756" t="s">
        <v>74</v>
      </c>
      <c r="R756" t="s">
        <v>74</v>
      </c>
      <c r="S756" t="s">
        <v>74</v>
      </c>
      <c r="T756" t="s">
        <v>13627</v>
      </c>
      <c r="U756" t="s">
        <v>13628</v>
      </c>
      <c r="V756" t="s">
        <v>13629</v>
      </c>
      <c r="W756" t="s">
        <v>13630</v>
      </c>
      <c r="X756" t="s">
        <v>13631</v>
      </c>
      <c r="Y756" t="s">
        <v>13632</v>
      </c>
      <c r="Z756" t="s">
        <v>13633</v>
      </c>
      <c r="AA756" t="s">
        <v>74</v>
      </c>
      <c r="AB756" t="s">
        <v>13634</v>
      </c>
      <c r="AC756" t="s">
        <v>13635</v>
      </c>
      <c r="AD756" t="s">
        <v>13636</v>
      </c>
      <c r="AE756" t="s">
        <v>13637</v>
      </c>
      <c r="AF756" t="s">
        <v>74</v>
      </c>
      <c r="AG756">
        <v>145</v>
      </c>
      <c r="AH756">
        <v>0</v>
      </c>
      <c r="AI756">
        <v>0</v>
      </c>
      <c r="AJ756">
        <v>17</v>
      </c>
      <c r="AK756">
        <v>17</v>
      </c>
      <c r="AL756" t="s">
        <v>90</v>
      </c>
      <c r="AM756" t="s">
        <v>91</v>
      </c>
      <c r="AN756" t="s">
        <v>92</v>
      </c>
      <c r="AO756" t="s">
        <v>12799</v>
      </c>
      <c r="AP756" t="s">
        <v>12800</v>
      </c>
      <c r="AQ756" t="s">
        <v>74</v>
      </c>
      <c r="AR756" t="s">
        <v>12801</v>
      </c>
      <c r="AS756" t="s">
        <v>12802</v>
      </c>
      <c r="AT756" t="s">
        <v>13478</v>
      </c>
      <c r="AU756">
        <v>2023</v>
      </c>
      <c r="AV756">
        <v>459</v>
      </c>
      <c r="AW756" t="s">
        <v>74</v>
      </c>
      <c r="AX756" t="s">
        <v>74</v>
      </c>
      <c r="AY756" t="s">
        <v>74</v>
      </c>
      <c r="AZ756" t="s">
        <v>74</v>
      </c>
      <c r="BA756" t="s">
        <v>74</v>
      </c>
      <c r="BB756" t="s">
        <v>74</v>
      </c>
      <c r="BC756" t="s">
        <v>74</v>
      </c>
      <c r="BD756">
        <v>132315</v>
      </c>
      <c r="BE756" t="s">
        <v>13638</v>
      </c>
      <c r="BF756" t="str">
        <f>HYPERLINK("http://dx.doi.org/10.1016/j.jhazmat.2023.132315","http://dx.doi.org/10.1016/j.jhazmat.2023.132315")</f>
        <v>http://dx.doi.org/10.1016/j.jhazmat.2023.132315</v>
      </c>
      <c r="BG756" t="s">
        <v>74</v>
      </c>
      <c r="BH756" t="s">
        <v>74</v>
      </c>
      <c r="BI756">
        <v>20</v>
      </c>
      <c r="BJ756" t="s">
        <v>12804</v>
      </c>
      <c r="BK756" t="s">
        <v>100</v>
      </c>
      <c r="BL756" t="s">
        <v>12805</v>
      </c>
      <c r="BM756" t="s">
        <v>13639</v>
      </c>
      <c r="BN756">
        <v>37604038</v>
      </c>
      <c r="BO756" t="s">
        <v>74</v>
      </c>
      <c r="BP756" t="s">
        <v>74</v>
      </c>
      <c r="BQ756" t="s">
        <v>74</v>
      </c>
      <c r="BR756" t="s">
        <v>104</v>
      </c>
      <c r="BS756" t="s">
        <v>13640</v>
      </c>
      <c r="BT756" t="str">
        <f>HYPERLINK("https%3A%2F%2Fwww.webofscience.com%2Fwos%2Fwoscc%2Ffull-record%2FWOS:001065067200001","View Full Record in Web of Science")</f>
        <v>View Full Record in Web of Science</v>
      </c>
    </row>
    <row r="757" spans="1:72" x14ac:dyDescent="0.15">
      <c r="A757" t="s">
        <v>72</v>
      </c>
      <c r="B757" t="s">
        <v>13641</v>
      </c>
      <c r="C757" t="s">
        <v>74</v>
      </c>
      <c r="D757" t="s">
        <v>74</v>
      </c>
      <c r="E757" t="s">
        <v>74</v>
      </c>
      <c r="F757" t="s">
        <v>13642</v>
      </c>
      <c r="G757" t="s">
        <v>74</v>
      </c>
      <c r="H757" t="s">
        <v>74</v>
      </c>
      <c r="I757" t="s">
        <v>13643</v>
      </c>
      <c r="J757" t="s">
        <v>5192</v>
      </c>
      <c r="K757" t="s">
        <v>74</v>
      </c>
      <c r="L757" t="s">
        <v>74</v>
      </c>
      <c r="M757" t="s">
        <v>78</v>
      </c>
      <c r="N757" t="s">
        <v>79</v>
      </c>
      <c r="O757" t="s">
        <v>74</v>
      </c>
      <c r="P757" t="s">
        <v>74</v>
      </c>
      <c r="Q757" t="s">
        <v>74</v>
      </c>
      <c r="R757" t="s">
        <v>74</v>
      </c>
      <c r="S757" t="s">
        <v>74</v>
      </c>
      <c r="T757" t="s">
        <v>13644</v>
      </c>
      <c r="U757" t="s">
        <v>13645</v>
      </c>
      <c r="V757" t="s">
        <v>13646</v>
      </c>
      <c r="W757" t="s">
        <v>13647</v>
      </c>
      <c r="X757" t="s">
        <v>13648</v>
      </c>
      <c r="Y757" t="s">
        <v>13649</v>
      </c>
      <c r="Z757" t="s">
        <v>13650</v>
      </c>
      <c r="AA757" t="s">
        <v>74</v>
      </c>
      <c r="AB757" t="s">
        <v>74</v>
      </c>
      <c r="AC757" t="s">
        <v>13651</v>
      </c>
      <c r="AD757" t="s">
        <v>13652</v>
      </c>
      <c r="AE757" t="s">
        <v>13653</v>
      </c>
      <c r="AF757" t="s">
        <v>74</v>
      </c>
      <c r="AG757">
        <v>39</v>
      </c>
      <c r="AH757">
        <v>0</v>
      </c>
      <c r="AI757">
        <v>0</v>
      </c>
      <c r="AJ757">
        <v>7</v>
      </c>
      <c r="AK757">
        <v>7</v>
      </c>
      <c r="AL757" t="s">
        <v>90</v>
      </c>
      <c r="AM757" t="s">
        <v>91</v>
      </c>
      <c r="AN757" t="s">
        <v>92</v>
      </c>
      <c r="AO757" t="s">
        <v>5203</v>
      </c>
      <c r="AP757" t="s">
        <v>5204</v>
      </c>
      <c r="AQ757" t="s">
        <v>74</v>
      </c>
      <c r="AR757" t="s">
        <v>5205</v>
      </c>
      <c r="AS757" t="s">
        <v>5206</v>
      </c>
      <c r="AT757" t="s">
        <v>13478</v>
      </c>
      <c r="AU757">
        <v>2023</v>
      </c>
      <c r="AV757">
        <v>674</v>
      </c>
      <c r="AW757" t="s">
        <v>74</v>
      </c>
      <c r="AX757" t="s">
        <v>74</v>
      </c>
      <c r="AY757" t="s">
        <v>74</v>
      </c>
      <c r="AZ757" t="s">
        <v>74</v>
      </c>
      <c r="BA757" t="s">
        <v>74</v>
      </c>
      <c r="BB757" t="s">
        <v>74</v>
      </c>
      <c r="BC757" t="s">
        <v>74</v>
      </c>
      <c r="BD757">
        <v>131841</v>
      </c>
      <c r="BE757" t="s">
        <v>13654</v>
      </c>
      <c r="BF757" t="str">
        <f>HYPERLINK("http://dx.doi.org/10.1016/j.colsurfa.2023.131841","http://dx.doi.org/10.1016/j.colsurfa.2023.131841")</f>
        <v>http://dx.doi.org/10.1016/j.colsurfa.2023.131841</v>
      </c>
      <c r="BG757" t="s">
        <v>74</v>
      </c>
      <c r="BH757" t="s">
        <v>74</v>
      </c>
      <c r="BI757">
        <v>11</v>
      </c>
      <c r="BJ757" t="s">
        <v>394</v>
      </c>
      <c r="BK757" t="s">
        <v>100</v>
      </c>
      <c r="BL757" t="s">
        <v>395</v>
      </c>
      <c r="BM757" t="s">
        <v>13655</v>
      </c>
      <c r="BN757" t="s">
        <v>74</v>
      </c>
      <c r="BO757" t="s">
        <v>74</v>
      </c>
      <c r="BP757" t="s">
        <v>74</v>
      </c>
      <c r="BQ757" t="s">
        <v>74</v>
      </c>
      <c r="BR757" t="s">
        <v>104</v>
      </c>
      <c r="BS757" t="s">
        <v>13656</v>
      </c>
      <c r="BT757" t="str">
        <f>HYPERLINK("https%3A%2F%2Fwww.webofscience.com%2Fwos%2Fwoscc%2Ffull-record%2FWOS:001054377200001","View Full Record in Web of Science")</f>
        <v>View Full Record in Web of Science</v>
      </c>
    </row>
    <row r="758" spans="1:72" x14ac:dyDescent="0.15">
      <c r="A758" t="s">
        <v>72</v>
      </c>
      <c r="B758" t="s">
        <v>13657</v>
      </c>
      <c r="C758" t="s">
        <v>74</v>
      </c>
      <c r="D758" t="s">
        <v>74</v>
      </c>
      <c r="E758" t="s">
        <v>74</v>
      </c>
      <c r="F758" t="s">
        <v>13658</v>
      </c>
      <c r="G758" t="s">
        <v>74</v>
      </c>
      <c r="H758" t="s">
        <v>74</v>
      </c>
      <c r="I758" t="s">
        <v>13659</v>
      </c>
      <c r="J758" t="s">
        <v>12786</v>
      </c>
      <c r="K758" t="s">
        <v>74</v>
      </c>
      <c r="L758" t="s">
        <v>74</v>
      </c>
      <c r="M758" t="s">
        <v>78</v>
      </c>
      <c r="N758" t="s">
        <v>79</v>
      </c>
      <c r="O758" t="s">
        <v>74</v>
      </c>
      <c r="P758" t="s">
        <v>74</v>
      </c>
      <c r="Q758" t="s">
        <v>74</v>
      </c>
      <c r="R758" t="s">
        <v>74</v>
      </c>
      <c r="S758" t="s">
        <v>74</v>
      </c>
      <c r="T758" t="s">
        <v>13660</v>
      </c>
      <c r="U758" t="s">
        <v>13661</v>
      </c>
      <c r="V758" t="s">
        <v>13662</v>
      </c>
      <c r="W758" t="s">
        <v>13663</v>
      </c>
      <c r="X758" t="s">
        <v>13664</v>
      </c>
      <c r="Y758" t="s">
        <v>13665</v>
      </c>
      <c r="Z758" t="s">
        <v>13666</v>
      </c>
      <c r="AA758" t="s">
        <v>13667</v>
      </c>
      <c r="AB758" t="s">
        <v>13668</v>
      </c>
      <c r="AC758" t="s">
        <v>13669</v>
      </c>
      <c r="AD758" t="s">
        <v>13670</v>
      </c>
      <c r="AE758" t="s">
        <v>13671</v>
      </c>
      <c r="AF758" t="s">
        <v>74</v>
      </c>
      <c r="AG758">
        <v>96</v>
      </c>
      <c r="AH758">
        <v>0</v>
      </c>
      <c r="AI758">
        <v>0</v>
      </c>
      <c r="AJ758">
        <v>31</v>
      </c>
      <c r="AK758">
        <v>31</v>
      </c>
      <c r="AL758" t="s">
        <v>90</v>
      </c>
      <c r="AM758" t="s">
        <v>91</v>
      </c>
      <c r="AN758" t="s">
        <v>92</v>
      </c>
      <c r="AO758" t="s">
        <v>12799</v>
      </c>
      <c r="AP758" t="s">
        <v>12800</v>
      </c>
      <c r="AQ758" t="s">
        <v>74</v>
      </c>
      <c r="AR758" t="s">
        <v>12801</v>
      </c>
      <c r="AS758" t="s">
        <v>12802</v>
      </c>
      <c r="AT758" t="s">
        <v>13478</v>
      </c>
      <c r="AU758">
        <v>2023</v>
      </c>
      <c r="AV758">
        <v>459</v>
      </c>
      <c r="AW758" t="s">
        <v>74</v>
      </c>
      <c r="AX758" t="s">
        <v>74</v>
      </c>
      <c r="AY758" t="s">
        <v>74</v>
      </c>
      <c r="AZ758" t="s">
        <v>74</v>
      </c>
      <c r="BA758" t="s">
        <v>74</v>
      </c>
      <c r="BB758" t="s">
        <v>74</v>
      </c>
      <c r="BC758" t="s">
        <v>74</v>
      </c>
      <c r="BD758">
        <v>132172</v>
      </c>
      <c r="BE758" t="s">
        <v>13672</v>
      </c>
      <c r="BF758" t="str">
        <f>HYPERLINK("http://dx.doi.org/10.1016/j.jhazmat.2023.132172","http://dx.doi.org/10.1016/j.jhazmat.2023.132172")</f>
        <v>http://dx.doi.org/10.1016/j.jhazmat.2023.132172</v>
      </c>
      <c r="BG758" t="s">
        <v>74</v>
      </c>
      <c r="BH758" t="s">
        <v>74</v>
      </c>
      <c r="BI758">
        <v>13</v>
      </c>
      <c r="BJ758" t="s">
        <v>12804</v>
      </c>
      <c r="BK758" t="s">
        <v>100</v>
      </c>
      <c r="BL758" t="s">
        <v>12805</v>
      </c>
      <c r="BM758" t="s">
        <v>13673</v>
      </c>
      <c r="BN758">
        <v>37523963</v>
      </c>
      <c r="BO758" t="s">
        <v>74</v>
      </c>
      <c r="BP758" t="s">
        <v>74</v>
      </c>
      <c r="BQ758" t="s">
        <v>74</v>
      </c>
      <c r="BR758" t="s">
        <v>104</v>
      </c>
      <c r="BS758" t="s">
        <v>13674</v>
      </c>
      <c r="BT758" t="str">
        <f>HYPERLINK("https%3A%2F%2Fwww.webofscience.com%2Fwos%2Fwoscc%2Ffull-record%2FWOS:001050688000001","View Full Record in Web of Science")</f>
        <v>View Full Record in Web of Science</v>
      </c>
    </row>
    <row r="759" spans="1:72" x14ac:dyDescent="0.15">
      <c r="A759" t="s">
        <v>72</v>
      </c>
      <c r="B759" t="s">
        <v>13675</v>
      </c>
      <c r="C759" t="s">
        <v>74</v>
      </c>
      <c r="D759" t="s">
        <v>74</v>
      </c>
      <c r="E759" t="s">
        <v>74</v>
      </c>
      <c r="F759" t="s">
        <v>13676</v>
      </c>
      <c r="G759" t="s">
        <v>74</v>
      </c>
      <c r="H759" t="s">
        <v>74</v>
      </c>
      <c r="I759" t="s">
        <v>13677</v>
      </c>
      <c r="J759" t="s">
        <v>13678</v>
      </c>
      <c r="K759" t="s">
        <v>74</v>
      </c>
      <c r="L759" t="s">
        <v>74</v>
      </c>
      <c r="M759" t="s">
        <v>78</v>
      </c>
      <c r="N759" t="s">
        <v>79</v>
      </c>
      <c r="O759" t="s">
        <v>74</v>
      </c>
      <c r="P759" t="s">
        <v>74</v>
      </c>
      <c r="Q759" t="s">
        <v>74</v>
      </c>
      <c r="R759" t="s">
        <v>74</v>
      </c>
      <c r="S759" t="s">
        <v>74</v>
      </c>
      <c r="T759" t="s">
        <v>13679</v>
      </c>
      <c r="U759" t="s">
        <v>13680</v>
      </c>
      <c r="V759" t="s">
        <v>13681</v>
      </c>
      <c r="W759" t="s">
        <v>13682</v>
      </c>
      <c r="X759" t="s">
        <v>13683</v>
      </c>
      <c r="Y759" t="s">
        <v>13684</v>
      </c>
      <c r="Z759" t="s">
        <v>13685</v>
      </c>
      <c r="AA759" t="s">
        <v>13686</v>
      </c>
      <c r="AB759" t="s">
        <v>74</v>
      </c>
      <c r="AC759" t="s">
        <v>13687</v>
      </c>
      <c r="AD759" t="s">
        <v>13688</v>
      </c>
      <c r="AE759" t="s">
        <v>13689</v>
      </c>
      <c r="AF759" t="s">
        <v>74</v>
      </c>
      <c r="AG759">
        <v>64</v>
      </c>
      <c r="AH759">
        <v>0</v>
      </c>
      <c r="AI759">
        <v>0</v>
      </c>
      <c r="AJ759">
        <v>0</v>
      </c>
      <c r="AK759">
        <v>0</v>
      </c>
      <c r="AL759" t="s">
        <v>90</v>
      </c>
      <c r="AM759" t="s">
        <v>91</v>
      </c>
      <c r="AN759" t="s">
        <v>92</v>
      </c>
      <c r="AO759" t="s">
        <v>13690</v>
      </c>
      <c r="AP759" t="s">
        <v>13691</v>
      </c>
      <c r="AQ759" t="s">
        <v>74</v>
      </c>
      <c r="AR759" t="s">
        <v>13692</v>
      </c>
      <c r="AS759" t="s">
        <v>13693</v>
      </c>
      <c r="AT759" t="s">
        <v>13478</v>
      </c>
      <c r="AU759">
        <v>2023</v>
      </c>
      <c r="AV759">
        <v>229</v>
      </c>
      <c r="AW759" t="s">
        <v>74</v>
      </c>
      <c r="AX759" t="s">
        <v>74</v>
      </c>
      <c r="AY759" t="s">
        <v>74</v>
      </c>
      <c r="AZ759" t="s">
        <v>74</v>
      </c>
      <c r="BA759" t="s">
        <v>74</v>
      </c>
      <c r="BB759" t="s">
        <v>74</v>
      </c>
      <c r="BC759" t="s">
        <v>74</v>
      </c>
      <c r="BD759">
        <v>112389</v>
      </c>
      <c r="BE759" t="s">
        <v>13694</v>
      </c>
      <c r="BF759" t="str">
        <f>HYPERLINK("http://dx.doi.org/10.1016/j.commatsci.2023.112389","http://dx.doi.org/10.1016/j.commatsci.2023.112389")</f>
        <v>http://dx.doi.org/10.1016/j.commatsci.2023.112389</v>
      </c>
      <c r="BG759" t="s">
        <v>74</v>
      </c>
      <c r="BH759" t="s">
        <v>74</v>
      </c>
      <c r="BI759">
        <v>9</v>
      </c>
      <c r="BJ759" t="s">
        <v>1111</v>
      </c>
      <c r="BK759" t="s">
        <v>100</v>
      </c>
      <c r="BL759" t="s">
        <v>1112</v>
      </c>
      <c r="BM759" t="s">
        <v>13695</v>
      </c>
      <c r="BN759" t="s">
        <v>74</v>
      </c>
      <c r="BO759" t="s">
        <v>74</v>
      </c>
      <c r="BP759" t="s">
        <v>74</v>
      </c>
      <c r="BQ759" t="s">
        <v>74</v>
      </c>
      <c r="BR759" t="s">
        <v>104</v>
      </c>
      <c r="BS759" t="s">
        <v>13696</v>
      </c>
      <c r="BT759" t="str">
        <f>HYPERLINK("https%3A%2F%2Fwww.webofscience.com%2Fwos%2Fwoscc%2Ffull-record%2FWOS:001047751200001","View Full Record in Web of Science")</f>
        <v>View Full Record in Web of Science</v>
      </c>
    </row>
    <row r="760" spans="1:72" x14ac:dyDescent="0.15">
      <c r="A760" t="s">
        <v>72</v>
      </c>
      <c r="B760" t="s">
        <v>13697</v>
      </c>
      <c r="C760" t="s">
        <v>74</v>
      </c>
      <c r="D760" t="s">
        <v>74</v>
      </c>
      <c r="E760" t="s">
        <v>74</v>
      </c>
      <c r="F760" t="s">
        <v>13698</v>
      </c>
      <c r="G760" t="s">
        <v>74</v>
      </c>
      <c r="H760" t="s">
        <v>74</v>
      </c>
      <c r="I760" t="s">
        <v>13699</v>
      </c>
      <c r="J760" t="s">
        <v>12786</v>
      </c>
      <c r="K760" t="s">
        <v>74</v>
      </c>
      <c r="L760" t="s">
        <v>74</v>
      </c>
      <c r="M760" t="s">
        <v>78</v>
      </c>
      <c r="N760" t="s">
        <v>79</v>
      </c>
      <c r="O760" t="s">
        <v>74</v>
      </c>
      <c r="P760" t="s">
        <v>74</v>
      </c>
      <c r="Q760" t="s">
        <v>74</v>
      </c>
      <c r="R760" t="s">
        <v>74</v>
      </c>
      <c r="S760" t="s">
        <v>74</v>
      </c>
      <c r="T760" t="s">
        <v>13700</v>
      </c>
      <c r="U760" t="s">
        <v>13701</v>
      </c>
      <c r="V760" t="s">
        <v>13702</v>
      </c>
      <c r="W760" t="s">
        <v>13703</v>
      </c>
      <c r="X760" t="s">
        <v>13704</v>
      </c>
      <c r="Y760" t="s">
        <v>13705</v>
      </c>
      <c r="Z760" t="s">
        <v>13706</v>
      </c>
      <c r="AA760" t="s">
        <v>74</v>
      </c>
      <c r="AB760" t="s">
        <v>74</v>
      </c>
      <c r="AC760" t="s">
        <v>13707</v>
      </c>
      <c r="AD760" t="s">
        <v>13708</v>
      </c>
      <c r="AE760" t="s">
        <v>13709</v>
      </c>
      <c r="AF760" t="s">
        <v>74</v>
      </c>
      <c r="AG760">
        <v>40</v>
      </c>
      <c r="AH760">
        <v>0</v>
      </c>
      <c r="AI760">
        <v>0</v>
      </c>
      <c r="AJ760">
        <v>5</v>
      </c>
      <c r="AK760">
        <v>5</v>
      </c>
      <c r="AL760" t="s">
        <v>90</v>
      </c>
      <c r="AM760" t="s">
        <v>91</v>
      </c>
      <c r="AN760" t="s">
        <v>92</v>
      </c>
      <c r="AO760" t="s">
        <v>12799</v>
      </c>
      <c r="AP760" t="s">
        <v>12800</v>
      </c>
      <c r="AQ760" t="s">
        <v>74</v>
      </c>
      <c r="AR760" t="s">
        <v>12801</v>
      </c>
      <c r="AS760" t="s">
        <v>12802</v>
      </c>
      <c r="AT760" t="s">
        <v>13478</v>
      </c>
      <c r="AU760">
        <v>2023</v>
      </c>
      <c r="AV760">
        <v>459</v>
      </c>
      <c r="AW760" t="s">
        <v>74</v>
      </c>
      <c r="AX760" t="s">
        <v>74</v>
      </c>
      <c r="AY760" t="s">
        <v>74</v>
      </c>
      <c r="AZ760" t="s">
        <v>74</v>
      </c>
      <c r="BA760" t="s">
        <v>74</v>
      </c>
      <c r="BB760" t="s">
        <v>74</v>
      </c>
      <c r="BC760" t="s">
        <v>74</v>
      </c>
      <c r="BD760">
        <v>132257</v>
      </c>
      <c r="BE760" t="s">
        <v>13710</v>
      </c>
      <c r="BF760" t="str">
        <f>HYPERLINK("http://dx.doi.org/10.1016/j.jhazmat.2023.132257","http://dx.doi.org/10.1016/j.jhazmat.2023.132257")</f>
        <v>http://dx.doi.org/10.1016/j.jhazmat.2023.132257</v>
      </c>
      <c r="BG760" t="s">
        <v>74</v>
      </c>
      <c r="BH760" t="s">
        <v>74</v>
      </c>
      <c r="BI760">
        <v>11</v>
      </c>
      <c r="BJ760" t="s">
        <v>12804</v>
      </c>
      <c r="BK760" t="s">
        <v>100</v>
      </c>
      <c r="BL760" t="s">
        <v>12805</v>
      </c>
      <c r="BM760" t="s">
        <v>13711</v>
      </c>
      <c r="BN760">
        <v>37572611</v>
      </c>
      <c r="BO760" t="s">
        <v>74</v>
      </c>
      <c r="BP760" t="s">
        <v>74</v>
      </c>
      <c r="BQ760" t="s">
        <v>74</v>
      </c>
      <c r="BR760" t="s">
        <v>104</v>
      </c>
      <c r="BS760" t="s">
        <v>13712</v>
      </c>
      <c r="BT760" t="str">
        <f>HYPERLINK("https%3A%2F%2Fwww.webofscience.com%2Fwos%2Fwoscc%2Ffull-record%2FWOS:001062699200001","View Full Record in Web of Science")</f>
        <v>View Full Record in Web of Science</v>
      </c>
    </row>
    <row r="761" spans="1:72" x14ac:dyDescent="0.15">
      <c r="A761" t="s">
        <v>72</v>
      </c>
      <c r="B761" t="s">
        <v>13713</v>
      </c>
      <c r="C761" t="s">
        <v>74</v>
      </c>
      <c r="D761" t="s">
        <v>74</v>
      </c>
      <c r="E761" t="s">
        <v>74</v>
      </c>
      <c r="F761" t="s">
        <v>13714</v>
      </c>
      <c r="G761" t="s">
        <v>74</v>
      </c>
      <c r="H761" t="s">
        <v>74</v>
      </c>
      <c r="I761" t="s">
        <v>13715</v>
      </c>
      <c r="J761" t="s">
        <v>12786</v>
      </c>
      <c r="K761" t="s">
        <v>74</v>
      </c>
      <c r="L761" t="s">
        <v>74</v>
      </c>
      <c r="M761" t="s">
        <v>78</v>
      </c>
      <c r="N761" t="s">
        <v>79</v>
      </c>
      <c r="O761" t="s">
        <v>74</v>
      </c>
      <c r="P761" t="s">
        <v>74</v>
      </c>
      <c r="Q761" t="s">
        <v>74</v>
      </c>
      <c r="R761" t="s">
        <v>74</v>
      </c>
      <c r="S761" t="s">
        <v>74</v>
      </c>
      <c r="T761" t="s">
        <v>13716</v>
      </c>
      <c r="U761" t="s">
        <v>13717</v>
      </c>
      <c r="V761" t="s">
        <v>13718</v>
      </c>
      <c r="W761" t="s">
        <v>13719</v>
      </c>
      <c r="X761" t="s">
        <v>13720</v>
      </c>
      <c r="Y761" t="s">
        <v>13721</v>
      </c>
      <c r="Z761" t="s">
        <v>13722</v>
      </c>
      <c r="AA761" t="s">
        <v>74</v>
      </c>
      <c r="AB761" t="s">
        <v>74</v>
      </c>
      <c r="AC761" t="s">
        <v>13723</v>
      </c>
      <c r="AD761" t="s">
        <v>13724</v>
      </c>
      <c r="AE761" t="s">
        <v>13725</v>
      </c>
      <c r="AF761" t="s">
        <v>74</v>
      </c>
      <c r="AG761">
        <v>51</v>
      </c>
      <c r="AH761">
        <v>0</v>
      </c>
      <c r="AI761">
        <v>0</v>
      </c>
      <c r="AJ761">
        <v>26</v>
      </c>
      <c r="AK761">
        <v>26</v>
      </c>
      <c r="AL761" t="s">
        <v>90</v>
      </c>
      <c r="AM761" t="s">
        <v>91</v>
      </c>
      <c r="AN761" t="s">
        <v>92</v>
      </c>
      <c r="AO761" t="s">
        <v>12799</v>
      </c>
      <c r="AP761" t="s">
        <v>12800</v>
      </c>
      <c r="AQ761" t="s">
        <v>74</v>
      </c>
      <c r="AR761" t="s">
        <v>12801</v>
      </c>
      <c r="AS761" t="s">
        <v>12802</v>
      </c>
      <c r="AT761" t="s">
        <v>13478</v>
      </c>
      <c r="AU761">
        <v>2023</v>
      </c>
      <c r="AV761">
        <v>459</v>
      </c>
      <c r="AW761" t="s">
        <v>74</v>
      </c>
      <c r="AX761" t="s">
        <v>74</v>
      </c>
      <c r="AY761" t="s">
        <v>74</v>
      </c>
      <c r="AZ761" t="s">
        <v>74</v>
      </c>
      <c r="BA761" t="s">
        <v>74</v>
      </c>
      <c r="BB761" t="s">
        <v>74</v>
      </c>
      <c r="BC761" t="s">
        <v>74</v>
      </c>
      <c r="BD761">
        <v>132136</v>
      </c>
      <c r="BE761" t="s">
        <v>13726</v>
      </c>
      <c r="BF761" t="str">
        <f>HYPERLINK("http://dx.doi.org/10.1016/j.jhazmat.2023.132136","http://dx.doi.org/10.1016/j.jhazmat.2023.132136")</f>
        <v>http://dx.doi.org/10.1016/j.jhazmat.2023.132136</v>
      </c>
      <c r="BG761" t="s">
        <v>74</v>
      </c>
      <c r="BH761" t="s">
        <v>74</v>
      </c>
      <c r="BI761">
        <v>13</v>
      </c>
      <c r="BJ761" t="s">
        <v>12804</v>
      </c>
      <c r="BK761" t="s">
        <v>100</v>
      </c>
      <c r="BL761" t="s">
        <v>12805</v>
      </c>
      <c r="BM761" t="s">
        <v>13727</v>
      </c>
      <c r="BN761">
        <v>37499496</v>
      </c>
      <c r="BO761" t="s">
        <v>74</v>
      </c>
      <c r="BP761" t="s">
        <v>74</v>
      </c>
      <c r="BQ761" t="s">
        <v>74</v>
      </c>
      <c r="BR761" t="s">
        <v>104</v>
      </c>
      <c r="BS761" t="s">
        <v>13728</v>
      </c>
      <c r="BT761" t="str">
        <f>HYPERLINK("https%3A%2F%2Fwww.webofscience.com%2Fwos%2Fwoscc%2Ffull-record%2FWOS:001050242000001","View Full Record in Web of Science")</f>
        <v>View Full Record in Web of Science</v>
      </c>
    </row>
    <row r="762" spans="1:72" x14ac:dyDescent="0.15">
      <c r="A762" t="s">
        <v>72</v>
      </c>
      <c r="B762" t="s">
        <v>13729</v>
      </c>
      <c r="C762" t="s">
        <v>74</v>
      </c>
      <c r="D762" t="s">
        <v>74</v>
      </c>
      <c r="E762" t="s">
        <v>74</v>
      </c>
      <c r="F762" t="s">
        <v>13730</v>
      </c>
      <c r="G762" t="s">
        <v>74</v>
      </c>
      <c r="H762" t="s">
        <v>74</v>
      </c>
      <c r="I762" t="s">
        <v>13731</v>
      </c>
      <c r="J762" t="s">
        <v>13732</v>
      </c>
      <c r="K762" t="s">
        <v>74</v>
      </c>
      <c r="L762" t="s">
        <v>74</v>
      </c>
      <c r="M762" t="s">
        <v>78</v>
      </c>
      <c r="N762" t="s">
        <v>79</v>
      </c>
      <c r="O762" t="s">
        <v>74</v>
      </c>
      <c r="P762" t="s">
        <v>74</v>
      </c>
      <c r="Q762" t="s">
        <v>74</v>
      </c>
      <c r="R762" t="s">
        <v>74</v>
      </c>
      <c r="S762" t="s">
        <v>74</v>
      </c>
      <c r="T762" t="s">
        <v>13733</v>
      </c>
      <c r="U762" t="s">
        <v>13734</v>
      </c>
      <c r="V762" t="s">
        <v>13735</v>
      </c>
      <c r="W762" t="s">
        <v>13736</v>
      </c>
      <c r="X762" t="s">
        <v>13737</v>
      </c>
      <c r="Y762" t="s">
        <v>13738</v>
      </c>
      <c r="Z762" t="s">
        <v>13739</v>
      </c>
      <c r="AA762" t="s">
        <v>74</v>
      </c>
      <c r="AB762" t="s">
        <v>74</v>
      </c>
      <c r="AC762" t="s">
        <v>74</v>
      </c>
      <c r="AD762" t="s">
        <v>74</v>
      </c>
      <c r="AE762" t="s">
        <v>74</v>
      </c>
      <c r="AF762" t="s">
        <v>74</v>
      </c>
      <c r="AG762">
        <v>40</v>
      </c>
      <c r="AH762">
        <v>0</v>
      </c>
      <c r="AI762">
        <v>0</v>
      </c>
      <c r="AJ762">
        <v>0</v>
      </c>
      <c r="AK762">
        <v>0</v>
      </c>
      <c r="AL762" t="s">
        <v>90</v>
      </c>
      <c r="AM762" t="s">
        <v>91</v>
      </c>
      <c r="AN762" t="s">
        <v>92</v>
      </c>
      <c r="AO762" t="s">
        <v>13740</v>
      </c>
      <c r="AP762" t="s">
        <v>13741</v>
      </c>
      <c r="AQ762" t="s">
        <v>74</v>
      </c>
      <c r="AR762" t="s">
        <v>13742</v>
      </c>
      <c r="AS762" t="s">
        <v>13743</v>
      </c>
      <c r="AT762" t="s">
        <v>13744</v>
      </c>
      <c r="AU762">
        <v>2023</v>
      </c>
      <c r="AV762">
        <v>45</v>
      </c>
      <c r="AW762">
        <v>4</v>
      </c>
      <c r="AX762" t="s">
        <v>74</v>
      </c>
      <c r="AY762" t="s">
        <v>74</v>
      </c>
      <c r="AZ762" t="s">
        <v>74</v>
      </c>
      <c r="BA762" t="s">
        <v>74</v>
      </c>
      <c r="BB762">
        <v>294</v>
      </c>
      <c r="BC762">
        <v>298</v>
      </c>
      <c r="BD762" t="s">
        <v>74</v>
      </c>
      <c r="BE762" t="s">
        <v>13745</v>
      </c>
      <c r="BF762" t="str">
        <f>HYPERLINK("http://dx.doi.org/10.1016/j.ejr.2023.08.001","http://dx.doi.org/10.1016/j.ejr.2023.08.001")</f>
        <v>http://dx.doi.org/10.1016/j.ejr.2023.08.001</v>
      </c>
      <c r="BG762" t="s">
        <v>74</v>
      </c>
      <c r="BH762" t="s">
        <v>74</v>
      </c>
      <c r="BI762">
        <v>5</v>
      </c>
      <c r="BJ762" t="s">
        <v>521</v>
      </c>
      <c r="BK762" t="s">
        <v>1850</v>
      </c>
      <c r="BL762" t="s">
        <v>521</v>
      </c>
      <c r="BM762" t="s">
        <v>13746</v>
      </c>
      <c r="BN762" t="s">
        <v>74</v>
      </c>
      <c r="BO762" t="s">
        <v>295</v>
      </c>
      <c r="BP762" t="s">
        <v>74</v>
      </c>
      <c r="BQ762" t="s">
        <v>74</v>
      </c>
      <c r="BR762" t="s">
        <v>104</v>
      </c>
      <c r="BS762" t="s">
        <v>13747</v>
      </c>
      <c r="BT762" t="str">
        <f>HYPERLINK("https%3A%2F%2Fwww.webofscience.com%2Fwos%2Fwoscc%2Ffull-record%2FWOS:001070797900001","View Full Record in Web of Science")</f>
        <v>View Full Record in Web of Science</v>
      </c>
    </row>
    <row r="763" spans="1:72" x14ac:dyDescent="0.15">
      <c r="A763" t="s">
        <v>72</v>
      </c>
      <c r="B763" t="s">
        <v>13748</v>
      </c>
      <c r="C763" t="s">
        <v>74</v>
      </c>
      <c r="D763" t="s">
        <v>74</v>
      </c>
      <c r="E763" t="s">
        <v>74</v>
      </c>
      <c r="F763" t="s">
        <v>13749</v>
      </c>
      <c r="G763" t="s">
        <v>74</v>
      </c>
      <c r="H763" t="s">
        <v>74</v>
      </c>
      <c r="I763" t="s">
        <v>13750</v>
      </c>
      <c r="J763" t="s">
        <v>13751</v>
      </c>
      <c r="K763" t="s">
        <v>74</v>
      </c>
      <c r="L763" t="s">
        <v>74</v>
      </c>
      <c r="M763" t="s">
        <v>78</v>
      </c>
      <c r="N763" t="s">
        <v>241</v>
      </c>
      <c r="O763" t="s">
        <v>74</v>
      </c>
      <c r="P763" t="s">
        <v>74</v>
      </c>
      <c r="Q763" t="s">
        <v>74</v>
      </c>
      <c r="R763" t="s">
        <v>74</v>
      </c>
      <c r="S763" t="s">
        <v>74</v>
      </c>
      <c r="T763" t="s">
        <v>13752</v>
      </c>
      <c r="U763" t="s">
        <v>13753</v>
      </c>
      <c r="V763" t="s">
        <v>13754</v>
      </c>
      <c r="W763" t="s">
        <v>13755</v>
      </c>
      <c r="X763" t="s">
        <v>13756</v>
      </c>
      <c r="Y763" t="s">
        <v>13757</v>
      </c>
      <c r="Z763" t="s">
        <v>13758</v>
      </c>
      <c r="AA763" t="s">
        <v>13759</v>
      </c>
      <c r="AB763" t="s">
        <v>13760</v>
      </c>
      <c r="AC763" t="s">
        <v>74</v>
      </c>
      <c r="AD763" t="s">
        <v>74</v>
      </c>
      <c r="AE763" t="s">
        <v>74</v>
      </c>
      <c r="AF763" t="s">
        <v>74</v>
      </c>
      <c r="AG763">
        <v>84</v>
      </c>
      <c r="AH763">
        <v>0</v>
      </c>
      <c r="AI763">
        <v>0</v>
      </c>
      <c r="AJ763">
        <v>1</v>
      </c>
      <c r="AK763">
        <v>1</v>
      </c>
      <c r="AL763" t="s">
        <v>90</v>
      </c>
      <c r="AM763" t="s">
        <v>91</v>
      </c>
      <c r="AN763" t="s">
        <v>92</v>
      </c>
      <c r="AO763" t="s">
        <v>13761</v>
      </c>
      <c r="AP763" t="s">
        <v>74</v>
      </c>
      <c r="AQ763" t="s">
        <v>74</v>
      </c>
      <c r="AR763" t="s">
        <v>13762</v>
      </c>
      <c r="AS763" t="s">
        <v>13763</v>
      </c>
      <c r="AT763" t="s">
        <v>13744</v>
      </c>
      <c r="AU763">
        <v>2023</v>
      </c>
      <c r="AV763">
        <v>57</v>
      </c>
      <c r="AW763" t="s">
        <v>74</v>
      </c>
      <c r="AX763" t="s">
        <v>74</v>
      </c>
      <c r="AY763" t="s">
        <v>74</v>
      </c>
      <c r="AZ763" t="s">
        <v>74</v>
      </c>
      <c r="BA763" t="s">
        <v>74</v>
      </c>
      <c r="BB763" t="s">
        <v>74</v>
      </c>
      <c r="BC763" t="s">
        <v>74</v>
      </c>
      <c r="BD763" t="s">
        <v>74</v>
      </c>
      <c r="BE763" t="s">
        <v>13764</v>
      </c>
      <c r="BF763" t="str">
        <f>HYPERLINK("http://dx.doi.org/10.1016/j.clnesp.2023.08.005","http://dx.doi.org/10.1016/j.clnesp.2023.08.005")</f>
        <v>http://dx.doi.org/10.1016/j.clnesp.2023.08.005</v>
      </c>
      <c r="BG763" t="s">
        <v>74</v>
      </c>
      <c r="BH763" t="s">
        <v>74</v>
      </c>
      <c r="BI763">
        <v>12</v>
      </c>
      <c r="BJ763" t="s">
        <v>8923</v>
      </c>
      <c r="BK763" t="s">
        <v>1850</v>
      </c>
      <c r="BL763" t="s">
        <v>8923</v>
      </c>
      <c r="BM763" t="s">
        <v>13765</v>
      </c>
      <c r="BN763">
        <v>37739708</v>
      </c>
      <c r="BO763" t="s">
        <v>74</v>
      </c>
      <c r="BP763" t="s">
        <v>74</v>
      </c>
      <c r="BQ763" t="s">
        <v>74</v>
      </c>
      <c r="BR763" t="s">
        <v>104</v>
      </c>
      <c r="BS763" t="s">
        <v>13766</v>
      </c>
      <c r="BT763" t="str">
        <f>HYPERLINK("https%3A%2F%2Fwww.webofscience.com%2Fwos%2Fwoscc%2Ffull-record%2FWOS:001055051700001","View Full Record in Web of Science")</f>
        <v>View Full Record in Web of Science</v>
      </c>
    </row>
    <row r="764" spans="1:72" x14ac:dyDescent="0.15">
      <c r="A764" t="s">
        <v>72</v>
      </c>
      <c r="B764" t="s">
        <v>13767</v>
      </c>
      <c r="C764" t="s">
        <v>74</v>
      </c>
      <c r="D764" t="s">
        <v>74</v>
      </c>
      <c r="E764" t="s">
        <v>74</v>
      </c>
      <c r="F764" t="s">
        <v>13768</v>
      </c>
      <c r="G764" t="s">
        <v>74</v>
      </c>
      <c r="H764" t="s">
        <v>74</v>
      </c>
      <c r="I764" t="s">
        <v>13769</v>
      </c>
      <c r="J764" t="s">
        <v>12526</v>
      </c>
      <c r="K764" t="s">
        <v>74</v>
      </c>
      <c r="L764" t="s">
        <v>74</v>
      </c>
      <c r="M764" t="s">
        <v>78</v>
      </c>
      <c r="N764" t="s">
        <v>79</v>
      </c>
      <c r="O764" t="s">
        <v>74</v>
      </c>
      <c r="P764" t="s">
        <v>74</v>
      </c>
      <c r="Q764" t="s">
        <v>74</v>
      </c>
      <c r="R764" t="s">
        <v>74</v>
      </c>
      <c r="S764" t="s">
        <v>74</v>
      </c>
      <c r="T764" t="s">
        <v>13770</v>
      </c>
      <c r="U764" t="s">
        <v>13771</v>
      </c>
      <c r="V764" t="s">
        <v>13772</v>
      </c>
      <c r="W764" t="s">
        <v>13773</v>
      </c>
      <c r="X764" t="s">
        <v>13774</v>
      </c>
      <c r="Y764" t="s">
        <v>13775</v>
      </c>
      <c r="Z764" t="s">
        <v>13776</v>
      </c>
      <c r="AA764" t="s">
        <v>74</v>
      </c>
      <c r="AB764" t="s">
        <v>13777</v>
      </c>
      <c r="AC764" t="s">
        <v>74</v>
      </c>
      <c r="AD764" t="s">
        <v>74</v>
      </c>
      <c r="AE764" t="s">
        <v>74</v>
      </c>
      <c r="AF764" t="s">
        <v>74</v>
      </c>
      <c r="AG764">
        <v>61</v>
      </c>
      <c r="AH764">
        <v>0</v>
      </c>
      <c r="AI764">
        <v>0</v>
      </c>
      <c r="AJ764">
        <v>2</v>
      </c>
      <c r="AK764">
        <v>2</v>
      </c>
      <c r="AL764" t="s">
        <v>955</v>
      </c>
      <c r="AM764" t="s">
        <v>956</v>
      </c>
      <c r="AN764" t="s">
        <v>957</v>
      </c>
      <c r="AO764" t="s">
        <v>12538</v>
      </c>
      <c r="AP764" t="s">
        <v>12539</v>
      </c>
      <c r="AQ764" t="s">
        <v>74</v>
      </c>
      <c r="AR764" t="s">
        <v>12540</v>
      </c>
      <c r="AS764" t="s">
        <v>12541</v>
      </c>
      <c r="AT764" t="s">
        <v>13778</v>
      </c>
      <c r="AU764">
        <v>2023</v>
      </c>
      <c r="AV764">
        <v>307</v>
      </c>
      <c r="AW764" t="s">
        <v>74</v>
      </c>
      <c r="AX764" t="s">
        <v>74</v>
      </c>
      <c r="AY764" t="s">
        <v>74</v>
      </c>
      <c r="AZ764" t="s">
        <v>74</v>
      </c>
      <c r="BA764" t="s">
        <v>74</v>
      </c>
      <c r="BB764" t="s">
        <v>74</v>
      </c>
      <c r="BC764" t="s">
        <v>74</v>
      </c>
      <c r="BD764">
        <v>128195</v>
      </c>
      <c r="BE764" t="s">
        <v>13779</v>
      </c>
      <c r="BF764" t="str">
        <f>HYPERLINK("http://dx.doi.org/10.1016/j.matchemphys.2023.128195","http://dx.doi.org/10.1016/j.matchemphys.2023.128195")</f>
        <v>http://dx.doi.org/10.1016/j.matchemphys.2023.128195</v>
      </c>
      <c r="BG764" t="s">
        <v>74</v>
      </c>
      <c r="BH764" t="s">
        <v>74</v>
      </c>
      <c r="BI764">
        <v>12</v>
      </c>
      <c r="BJ764" t="s">
        <v>1111</v>
      </c>
      <c r="BK764" t="s">
        <v>100</v>
      </c>
      <c r="BL764" t="s">
        <v>1112</v>
      </c>
      <c r="BM764" t="s">
        <v>13780</v>
      </c>
      <c r="BN764" t="s">
        <v>74</v>
      </c>
      <c r="BO764" t="s">
        <v>74</v>
      </c>
      <c r="BP764" t="s">
        <v>74</v>
      </c>
      <c r="BQ764" t="s">
        <v>74</v>
      </c>
      <c r="BR764" t="s">
        <v>104</v>
      </c>
      <c r="BS764" t="s">
        <v>13781</v>
      </c>
      <c r="BT764" t="str">
        <f>HYPERLINK("https%3A%2F%2Fwww.webofscience.com%2Fwos%2Fwoscc%2Ffull-record%2FWOS:001049699000001","View Full Record in Web of Science")</f>
        <v>View Full Record in Web of Science</v>
      </c>
    </row>
    <row r="765" spans="1:72" x14ac:dyDescent="0.15">
      <c r="A765" t="s">
        <v>72</v>
      </c>
      <c r="B765" t="s">
        <v>13782</v>
      </c>
      <c r="C765" t="s">
        <v>74</v>
      </c>
      <c r="D765" t="s">
        <v>74</v>
      </c>
      <c r="E765" t="s">
        <v>74</v>
      </c>
      <c r="F765" t="s">
        <v>13783</v>
      </c>
      <c r="G765" t="s">
        <v>74</v>
      </c>
      <c r="H765" t="s">
        <v>74</v>
      </c>
      <c r="I765" t="s">
        <v>13784</v>
      </c>
      <c r="J765" t="s">
        <v>8066</v>
      </c>
      <c r="K765" t="s">
        <v>74</v>
      </c>
      <c r="L765" t="s">
        <v>74</v>
      </c>
      <c r="M765" t="s">
        <v>78</v>
      </c>
      <c r="N765" t="s">
        <v>510</v>
      </c>
      <c r="O765" t="s">
        <v>74</v>
      </c>
      <c r="P765" t="s">
        <v>74</v>
      </c>
      <c r="Q765" t="s">
        <v>74</v>
      </c>
      <c r="R765" t="s">
        <v>74</v>
      </c>
      <c r="S765" t="s">
        <v>74</v>
      </c>
      <c r="T765" t="s">
        <v>74</v>
      </c>
      <c r="U765" t="s">
        <v>74</v>
      </c>
      <c r="V765" t="s">
        <v>74</v>
      </c>
      <c r="W765" t="s">
        <v>13785</v>
      </c>
      <c r="X765" t="s">
        <v>74</v>
      </c>
      <c r="Y765" t="s">
        <v>13786</v>
      </c>
      <c r="Z765" t="s">
        <v>74</v>
      </c>
      <c r="AA765" t="s">
        <v>74</v>
      </c>
      <c r="AB765" t="s">
        <v>74</v>
      </c>
      <c r="AC765" t="s">
        <v>74</v>
      </c>
      <c r="AD765" t="s">
        <v>74</v>
      </c>
      <c r="AE765" t="s">
        <v>74</v>
      </c>
      <c r="AF765" t="s">
        <v>74</v>
      </c>
      <c r="AG765">
        <v>5</v>
      </c>
      <c r="AH765">
        <v>0</v>
      </c>
      <c r="AI765">
        <v>0</v>
      </c>
      <c r="AJ765">
        <v>0</v>
      </c>
      <c r="AK765">
        <v>0</v>
      </c>
      <c r="AL765" t="s">
        <v>8072</v>
      </c>
      <c r="AM765" t="s">
        <v>148</v>
      </c>
      <c r="AN765" t="s">
        <v>8073</v>
      </c>
      <c r="AO765" t="s">
        <v>8074</v>
      </c>
      <c r="AP765" t="s">
        <v>8075</v>
      </c>
      <c r="AQ765" t="s">
        <v>74</v>
      </c>
      <c r="AR765" t="s">
        <v>8076</v>
      </c>
      <c r="AS765" t="s">
        <v>8077</v>
      </c>
      <c r="AT765" t="s">
        <v>13744</v>
      </c>
      <c r="AU765">
        <v>2023</v>
      </c>
      <c r="AV765">
        <v>48</v>
      </c>
      <c r="AW765">
        <v>10</v>
      </c>
      <c r="AX765" t="s">
        <v>74</v>
      </c>
      <c r="AY765" t="s">
        <v>74</v>
      </c>
      <c r="AZ765" t="s">
        <v>74</v>
      </c>
      <c r="BA765" t="s">
        <v>74</v>
      </c>
      <c r="BB765" t="s">
        <v>74</v>
      </c>
      <c r="BC765" t="s">
        <v>74</v>
      </c>
      <c r="BD765">
        <v>101882</v>
      </c>
      <c r="BE765" t="s">
        <v>13787</v>
      </c>
      <c r="BF765" t="str">
        <f>HYPERLINK("http://dx.doi.org/10.1016/j.cpcardiol.2023.101882","http://dx.doi.org/10.1016/j.cpcardiol.2023.101882")</f>
        <v>http://dx.doi.org/10.1016/j.cpcardiol.2023.101882</v>
      </c>
      <c r="BG765" t="s">
        <v>74</v>
      </c>
      <c r="BH765" t="s">
        <v>74</v>
      </c>
      <c r="BI765">
        <v>3</v>
      </c>
      <c r="BJ765" t="s">
        <v>8079</v>
      </c>
      <c r="BK765" t="s">
        <v>100</v>
      </c>
      <c r="BL765" t="s">
        <v>8080</v>
      </c>
      <c r="BM765" t="s">
        <v>13788</v>
      </c>
      <c r="BN765">
        <v>37339725</v>
      </c>
      <c r="BO765" t="s">
        <v>74</v>
      </c>
      <c r="BP765" t="s">
        <v>74</v>
      </c>
      <c r="BQ765" t="s">
        <v>74</v>
      </c>
      <c r="BR765" t="s">
        <v>104</v>
      </c>
      <c r="BS765" t="s">
        <v>13789</v>
      </c>
      <c r="BT765" t="str">
        <f>HYPERLINK("https%3A%2F%2Fwww.webofscience.com%2Fwos%2Fwoscc%2Ffull-record%2FWOS:001043977400001","View Full Record in Web of Science")</f>
        <v>View Full Record in Web of Science</v>
      </c>
    </row>
    <row r="766" spans="1:72" x14ac:dyDescent="0.15">
      <c r="A766" t="s">
        <v>72</v>
      </c>
      <c r="B766" t="s">
        <v>13790</v>
      </c>
      <c r="C766" t="s">
        <v>74</v>
      </c>
      <c r="D766" t="s">
        <v>74</v>
      </c>
      <c r="E766" t="s">
        <v>74</v>
      </c>
      <c r="F766" t="s">
        <v>13791</v>
      </c>
      <c r="G766" t="s">
        <v>74</v>
      </c>
      <c r="H766" t="s">
        <v>74</v>
      </c>
      <c r="I766" t="s">
        <v>13792</v>
      </c>
      <c r="J766" t="s">
        <v>13793</v>
      </c>
      <c r="K766" t="s">
        <v>74</v>
      </c>
      <c r="L766" t="s">
        <v>74</v>
      </c>
      <c r="M766" t="s">
        <v>78</v>
      </c>
      <c r="N766" t="s">
        <v>79</v>
      </c>
      <c r="O766" t="s">
        <v>74</v>
      </c>
      <c r="P766" t="s">
        <v>74</v>
      </c>
      <c r="Q766" t="s">
        <v>74</v>
      </c>
      <c r="R766" t="s">
        <v>74</v>
      </c>
      <c r="S766" t="s">
        <v>74</v>
      </c>
      <c r="T766" t="s">
        <v>13794</v>
      </c>
      <c r="U766" t="s">
        <v>13795</v>
      </c>
      <c r="V766" t="s">
        <v>13796</v>
      </c>
      <c r="W766" t="s">
        <v>13797</v>
      </c>
      <c r="X766" t="s">
        <v>13798</v>
      </c>
      <c r="Y766" t="s">
        <v>13799</v>
      </c>
      <c r="Z766" t="s">
        <v>13800</v>
      </c>
      <c r="AA766" t="s">
        <v>74</v>
      </c>
      <c r="AB766" t="s">
        <v>13801</v>
      </c>
      <c r="AC766" t="s">
        <v>13802</v>
      </c>
      <c r="AD766" t="s">
        <v>13802</v>
      </c>
      <c r="AE766" t="s">
        <v>13803</v>
      </c>
      <c r="AF766" t="s">
        <v>74</v>
      </c>
      <c r="AG766">
        <v>44</v>
      </c>
      <c r="AH766">
        <v>0</v>
      </c>
      <c r="AI766">
        <v>0</v>
      </c>
      <c r="AJ766">
        <v>2</v>
      </c>
      <c r="AK766">
        <v>2</v>
      </c>
      <c r="AL766" t="s">
        <v>955</v>
      </c>
      <c r="AM766" t="s">
        <v>956</v>
      </c>
      <c r="AN766" t="s">
        <v>957</v>
      </c>
      <c r="AO766" t="s">
        <v>13804</v>
      </c>
      <c r="AP766" t="s">
        <v>13805</v>
      </c>
      <c r="AQ766" t="s">
        <v>74</v>
      </c>
      <c r="AR766" t="s">
        <v>13806</v>
      </c>
      <c r="AS766" t="s">
        <v>13807</v>
      </c>
      <c r="AT766" t="s">
        <v>13778</v>
      </c>
      <c r="AU766">
        <v>2023</v>
      </c>
      <c r="AV766">
        <v>415</v>
      </c>
      <c r="AW766" t="s">
        <v>74</v>
      </c>
      <c r="AX766" t="s">
        <v>74</v>
      </c>
      <c r="AY766" t="s">
        <v>74</v>
      </c>
      <c r="AZ766" t="s">
        <v>74</v>
      </c>
      <c r="BA766" t="s">
        <v>74</v>
      </c>
      <c r="BB766" t="s">
        <v>74</v>
      </c>
      <c r="BC766" t="s">
        <v>74</v>
      </c>
      <c r="BD766">
        <v>116296</v>
      </c>
      <c r="BE766" t="s">
        <v>13808</v>
      </c>
      <c r="BF766" t="str">
        <f>HYPERLINK("http://dx.doi.org/10.1016/j.cma.2023.116296","http://dx.doi.org/10.1016/j.cma.2023.116296")</f>
        <v>http://dx.doi.org/10.1016/j.cma.2023.116296</v>
      </c>
      <c r="BG766" t="s">
        <v>74</v>
      </c>
      <c r="BH766" t="s">
        <v>74</v>
      </c>
      <c r="BI766">
        <v>26</v>
      </c>
      <c r="BJ766" t="s">
        <v>9089</v>
      </c>
      <c r="BK766" t="s">
        <v>100</v>
      </c>
      <c r="BL766" t="s">
        <v>9090</v>
      </c>
      <c r="BM766" t="s">
        <v>13809</v>
      </c>
      <c r="BN766" t="s">
        <v>74</v>
      </c>
      <c r="BO766" t="s">
        <v>103</v>
      </c>
      <c r="BP766" t="s">
        <v>74</v>
      </c>
      <c r="BQ766" t="s">
        <v>74</v>
      </c>
      <c r="BR766" t="s">
        <v>104</v>
      </c>
      <c r="BS766" t="s">
        <v>13810</v>
      </c>
      <c r="BT766" t="str">
        <f>HYPERLINK("https%3A%2F%2Fwww.webofscience.com%2Fwos%2Fwoscc%2Ffull-record%2FWOS:001051829800001","View Full Record in Web of Science")</f>
        <v>View Full Record in Web of Science</v>
      </c>
    </row>
    <row r="767" spans="1:72" x14ac:dyDescent="0.15">
      <c r="A767" t="s">
        <v>72</v>
      </c>
      <c r="B767" t="s">
        <v>13811</v>
      </c>
      <c r="C767" t="s">
        <v>74</v>
      </c>
      <c r="D767" t="s">
        <v>74</v>
      </c>
      <c r="E767" t="s">
        <v>74</v>
      </c>
      <c r="F767" t="s">
        <v>13812</v>
      </c>
      <c r="G767" t="s">
        <v>74</v>
      </c>
      <c r="H767" t="s">
        <v>74</v>
      </c>
      <c r="I767" t="s">
        <v>13813</v>
      </c>
      <c r="J767" t="s">
        <v>13814</v>
      </c>
      <c r="K767" t="s">
        <v>74</v>
      </c>
      <c r="L767" t="s">
        <v>74</v>
      </c>
      <c r="M767" t="s">
        <v>78</v>
      </c>
      <c r="N767" t="s">
        <v>79</v>
      </c>
      <c r="O767" t="s">
        <v>74</v>
      </c>
      <c r="P767" t="s">
        <v>74</v>
      </c>
      <c r="Q767" t="s">
        <v>74</v>
      </c>
      <c r="R767" t="s">
        <v>74</v>
      </c>
      <c r="S767" t="s">
        <v>74</v>
      </c>
      <c r="T767" t="s">
        <v>74</v>
      </c>
      <c r="U767" t="s">
        <v>13815</v>
      </c>
      <c r="V767" t="s">
        <v>13816</v>
      </c>
      <c r="W767" t="s">
        <v>13817</v>
      </c>
      <c r="X767" t="s">
        <v>13818</v>
      </c>
      <c r="Y767" t="s">
        <v>13819</v>
      </c>
      <c r="Z767" t="s">
        <v>13820</v>
      </c>
      <c r="AA767" t="s">
        <v>74</v>
      </c>
      <c r="AB767" t="s">
        <v>13821</v>
      </c>
      <c r="AC767" t="s">
        <v>13822</v>
      </c>
      <c r="AD767" t="s">
        <v>13823</v>
      </c>
      <c r="AE767" t="s">
        <v>13824</v>
      </c>
      <c r="AF767" t="s">
        <v>74</v>
      </c>
      <c r="AG767">
        <v>47</v>
      </c>
      <c r="AH767">
        <v>0</v>
      </c>
      <c r="AI767">
        <v>0</v>
      </c>
      <c r="AJ767">
        <v>1</v>
      </c>
      <c r="AK767">
        <v>1</v>
      </c>
      <c r="AL767" t="s">
        <v>90</v>
      </c>
      <c r="AM767" t="s">
        <v>91</v>
      </c>
      <c r="AN767" t="s">
        <v>92</v>
      </c>
      <c r="AO767" t="s">
        <v>13825</v>
      </c>
      <c r="AP767" t="s">
        <v>13826</v>
      </c>
      <c r="AQ767" t="s">
        <v>74</v>
      </c>
      <c r="AR767" t="s">
        <v>13827</v>
      </c>
      <c r="AS767" t="s">
        <v>13828</v>
      </c>
      <c r="AT767" t="s">
        <v>13744</v>
      </c>
      <c r="AU767">
        <v>2023</v>
      </c>
      <c r="AV767">
        <v>54</v>
      </c>
      <c r="AW767" t="s">
        <v>74</v>
      </c>
      <c r="AX767" t="s">
        <v>74</v>
      </c>
      <c r="AY767" t="s">
        <v>74</v>
      </c>
      <c r="AZ767" t="s">
        <v>74</v>
      </c>
      <c r="BA767" t="s">
        <v>74</v>
      </c>
      <c r="BB767">
        <v>1</v>
      </c>
      <c r="BC767">
        <v>4</v>
      </c>
      <c r="BD767" t="s">
        <v>74</v>
      </c>
      <c r="BE767" t="s">
        <v>13829</v>
      </c>
      <c r="BF767" t="str">
        <f>HYPERLINK("http://dx.doi.org/10.1016/j.cap.2023.06.004","http://dx.doi.org/10.1016/j.cap.2023.06.004")</f>
        <v>http://dx.doi.org/10.1016/j.cap.2023.06.004</v>
      </c>
      <c r="BG767" t="s">
        <v>74</v>
      </c>
      <c r="BH767" t="s">
        <v>74</v>
      </c>
      <c r="BI767">
        <v>4</v>
      </c>
      <c r="BJ767" t="s">
        <v>3021</v>
      </c>
      <c r="BK767" t="s">
        <v>100</v>
      </c>
      <c r="BL767" t="s">
        <v>3022</v>
      </c>
      <c r="BM767" t="s">
        <v>13830</v>
      </c>
      <c r="BN767" t="s">
        <v>74</v>
      </c>
      <c r="BO767" t="s">
        <v>74</v>
      </c>
      <c r="BP767" t="s">
        <v>74</v>
      </c>
      <c r="BQ767" t="s">
        <v>74</v>
      </c>
      <c r="BR767" t="s">
        <v>104</v>
      </c>
      <c r="BS767" t="s">
        <v>13831</v>
      </c>
      <c r="BT767" t="str">
        <f>HYPERLINK("https%3A%2F%2Fwww.webofscience.com%2Fwos%2Fwoscc%2Ffull-record%2FWOS:001051121400001","View Full Record in Web of Science")</f>
        <v>View Full Record in Web of Science</v>
      </c>
    </row>
    <row r="768" spans="1:72" x14ac:dyDescent="0.15">
      <c r="A768" t="s">
        <v>72</v>
      </c>
      <c r="B768" t="s">
        <v>13832</v>
      </c>
      <c r="C768" t="s">
        <v>74</v>
      </c>
      <c r="D768" t="s">
        <v>74</v>
      </c>
      <c r="E768" t="s">
        <v>74</v>
      </c>
      <c r="F768" t="s">
        <v>13833</v>
      </c>
      <c r="G768" t="s">
        <v>74</v>
      </c>
      <c r="H768" t="s">
        <v>74</v>
      </c>
      <c r="I768" t="s">
        <v>13834</v>
      </c>
      <c r="J768" t="s">
        <v>13835</v>
      </c>
      <c r="K768" t="s">
        <v>74</v>
      </c>
      <c r="L768" t="s">
        <v>74</v>
      </c>
      <c r="M768" t="s">
        <v>78</v>
      </c>
      <c r="N768" t="s">
        <v>79</v>
      </c>
      <c r="O768" t="s">
        <v>74</v>
      </c>
      <c r="P768" t="s">
        <v>74</v>
      </c>
      <c r="Q768" t="s">
        <v>74</v>
      </c>
      <c r="R768" t="s">
        <v>74</v>
      </c>
      <c r="S768" t="s">
        <v>74</v>
      </c>
      <c r="T768" t="s">
        <v>13836</v>
      </c>
      <c r="U768" t="s">
        <v>13837</v>
      </c>
      <c r="V768" t="s">
        <v>13838</v>
      </c>
      <c r="W768" t="s">
        <v>13839</v>
      </c>
      <c r="X768" t="s">
        <v>13840</v>
      </c>
      <c r="Y768" t="s">
        <v>13841</v>
      </c>
      <c r="Z768" t="s">
        <v>13842</v>
      </c>
      <c r="AA768" t="s">
        <v>13843</v>
      </c>
      <c r="AB768" t="s">
        <v>13844</v>
      </c>
      <c r="AC768" t="s">
        <v>13845</v>
      </c>
      <c r="AD768" t="s">
        <v>13846</v>
      </c>
      <c r="AE768" t="s">
        <v>13847</v>
      </c>
      <c r="AF768" t="s">
        <v>74</v>
      </c>
      <c r="AG768">
        <v>42</v>
      </c>
      <c r="AH768">
        <v>0</v>
      </c>
      <c r="AI768">
        <v>0</v>
      </c>
      <c r="AJ768">
        <v>1</v>
      </c>
      <c r="AK768">
        <v>1</v>
      </c>
      <c r="AL768" t="s">
        <v>475</v>
      </c>
      <c r="AM768" t="s">
        <v>476</v>
      </c>
      <c r="AN768" t="s">
        <v>477</v>
      </c>
      <c r="AO768" t="s">
        <v>13848</v>
      </c>
      <c r="AP768" t="s">
        <v>13849</v>
      </c>
      <c r="AQ768" t="s">
        <v>74</v>
      </c>
      <c r="AR768" t="s">
        <v>13850</v>
      </c>
      <c r="AS768" t="s">
        <v>13851</v>
      </c>
      <c r="AT768" t="s">
        <v>13744</v>
      </c>
      <c r="AU768">
        <v>2023</v>
      </c>
      <c r="AV768">
        <v>139</v>
      </c>
      <c r="AW768" t="s">
        <v>74</v>
      </c>
      <c r="AX768" t="s">
        <v>74</v>
      </c>
      <c r="AY768" t="s">
        <v>74</v>
      </c>
      <c r="AZ768" t="s">
        <v>74</v>
      </c>
      <c r="BA768" t="s">
        <v>74</v>
      </c>
      <c r="BB768" t="s">
        <v>74</v>
      </c>
      <c r="BC768" t="s">
        <v>74</v>
      </c>
      <c r="BD768">
        <v>106716</v>
      </c>
      <c r="BE768" t="s">
        <v>13852</v>
      </c>
      <c r="BF768" t="str">
        <f>HYPERLINK("http://dx.doi.org/10.1016/j.bioorg.2023.106716","http://dx.doi.org/10.1016/j.bioorg.2023.106716")</f>
        <v>http://dx.doi.org/10.1016/j.bioorg.2023.106716</v>
      </c>
      <c r="BG768" t="s">
        <v>74</v>
      </c>
      <c r="BH768" t="s">
        <v>74</v>
      </c>
      <c r="BI768">
        <v>13</v>
      </c>
      <c r="BJ768" t="s">
        <v>13853</v>
      </c>
      <c r="BK768" t="s">
        <v>13854</v>
      </c>
      <c r="BL768" t="s">
        <v>13855</v>
      </c>
      <c r="BM768" t="s">
        <v>13856</v>
      </c>
      <c r="BN768">
        <v>37459825</v>
      </c>
      <c r="BO768" t="s">
        <v>74</v>
      </c>
      <c r="BP768" t="s">
        <v>74</v>
      </c>
      <c r="BQ768" t="s">
        <v>74</v>
      </c>
      <c r="BR768" t="s">
        <v>104</v>
      </c>
      <c r="BS768" t="s">
        <v>13857</v>
      </c>
      <c r="BT768" t="str">
        <f>HYPERLINK("https%3A%2F%2Fwww.webofscience.com%2Fwos%2Fwoscc%2Ffull-record%2FWOS:001037983300001","View Full Record in Web of Science")</f>
        <v>View Full Record in Web of Science</v>
      </c>
    </row>
    <row r="769" spans="1:72" x14ac:dyDescent="0.15">
      <c r="A769" t="s">
        <v>72</v>
      </c>
      <c r="B769" t="s">
        <v>13858</v>
      </c>
      <c r="C769" t="s">
        <v>74</v>
      </c>
      <c r="D769" t="s">
        <v>74</v>
      </c>
      <c r="E769" t="s">
        <v>74</v>
      </c>
      <c r="F769" t="s">
        <v>13859</v>
      </c>
      <c r="G769" t="s">
        <v>74</v>
      </c>
      <c r="H769" t="s">
        <v>74</v>
      </c>
      <c r="I769" t="s">
        <v>13860</v>
      </c>
      <c r="J769" t="s">
        <v>13861</v>
      </c>
      <c r="K769" t="s">
        <v>74</v>
      </c>
      <c r="L769" t="s">
        <v>74</v>
      </c>
      <c r="M769" t="s">
        <v>78</v>
      </c>
      <c r="N769" t="s">
        <v>79</v>
      </c>
      <c r="O769" t="s">
        <v>74</v>
      </c>
      <c r="P769" t="s">
        <v>74</v>
      </c>
      <c r="Q769" t="s">
        <v>74</v>
      </c>
      <c r="R769" t="s">
        <v>74</v>
      </c>
      <c r="S769" t="s">
        <v>74</v>
      </c>
      <c r="T769" t="s">
        <v>13862</v>
      </c>
      <c r="U769" t="s">
        <v>13863</v>
      </c>
      <c r="V769" t="s">
        <v>13864</v>
      </c>
      <c r="W769" t="s">
        <v>13865</v>
      </c>
      <c r="X769" t="s">
        <v>13866</v>
      </c>
      <c r="Y769" t="s">
        <v>13867</v>
      </c>
      <c r="Z769" t="s">
        <v>13868</v>
      </c>
      <c r="AA769" t="s">
        <v>13869</v>
      </c>
      <c r="AB769" t="s">
        <v>13870</v>
      </c>
      <c r="AC769" t="s">
        <v>13871</v>
      </c>
      <c r="AD769" t="s">
        <v>978</v>
      </c>
      <c r="AE769" t="s">
        <v>13872</v>
      </c>
      <c r="AF769" t="s">
        <v>74</v>
      </c>
      <c r="AG769">
        <v>65</v>
      </c>
      <c r="AH769">
        <v>0</v>
      </c>
      <c r="AI769">
        <v>0</v>
      </c>
      <c r="AJ769">
        <v>0</v>
      </c>
      <c r="AK769">
        <v>0</v>
      </c>
      <c r="AL769" t="s">
        <v>173</v>
      </c>
      <c r="AM769" t="s">
        <v>121</v>
      </c>
      <c r="AN769" t="s">
        <v>174</v>
      </c>
      <c r="AO769" t="s">
        <v>13873</v>
      </c>
      <c r="AP769" t="s">
        <v>13874</v>
      </c>
      <c r="AQ769" t="s">
        <v>74</v>
      </c>
      <c r="AR769" t="s">
        <v>13875</v>
      </c>
      <c r="AS769" t="s">
        <v>13876</v>
      </c>
      <c r="AT769" t="s">
        <v>13744</v>
      </c>
      <c r="AU769">
        <v>2023</v>
      </c>
      <c r="AV769">
        <v>206</v>
      </c>
      <c r="AW769" t="s">
        <v>74</v>
      </c>
      <c r="AX769" t="s">
        <v>74</v>
      </c>
      <c r="AY769" t="s">
        <v>74</v>
      </c>
      <c r="AZ769" t="s">
        <v>74</v>
      </c>
      <c r="BA769" t="s">
        <v>74</v>
      </c>
      <c r="BB769" t="s">
        <v>74</v>
      </c>
      <c r="BC769" t="s">
        <v>74</v>
      </c>
      <c r="BD769">
        <v>105025</v>
      </c>
      <c r="BE769" t="s">
        <v>13877</v>
      </c>
      <c r="BF769" t="str">
        <f>HYPERLINK("http://dx.doi.org/10.1016/j.jafrearsci.2023.105025","http://dx.doi.org/10.1016/j.jafrearsci.2023.105025")</f>
        <v>http://dx.doi.org/10.1016/j.jafrearsci.2023.105025</v>
      </c>
      <c r="BG769" t="s">
        <v>74</v>
      </c>
      <c r="BH769" t="s">
        <v>74</v>
      </c>
      <c r="BI769">
        <v>15</v>
      </c>
      <c r="BJ769" t="s">
        <v>2748</v>
      </c>
      <c r="BK769" t="s">
        <v>100</v>
      </c>
      <c r="BL769" t="s">
        <v>2749</v>
      </c>
      <c r="BM769" t="s">
        <v>13878</v>
      </c>
      <c r="BN769" t="s">
        <v>74</v>
      </c>
      <c r="BO769" t="s">
        <v>74</v>
      </c>
      <c r="BP769" t="s">
        <v>74</v>
      </c>
      <c r="BQ769" t="s">
        <v>74</v>
      </c>
      <c r="BR769" t="s">
        <v>104</v>
      </c>
      <c r="BS769" t="s">
        <v>13879</v>
      </c>
      <c r="BT769" t="str">
        <f>HYPERLINK("https%3A%2F%2Fwww.webofscience.com%2Fwos%2Fwoscc%2Ffull-record%2FWOS:001063551300001","View Full Record in Web of Science")</f>
        <v>View Full Record in Web of Science</v>
      </c>
    </row>
    <row r="770" spans="1:72" x14ac:dyDescent="0.15">
      <c r="A770" t="s">
        <v>72</v>
      </c>
      <c r="B770" t="s">
        <v>13880</v>
      </c>
      <c r="C770" t="s">
        <v>74</v>
      </c>
      <c r="D770" t="s">
        <v>74</v>
      </c>
      <c r="E770" t="s">
        <v>74</v>
      </c>
      <c r="F770" t="s">
        <v>13881</v>
      </c>
      <c r="G770" t="s">
        <v>74</v>
      </c>
      <c r="H770" t="s">
        <v>74</v>
      </c>
      <c r="I770" t="s">
        <v>13882</v>
      </c>
      <c r="J770" t="s">
        <v>6645</v>
      </c>
      <c r="K770" t="s">
        <v>74</v>
      </c>
      <c r="L770" t="s">
        <v>74</v>
      </c>
      <c r="M770" t="s">
        <v>78</v>
      </c>
      <c r="N770" t="s">
        <v>79</v>
      </c>
      <c r="O770" t="s">
        <v>74</v>
      </c>
      <c r="P770" t="s">
        <v>74</v>
      </c>
      <c r="Q770" t="s">
        <v>74</v>
      </c>
      <c r="R770" t="s">
        <v>74</v>
      </c>
      <c r="S770" t="s">
        <v>74</v>
      </c>
      <c r="T770" t="s">
        <v>13883</v>
      </c>
      <c r="U770" t="s">
        <v>13884</v>
      </c>
      <c r="V770" t="s">
        <v>13885</v>
      </c>
      <c r="W770" t="s">
        <v>13886</v>
      </c>
      <c r="X770" t="s">
        <v>13887</v>
      </c>
      <c r="Y770" t="s">
        <v>13888</v>
      </c>
      <c r="Z770" t="s">
        <v>13889</v>
      </c>
      <c r="AA770" t="s">
        <v>74</v>
      </c>
      <c r="AB770" t="s">
        <v>74</v>
      </c>
      <c r="AC770" t="s">
        <v>74</v>
      </c>
      <c r="AD770" t="s">
        <v>74</v>
      </c>
      <c r="AE770" t="s">
        <v>74</v>
      </c>
      <c r="AF770" t="s">
        <v>74</v>
      </c>
      <c r="AG770">
        <v>74</v>
      </c>
      <c r="AH770">
        <v>0</v>
      </c>
      <c r="AI770">
        <v>0</v>
      </c>
      <c r="AJ770">
        <v>6</v>
      </c>
      <c r="AK770">
        <v>6</v>
      </c>
      <c r="AL770" t="s">
        <v>90</v>
      </c>
      <c r="AM770" t="s">
        <v>91</v>
      </c>
      <c r="AN770" t="s">
        <v>92</v>
      </c>
      <c r="AO770" t="s">
        <v>74</v>
      </c>
      <c r="AP770" t="s">
        <v>6656</v>
      </c>
      <c r="AQ770" t="s">
        <v>74</v>
      </c>
      <c r="AR770" t="s">
        <v>6657</v>
      </c>
      <c r="AS770" t="s">
        <v>6658</v>
      </c>
      <c r="AT770" t="s">
        <v>13778</v>
      </c>
      <c r="AU770">
        <v>2023</v>
      </c>
      <c r="AV770">
        <v>76</v>
      </c>
      <c r="AW770" t="s">
        <v>74</v>
      </c>
      <c r="AX770" t="s">
        <v>74</v>
      </c>
      <c r="AY770" t="s">
        <v>74</v>
      </c>
      <c r="AZ770" t="s">
        <v>74</v>
      </c>
      <c r="BA770" t="s">
        <v>74</v>
      </c>
      <c r="BB770" t="s">
        <v>74</v>
      </c>
      <c r="BC770" t="s">
        <v>74</v>
      </c>
      <c r="BD770">
        <v>107377</v>
      </c>
      <c r="BE770" t="s">
        <v>13890</v>
      </c>
      <c r="BF770" t="str">
        <f>HYPERLINK("http://dx.doi.org/10.1016/j.jobe.2023.107377","http://dx.doi.org/10.1016/j.jobe.2023.107377")</f>
        <v>http://dx.doi.org/10.1016/j.jobe.2023.107377</v>
      </c>
      <c r="BG770" t="s">
        <v>74</v>
      </c>
      <c r="BH770" t="s">
        <v>74</v>
      </c>
      <c r="BI770">
        <v>16</v>
      </c>
      <c r="BJ770" t="s">
        <v>3898</v>
      </c>
      <c r="BK770" t="s">
        <v>100</v>
      </c>
      <c r="BL770" t="s">
        <v>3899</v>
      </c>
      <c r="BM770" t="s">
        <v>13891</v>
      </c>
      <c r="BN770" t="s">
        <v>74</v>
      </c>
      <c r="BO770" t="s">
        <v>74</v>
      </c>
      <c r="BP770" t="s">
        <v>74</v>
      </c>
      <c r="BQ770" t="s">
        <v>74</v>
      </c>
      <c r="BR770" t="s">
        <v>104</v>
      </c>
      <c r="BS770" t="s">
        <v>13892</v>
      </c>
      <c r="BT770" t="str">
        <f>HYPERLINK("https%3A%2F%2Fwww.webofscience.com%2Fwos%2Fwoscc%2Ffull-record%2FWOS:001048985200001","View Full Record in Web of Science")</f>
        <v>View Full Record in Web of Science</v>
      </c>
    </row>
    <row r="771" spans="1:72" x14ac:dyDescent="0.15">
      <c r="A771" t="s">
        <v>72</v>
      </c>
      <c r="B771" t="s">
        <v>13893</v>
      </c>
      <c r="C771" t="s">
        <v>74</v>
      </c>
      <c r="D771" t="s">
        <v>74</v>
      </c>
      <c r="E771" t="s">
        <v>74</v>
      </c>
      <c r="F771" t="s">
        <v>13894</v>
      </c>
      <c r="G771" t="s">
        <v>74</v>
      </c>
      <c r="H771" t="s">
        <v>74</v>
      </c>
      <c r="I771" t="s">
        <v>13895</v>
      </c>
      <c r="J771" t="s">
        <v>8224</v>
      </c>
      <c r="K771" t="s">
        <v>74</v>
      </c>
      <c r="L771" t="s">
        <v>74</v>
      </c>
      <c r="M771" t="s">
        <v>78</v>
      </c>
      <c r="N771" t="s">
        <v>79</v>
      </c>
      <c r="O771" t="s">
        <v>74</v>
      </c>
      <c r="P771" t="s">
        <v>74</v>
      </c>
      <c r="Q771" t="s">
        <v>74</v>
      </c>
      <c r="R771" t="s">
        <v>74</v>
      </c>
      <c r="S771" t="s">
        <v>74</v>
      </c>
      <c r="T771" t="s">
        <v>13896</v>
      </c>
      <c r="U771" t="s">
        <v>13897</v>
      </c>
      <c r="V771" t="s">
        <v>13898</v>
      </c>
      <c r="W771" t="s">
        <v>13899</v>
      </c>
      <c r="X771" t="s">
        <v>13900</v>
      </c>
      <c r="Y771" t="s">
        <v>13901</v>
      </c>
      <c r="Z771" t="s">
        <v>13902</v>
      </c>
      <c r="AA771" t="s">
        <v>74</v>
      </c>
      <c r="AB771" t="s">
        <v>74</v>
      </c>
      <c r="AC771" t="s">
        <v>13903</v>
      </c>
      <c r="AD771" t="s">
        <v>13904</v>
      </c>
      <c r="AE771" t="s">
        <v>13905</v>
      </c>
      <c r="AF771" t="s">
        <v>74</v>
      </c>
      <c r="AG771">
        <v>67</v>
      </c>
      <c r="AH771">
        <v>0</v>
      </c>
      <c r="AI771">
        <v>0</v>
      </c>
      <c r="AJ771">
        <v>1</v>
      </c>
      <c r="AK771">
        <v>1</v>
      </c>
      <c r="AL771" t="s">
        <v>90</v>
      </c>
      <c r="AM771" t="s">
        <v>91</v>
      </c>
      <c r="AN771" t="s">
        <v>92</v>
      </c>
      <c r="AO771" t="s">
        <v>8235</v>
      </c>
      <c r="AP771" t="s">
        <v>8236</v>
      </c>
      <c r="AQ771" t="s">
        <v>74</v>
      </c>
      <c r="AR771" t="s">
        <v>8237</v>
      </c>
      <c r="AS771" t="s">
        <v>8238</v>
      </c>
      <c r="AT771" t="s">
        <v>13744</v>
      </c>
      <c r="AU771">
        <v>2023</v>
      </c>
      <c r="AV771">
        <v>296</v>
      </c>
      <c r="AW771" t="s">
        <v>74</v>
      </c>
      <c r="AX771" t="s">
        <v>74</v>
      </c>
      <c r="AY771" t="s">
        <v>74</v>
      </c>
      <c r="AZ771" t="s">
        <v>74</v>
      </c>
      <c r="BA771" t="s">
        <v>74</v>
      </c>
      <c r="BB771" t="s">
        <v>74</v>
      </c>
      <c r="BC771" t="s">
        <v>74</v>
      </c>
      <c r="BD771">
        <v>116718</v>
      </c>
      <c r="BE771" t="s">
        <v>13906</v>
      </c>
      <c r="BF771" t="str">
        <f>HYPERLINK("http://dx.doi.org/10.1016/j.mseb.2023.116718","http://dx.doi.org/10.1016/j.mseb.2023.116718")</f>
        <v>http://dx.doi.org/10.1016/j.mseb.2023.116718</v>
      </c>
      <c r="BG771" t="s">
        <v>74</v>
      </c>
      <c r="BH771" t="s">
        <v>74</v>
      </c>
      <c r="BI771">
        <v>12</v>
      </c>
      <c r="BJ771" t="s">
        <v>8240</v>
      </c>
      <c r="BK771" t="s">
        <v>100</v>
      </c>
      <c r="BL771" t="s">
        <v>3022</v>
      </c>
      <c r="BM771" t="s">
        <v>13907</v>
      </c>
      <c r="BN771" t="s">
        <v>74</v>
      </c>
      <c r="BO771" t="s">
        <v>74</v>
      </c>
      <c r="BP771" t="s">
        <v>74</v>
      </c>
      <c r="BQ771" t="s">
        <v>74</v>
      </c>
      <c r="BR771" t="s">
        <v>104</v>
      </c>
      <c r="BS771" t="s">
        <v>13908</v>
      </c>
      <c r="BT771" t="str">
        <f>HYPERLINK("https%3A%2F%2Fwww.webofscience.com%2Fwos%2Fwoscc%2Ffull-record%2FWOS:001060728600001","View Full Record in Web of Science")</f>
        <v>View Full Record in Web of Science</v>
      </c>
    </row>
    <row r="772" spans="1:72" x14ac:dyDescent="0.15">
      <c r="A772" t="s">
        <v>72</v>
      </c>
      <c r="B772" t="s">
        <v>13909</v>
      </c>
      <c r="C772" t="s">
        <v>74</v>
      </c>
      <c r="D772" t="s">
        <v>74</v>
      </c>
      <c r="E772" t="s">
        <v>74</v>
      </c>
      <c r="F772" t="s">
        <v>13910</v>
      </c>
      <c r="G772" t="s">
        <v>74</v>
      </c>
      <c r="H772" t="s">
        <v>74</v>
      </c>
      <c r="I772" t="s">
        <v>13911</v>
      </c>
      <c r="J772" t="s">
        <v>13912</v>
      </c>
      <c r="K772" t="s">
        <v>74</v>
      </c>
      <c r="L772" t="s">
        <v>74</v>
      </c>
      <c r="M772" t="s">
        <v>78</v>
      </c>
      <c r="N772" t="s">
        <v>79</v>
      </c>
      <c r="O772" t="s">
        <v>74</v>
      </c>
      <c r="P772" t="s">
        <v>74</v>
      </c>
      <c r="Q772" t="s">
        <v>74</v>
      </c>
      <c r="R772" t="s">
        <v>74</v>
      </c>
      <c r="S772" t="s">
        <v>74</v>
      </c>
      <c r="T772" t="s">
        <v>13913</v>
      </c>
      <c r="U772" t="s">
        <v>13914</v>
      </c>
      <c r="V772" t="s">
        <v>13915</v>
      </c>
      <c r="W772" t="s">
        <v>13916</v>
      </c>
      <c r="X772" t="s">
        <v>13917</v>
      </c>
      <c r="Y772" t="s">
        <v>13918</v>
      </c>
      <c r="Z772" t="s">
        <v>13919</v>
      </c>
      <c r="AA772" t="s">
        <v>74</v>
      </c>
      <c r="AB772" t="s">
        <v>13920</v>
      </c>
      <c r="AC772" t="s">
        <v>13921</v>
      </c>
      <c r="AD772" t="s">
        <v>13922</v>
      </c>
      <c r="AE772" t="s">
        <v>13923</v>
      </c>
      <c r="AF772" t="s">
        <v>74</v>
      </c>
      <c r="AG772">
        <v>62</v>
      </c>
      <c r="AH772">
        <v>0</v>
      </c>
      <c r="AI772">
        <v>0</v>
      </c>
      <c r="AJ772">
        <v>1</v>
      </c>
      <c r="AK772">
        <v>1</v>
      </c>
      <c r="AL772" t="s">
        <v>90</v>
      </c>
      <c r="AM772" t="s">
        <v>91</v>
      </c>
      <c r="AN772" t="s">
        <v>92</v>
      </c>
      <c r="AO772" t="s">
        <v>13924</v>
      </c>
      <c r="AP772" t="s">
        <v>13925</v>
      </c>
      <c r="AQ772" t="s">
        <v>74</v>
      </c>
      <c r="AR772" t="s">
        <v>13926</v>
      </c>
      <c r="AS772" t="s">
        <v>13927</v>
      </c>
      <c r="AT772" t="s">
        <v>13744</v>
      </c>
      <c r="AU772">
        <v>2023</v>
      </c>
      <c r="AV772">
        <v>98</v>
      </c>
      <c r="AW772" t="s">
        <v>74</v>
      </c>
      <c r="AX772" t="s">
        <v>74</v>
      </c>
      <c r="AY772" t="s">
        <v>74</v>
      </c>
      <c r="AZ772" t="s">
        <v>74</v>
      </c>
      <c r="BA772" t="s">
        <v>74</v>
      </c>
      <c r="BB772" t="s">
        <v>74</v>
      </c>
      <c r="BC772" t="s">
        <v>74</v>
      </c>
      <c r="BD772">
        <v>102654</v>
      </c>
      <c r="BE772" t="s">
        <v>13928</v>
      </c>
      <c r="BF772" t="str">
        <f>HYPERLINK("http://dx.doi.org/10.1016/j.joep.2023.102654","http://dx.doi.org/10.1016/j.joep.2023.102654")</f>
        <v>http://dx.doi.org/10.1016/j.joep.2023.102654</v>
      </c>
      <c r="BG772" t="s">
        <v>74</v>
      </c>
      <c r="BH772" t="s">
        <v>74</v>
      </c>
      <c r="BI772">
        <v>16</v>
      </c>
      <c r="BJ772" t="s">
        <v>13929</v>
      </c>
      <c r="BK772" t="s">
        <v>627</v>
      </c>
      <c r="BL772" t="s">
        <v>13930</v>
      </c>
      <c r="BM772" t="s">
        <v>13931</v>
      </c>
      <c r="BN772" t="s">
        <v>74</v>
      </c>
      <c r="BO772" t="s">
        <v>4144</v>
      </c>
      <c r="BP772" t="s">
        <v>74</v>
      </c>
      <c r="BQ772" t="s">
        <v>74</v>
      </c>
      <c r="BR772" t="s">
        <v>104</v>
      </c>
      <c r="BS772" t="s">
        <v>13932</v>
      </c>
      <c r="BT772" t="str">
        <f>HYPERLINK("https%3A%2F%2Fwww.webofscience.com%2Fwos%2Fwoscc%2Ffull-record%2FWOS:001057533300001","View Full Record in Web of Science")</f>
        <v>View Full Record in Web of Science</v>
      </c>
    </row>
    <row r="773" spans="1:72" x14ac:dyDescent="0.15">
      <c r="A773" t="s">
        <v>72</v>
      </c>
      <c r="B773" t="s">
        <v>13933</v>
      </c>
      <c r="C773" t="s">
        <v>74</v>
      </c>
      <c r="D773" t="s">
        <v>74</v>
      </c>
      <c r="E773" t="s">
        <v>74</v>
      </c>
      <c r="F773" t="s">
        <v>13934</v>
      </c>
      <c r="G773" t="s">
        <v>74</v>
      </c>
      <c r="H773" t="s">
        <v>74</v>
      </c>
      <c r="I773" t="s">
        <v>13935</v>
      </c>
      <c r="J773" t="s">
        <v>6645</v>
      </c>
      <c r="K773" t="s">
        <v>74</v>
      </c>
      <c r="L773" t="s">
        <v>74</v>
      </c>
      <c r="M773" t="s">
        <v>78</v>
      </c>
      <c r="N773" t="s">
        <v>79</v>
      </c>
      <c r="O773" t="s">
        <v>74</v>
      </c>
      <c r="P773" t="s">
        <v>74</v>
      </c>
      <c r="Q773" t="s">
        <v>74</v>
      </c>
      <c r="R773" t="s">
        <v>74</v>
      </c>
      <c r="S773" t="s">
        <v>74</v>
      </c>
      <c r="T773" t="s">
        <v>13936</v>
      </c>
      <c r="U773" t="s">
        <v>13937</v>
      </c>
      <c r="V773" t="s">
        <v>13938</v>
      </c>
      <c r="W773" t="s">
        <v>13939</v>
      </c>
      <c r="X773" t="s">
        <v>13940</v>
      </c>
      <c r="Y773" t="s">
        <v>13941</v>
      </c>
      <c r="Z773" t="s">
        <v>13942</v>
      </c>
      <c r="AA773" t="s">
        <v>74</v>
      </c>
      <c r="AB773" t="s">
        <v>13943</v>
      </c>
      <c r="AC773" t="s">
        <v>74</v>
      </c>
      <c r="AD773" t="s">
        <v>74</v>
      </c>
      <c r="AE773" t="s">
        <v>74</v>
      </c>
      <c r="AF773" t="s">
        <v>74</v>
      </c>
      <c r="AG773">
        <v>69</v>
      </c>
      <c r="AH773">
        <v>0</v>
      </c>
      <c r="AI773">
        <v>0</v>
      </c>
      <c r="AJ773">
        <v>5</v>
      </c>
      <c r="AK773">
        <v>5</v>
      </c>
      <c r="AL773" t="s">
        <v>90</v>
      </c>
      <c r="AM773" t="s">
        <v>91</v>
      </c>
      <c r="AN773" t="s">
        <v>92</v>
      </c>
      <c r="AO773" t="s">
        <v>74</v>
      </c>
      <c r="AP773" t="s">
        <v>6656</v>
      </c>
      <c r="AQ773" t="s">
        <v>74</v>
      </c>
      <c r="AR773" t="s">
        <v>6657</v>
      </c>
      <c r="AS773" t="s">
        <v>6658</v>
      </c>
      <c r="AT773" t="s">
        <v>13778</v>
      </c>
      <c r="AU773">
        <v>2023</v>
      </c>
      <c r="AV773">
        <v>76</v>
      </c>
      <c r="AW773" t="s">
        <v>74</v>
      </c>
      <c r="AX773" t="s">
        <v>74</v>
      </c>
      <c r="AY773" t="s">
        <v>74</v>
      </c>
      <c r="AZ773" t="s">
        <v>74</v>
      </c>
      <c r="BA773" t="s">
        <v>74</v>
      </c>
      <c r="BB773" t="s">
        <v>74</v>
      </c>
      <c r="BC773" t="s">
        <v>74</v>
      </c>
      <c r="BD773">
        <v>107327</v>
      </c>
      <c r="BE773" t="s">
        <v>13944</v>
      </c>
      <c r="BF773" t="str">
        <f>HYPERLINK("http://dx.doi.org/10.1016/j.jobe.2023.107327","http://dx.doi.org/10.1016/j.jobe.2023.107327")</f>
        <v>http://dx.doi.org/10.1016/j.jobe.2023.107327</v>
      </c>
      <c r="BG773" t="s">
        <v>74</v>
      </c>
      <c r="BH773" t="s">
        <v>74</v>
      </c>
      <c r="BI773">
        <v>18</v>
      </c>
      <c r="BJ773" t="s">
        <v>3898</v>
      </c>
      <c r="BK773" t="s">
        <v>100</v>
      </c>
      <c r="BL773" t="s">
        <v>3899</v>
      </c>
      <c r="BM773" t="s">
        <v>13945</v>
      </c>
      <c r="BN773" t="s">
        <v>74</v>
      </c>
      <c r="BO773" t="s">
        <v>74</v>
      </c>
      <c r="BP773" t="s">
        <v>74</v>
      </c>
      <c r="BQ773" t="s">
        <v>74</v>
      </c>
      <c r="BR773" t="s">
        <v>104</v>
      </c>
      <c r="BS773" t="s">
        <v>13946</v>
      </c>
      <c r="BT773" t="str">
        <f>HYPERLINK("https%3A%2F%2Fwww.webofscience.com%2Fwos%2Fwoscc%2Ffull-record%2FWOS:001046947900001","View Full Record in Web of Science")</f>
        <v>View Full Record in Web of Science</v>
      </c>
    </row>
    <row r="774" spans="1:72" x14ac:dyDescent="0.15">
      <c r="A774" t="s">
        <v>72</v>
      </c>
      <c r="B774" t="s">
        <v>13947</v>
      </c>
      <c r="C774" t="s">
        <v>74</v>
      </c>
      <c r="D774" t="s">
        <v>74</v>
      </c>
      <c r="E774" t="s">
        <v>74</v>
      </c>
      <c r="F774" t="s">
        <v>13948</v>
      </c>
      <c r="G774" t="s">
        <v>74</v>
      </c>
      <c r="H774" t="s">
        <v>74</v>
      </c>
      <c r="I774" t="s">
        <v>13949</v>
      </c>
      <c r="J774" t="s">
        <v>7396</v>
      </c>
      <c r="K774" t="s">
        <v>74</v>
      </c>
      <c r="L774" t="s">
        <v>74</v>
      </c>
      <c r="M774" t="s">
        <v>78</v>
      </c>
      <c r="N774" t="s">
        <v>79</v>
      </c>
      <c r="O774" t="s">
        <v>74</v>
      </c>
      <c r="P774" t="s">
        <v>74</v>
      </c>
      <c r="Q774" t="s">
        <v>74</v>
      </c>
      <c r="R774" t="s">
        <v>74</v>
      </c>
      <c r="S774" t="s">
        <v>74</v>
      </c>
      <c r="T774" t="s">
        <v>13950</v>
      </c>
      <c r="U774" t="s">
        <v>13951</v>
      </c>
      <c r="V774" t="s">
        <v>13952</v>
      </c>
      <c r="W774" t="s">
        <v>13953</v>
      </c>
      <c r="X774" t="s">
        <v>2962</v>
      </c>
      <c r="Y774" t="s">
        <v>13954</v>
      </c>
      <c r="Z774" t="s">
        <v>13955</v>
      </c>
      <c r="AA774" t="s">
        <v>13956</v>
      </c>
      <c r="AB774" t="s">
        <v>13957</v>
      </c>
      <c r="AC774" t="s">
        <v>13958</v>
      </c>
      <c r="AD774" t="s">
        <v>13958</v>
      </c>
      <c r="AE774" t="s">
        <v>13959</v>
      </c>
      <c r="AF774" t="s">
        <v>74</v>
      </c>
      <c r="AG774">
        <v>127</v>
      </c>
      <c r="AH774">
        <v>0</v>
      </c>
      <c r="AI774">
        <v>0</v>
      </c>
      <c r="AJ774">
        <v>4</v>
      </c>
      <c r="AK774">
        <v>4</v>
      </c>
      <c r="AL774" t="s">
        <v>90</v>
      </c>
      <c r="AM774" t="s">
        <v>91</v>
      </c>
      <c r="AN774" t="s">
        <v>92</v>
      </c>
      <c r="AO774" t="s">
        <v>7408</v>
      </c>
      <c r="AP774" t="s">
        <v>7409</v>
      </c>
      <c r="AQ774" t="s">
        <v>74</v>
      </c>
      <c r="AR774" t="s">
        <v>7410</v>
      </c>
      <c r="AS774" t="s">
        <v>7411</v>
      </c>
      <c r="AT774" t="s">
        <v>13744</v>
      </c>
      <c r="AU774">
        <v>2023</v>
      </c>
      <c r="AV774">
        <v>1869</v>
      </c>
      <c r="AW774">
        <v>7</v>
      </c>
      <c r="AX774" t="s">
        <v>74</v>
      </c>
      <c r="AY774" t="s">
        <v>74</v>
      </c>
      <c r="AZ774" t="s">
        <v>74</v>
      </c>
      <c r="BA774" t="s">
        <v>74</v>
      </c>
      <c r="BB774" t="s">
        <v>74</v>
      </c>
      <c r="BC774" t="s">
        <v>74</v>
      </c>
      <c r="BD774">
        <v>166791</v>
      </c>
      <c r="BE774" t="s">
        <v>13960</v>
      </c>
      <c r="BF774" t="str">
        <f>HYPERLINK("http://dx.doi.org/10.1016/j.bbadis.2023.166791","http://dx.doi.org/10.1016/j.bbadis.2023.166791")</f>
        <v>http://dx.doi.org/10.1016/j.bbadis.2023.166791</v>
      </c>
      <c r="BG774" t="s">
        <v>74</v>
      </c>
      <c r="BH774" t="s">
        <v>74</v>
      </c>
      <c r="BI774">
        <v>13</v>
      </c>
      <c r="BJ774" t="s">
        <v>7413</v>
      </c>
      <c r="BK774" t="s">
        <v>100</v>
      </c>
      <c r="BL774" t="s">
        <v>7413</v>
      </c>
      <c r="BM774" t="s">
        <v>13961</v>
      </c>
      <c r="BN774">
        <v>37336367</v>
      </c>
      <c r="BO774" t="s">
        <v>74</v>
      </c>
      <c r="BP774" t="s">
        <v>74</v>
      </c>
      <c r="BQ774" t="s">
        <v>74</v>
      </c>
      <c r="BR774" t="s">
        <v>104</v>
      </c>
      <c r="BS774" t="s">
        <v>13962</v>
      </c>
      <c r="BT774" t="str">
        <f>HYPERLINK("https%3A%2F%2Fwww.webofscience.com%2Fwos%2Fwoscc%2Ffull-record%2FWOS:001057356400001","View Full Record in Web of Science")</f>
        <v>View Full Record in Web of Science</v>
      </c>
    </row>
    <row r="775" spans="1:72" x14ac:dyDescent="0.15">
      <c r="A775" t="s">
        <v>72</v>
      </c>
      <c r="B775" t="s">
        <v>13963</v>
      </c>
      <c r="C775" t="s">
        <v>74</v>
      </c>
      <c r="D775" t="s">
        <v>74</v>
      </c>
      <c r="E775" t="s">
        <v>74</v>
      </c>
      <c r="F775" t="s">
        <v>13964</v>
      </c>
      <c r="G775" t="s">
        <v>74</v>
      </c>
      <c r="H775" t="s">
        <v>74</v>
      </c>
      <c r="I775" t="s">
        <v>13965</v>
      </c>
      <c r="J775" t="s">
        <v>13966</v>
      </c>
      <c r="K775" t="s">
        <v>74</v>
      </c>
      <c r="L775" t="s">
        <v>74</v>
      </c>
      <c r="M775" t="s">
        <v>78</v>
      </c>
      <c r="N775" t="s">
        <v>79</v>
      </c>
      <c r="O775" t="s">
        <v>74</v>
      </c>
      <c r="P775" t="s">
        <v>74</v>
      </c>
      <c r="Q775" t="s">
        <v>74</v>
      </c>
      <c r="R775" t="s">
        <v>74</v>
      </c>
      <c r="S775" t="s">
        <v>74</v>
      </c>
      <c r="T775" t="s">
        <v>13967</v>
      </c>
      <c r="U775" t="s">
        <v>13968</v>
      </c>
      <c r="V775" t="s">
        <v>13969</v>
      </c>
      <c r="W775" t="s">
        <v>13970</v>
      </c>
      <c r="X775" t="s">
        <v>13971</v>
      </c>
      <c r="Y775" t="s">
        <v>13972</v>
      </c>
      <c r="Z775" t="s">
        <v>13973</v>
      </c>
      <c r="AA775" t="s">
        <v>74</v>
      </c>
      <c r="AB775" t="s">
        <v>74</v>
      </c>
      <c r="AC775" t="s">
        <v>13974</v>
      </c>
      <c r="AD775" t="s">
        <v>13975</v>
      </c>
      <c r="AE775" t="s">
        <v>13976</v>
      </c>
      <c r="AF775" t="s">
        <v>74</v>
      </c>
      <c r="AG775">
        <v>42</v>
      </c>
      <c r="AH775">
        <v>0</v>
      </c>
      <c r="AI775">
        <v>0</v>
      </c>
      <c r="AJ775">
        <v>2</v>
      </c>
      <c r="AK775">
        <v>2</v>
      </c>
      <c r="AL775" t="s">
        <v>7600</v>
      </c>
      <c r="AM775" t="s">
        <v>7601</v>
      </c>
      <c r="AN775" t="s">
        <v>7602</v>
      </c>
      <c r="AO775" t="s">
        <v>13977</v>
      </c>
      <c r="AP775" t="s">
        <v>13978</v>
      </c>
      <c r="AQ775" t="s">
        <v>74</v>
      </c>
      <c r="AR775" t="s">
        <v>13979</v>
      </c>
      <c r="AS775" t="s">
        <v>13980</v>
      </c>
      <c r="AT775" t="s">
        <v>13744</v>
      </c>
      <c r="AU775">
        <v>2023</v>
      </c>
      <c r="AV775">
        <v>170</v>
      </c>
      <c r="AW775" t="s">
        <v>74</v>
      </c>
      <c r="AX775" t="s">
        <v>74</v>
      </c>
      <c r="AY775" t="s">
        <v>74</v>
      </c>
      <c r="AZ775" t="s">
        <v>74</v>
      </c>
      <c r="BA775" t="s">
        <v>74</v>
      </c>
      <c r="BB775" t="s">
        <v>74</v>
      </c>
      <c r="BC775" t="s">
        <v>74</v>
      </c>
      <c r="BD775">
        <v>154756</v>
      </c>
      <c r="BE775" t="s">
        <v>13981</v>
      </c>
      <c r="BF775" t="str">
        <f>HYPERLINK("http://dx.doi.org/10.1016/j.aeue.2023.154756","http://dx.doi.org/10.1016/j.aeue.2023.154756")</f>
        <v>http://dx.doi.org/10.1016/j.aeue.2023.154756</v>
      </c>
      <c r="BG775" t="s">
        <v>74</v>
      </c>
      <c r="BH775" t="s">
        <v>74</v>
      </c>
      <c r="BI775">
        <v>10</v>
      </c>
      <c r="BJ775" t="s">
        <v>13982</v>
      </c>
      <c r="BK775" t="s">
        <v>100</v>
      </c>
      <c r="BL775" t="s">
        <v>13983</v>
      </c>
      <c r="BM775" t="s">
        <v>13984</v>
      </c>
      <c r="BN775" t="s">
        <v>74</v>
      </c>
      <c r="BO775" t="s">
        <v>74</v>
      </c>
      <c r="BP775" t="s">
        <v>74</v>
      </c>
      <c r="BQ775" t="s">
        <v>74</v>
      </c>
      <c r="BR775" t="s">
        <v>104</v>
      </c>
      <c r="BS775" t="s">
        <v>13985</v>
      </c>
      <c r="BT775" t="str">
        <f>HYPERLINK("https%3A%2F%2Fwww.webofscience.com%2Fwos%2Fwoscc%2Ffull-record%2FWOS:001053439600001","View Full Record in Web of Science")</f>
        <v>View Full Record in Web of Science</v>
      </c>
    </row>
    <row r="776" spans="1:72" x14ac:dyDescent="0.15">
      <c r="A776" t="s">
        <v>72</v>
      </c>
      <c r="B776" t="s">
        <v>13986</v>
      </c>
      <c r="C776" t="s">
        <v>74</v>
      </c>
      <c r="D776" t="s">
        <v>74</v>
      </c>
      <c r="E776" t="s">
        <v>74</v>
      </c>
      <c r="F776" t="s">
        <v>13987</v>
      </c>
      <c r="G776" t="s">
        <v>74</v>
      </c>
      <c r="H776" t="s">
        <v>74</v>
      </c>
      <c r="I776" t="s">
        <v>13988</v>
      </c>
      <c r="J776" t="s">
        <v>13989</v>
      </c>
      <c r="K776" t="s">
        <v>74</v>
      </c>
      <c r="L776" t="s">
        <v>74</v>
      </c>
      <c r="M776" t="s">
        <v>78</v>
      </c>
      <c r="N776" t="s">
        <v>79</v>
      </c>
      <c r="O776" t="s">
        <v>74</v>
      </c>
      <c r="P776" t="s">
        <v>74</v>
      </c>
      <c r="Q776" t="s">
        <v>74</v>
      </c>
      <c r="R776" t="s">
        <v>74</v>
      </c>
      <c r="S776" t="s">
        <v>74</v>
      </c>
      <c r="T776" t="s">
        <v>13990</v>
      </c>
      <c r="U776" t="s">
        <v>13991</v>
      </c>
      <c r="V776" t="s">
        <v>13992</v>
      </c>
      <c r="W776" t="s">
        <v>13993</v>
      </c>
      <c r="X776" t="s">
        <v>13994</v>
      </c>
      <c r="Y776" t="s">
        <v>13995</v>
      </c>
      <c r="Z776" t="s">
        <v>13996</v>
      </c>
      <c r="AA776" t="s">
        <v>74</v>
      </c>
      <c r="AB776" t="s">
        <v>13997</v>
      </c>
      <c r="AC776" t="s">
        <v>13998</v>
      </c>
      <c r="AD776" t="s">
        <v>13999</v>
      </c>
      <c r="AE776" t="s">
        <v>14000</v>
      </c>
      <c r="AF776" t="s">
        <v>74</v>
      </c>
      <c r="AG776">
        <v>48</v>
      </c>
      <c r="AH776">
        <v>0</v>
      </c>
      <c r="AI776">
        <v>0</v>
      </c>
      <c r="AJ776">
        <v>1</v>
      </c>
      <c r="AK776">
        <v>1</v>
      </c>
      <c r="AL776" t="s">
        <v>147</v>
      </c>
      <c r="AM776" t="s">
        <v>148</v>
      </c>
      <c r="AN776" t="s">
        <v>149</v>
      </c>
      <c r="AO776" t="s">
        <v>14001</v>
      </c>
      <c r="AP776" t="s">
        <v>14002</v>
      </c>
      <c r="AQ776" t="s">
        <v>74</v>
      </c>
      <c r="AR776" t="s">
        <v>14003</v>
      </c>
      <c r="AS776" t="s">
        <v>14004</v>
      </c>
      <c r="AT776" t="s">
        <v>13744</v>
      </c>
      <c r="AU776">
        <v>2023</v>
      </c>
      <c r="AV776">
        <v>152</v>
      </c>
      <c r="AW776" t="s">
        <v>74</v>
      </c>
      <c r="AX776" t="s">
        <v>74</v>
      </c>
      <c r="AY776" t="s">
        <v>74</v>
      </c>
      <c r="AZ776" t="s">
        <v>74</v>
      </c>
      <c r="BA776" t="s">
        <v>74</v>
      </c>
      <c r="BB776" t="s">
        <v>74</v>
      </c>
      <c r="BC776" t="s">
        <v>74</v>
      </c>
      <c r="BD776">
        <v>107195</v>
      </c>
      <c r="BE776" t="s">
        <v>14005</v>
      </c>
      <c r="BF776" t="str">
        <f>HYPERLINK("http://dx.doi.org/10.1016/j.vph.2023.107195","http://dx.doi.org/10.1016/j.vph.2023.107195")</f>
        <v>http://dx.doi.org/10.1016/j.vph.2023.107195</v>
      </c>
      <c r="BG776" t="s">
        <v>74</v>
      </c>
      <c r="BH776" t="s">
        <v>74</v>
      </c>
      <c r="BI776">
        <v>7</v>
      </c>
      <c r="BJ776" t="s">
        <v>2605</v>
      </c>
      <c r="BK776" t="s">
        <v>100</v>
      </c>
      <c r="BL776" t="s">
        <v>2605</v>
      </c>
      <c r="BM776" t="s">
        <v>14006</v>
      </c>
      <c r="BN776">
        <v>37455009</v>
      </c>
      <c r="BO776" t="s">
        <v>74</v>
      </c>
      <c r="BP776" t="s">
        <v>74</v>
      </c>
      <c r="BQ776" t="s">
        <v>74</v>
      </c>
      <c r="BR776" t="s">
        <v>104</v>
      </c>
      <c r="BS776" t="s">
        <v>14007</v>
      </c>
      <c r="BT776" t="str">
        <f>HYPERLINK("https%3A%2F%2Fwww.webofscience.com%2Fwos%2Fwoscc%2Ffull-record%2FWOS:001046996800001","View Full Record in Web of Science")</f>
        <v>View Full Record in Web of Science</v>
      </c>
    </row>
    <row r="777" spans="1:72" x14ac:dyDescent="0.15">
      <c r="A777" t="s">
        <v>72</v>
      </c>
      <c r="B777" t="s">
        <v>14008</v>
      </c>
      <c r="C777" t="s">
        <v>74</v>
      </c>
      <c r="D777" t="s">
        <v>74</v>
      </c>
      <c r="E777" t="s">
        <v>74</v>
      </c>
      <c r="F777" t="s">
        <v>14009</v>
      </c>
      <c r="G777" t="s">
        <v>74</v>
      </c>
      <c r="H777" t="s">
        <v>74</v>
      </c>
      <c r="I777" t="s">
        <v>14010</v>
      </c>
      <c r="J777" t="s">
        <v>8224</v>
      </c>
      <c r="K777" t="s">
        <v>74</v>
      </c>
      <c r="L777" t="s">
        <v>74</v>
      </c>
      <c r="M777" t="s">
        <v>78</v>
      </c>
      <c r="N777" t="s">
        <v>79</v>
      </c>
      <c r="O777" t="s">
        <v>74</v>
      </c>
      <c r="P777" t="s">
        <v>74</v>
      </c>
      <c r="Q777" t="s">
        <v>74</v>
      </c>
      <c r="R777" t="s">
        <v>74</v>
      </c>
      <c r="S777" t="s">
        <v>74</v>
      </c>
      <c r="T777" t="s">
        <v>14011</v>
      </c>
      <c r="U777" t="s">
        <v>14012</v>
      </c>
      <c r="V777" t="s">
        <v>14013</v>
      </c>
      <c r="W777" t="s">
        <v>14014</v>
      </c>
      <c r="X777" t="s">
        <v>14015</v>
      </c>
      <c r="Y777" t="s">
        <v>14016</v>
      </c>
      <c r="Z777" t="s">
        <v>14017</v>
      </c>
      <c r="AA777" t="s">
        <v>74</v>
      </c>
      <c r="AB777" t="s">
        <v>74</v>
      </c>
      <c r="AC777" t="s">
        <v>74</v>
      </c>
      <c r="AD777" t="s">
        <v>74</v>
      </c>
      <c r="AE777" t="s">
        <v>74</v>
      </c>
      <c r="AF777" t="s">
        <v>74</v>
      </c>
      <c r="AG777">
        <v>24</v>
      </c>
      <c r="AH777">
        <v>0</v>
      </c>
      <c r="AI777">
        <v>0</v>
      </c>
      <c r="AJ777">
        <v>0</v>
      </c>
      <c r="AK777">
        <v>0</v>
      </c>
      <c r="AL777" t="s">
        <v>90</v>
      </c>
      <c r="AM777" t="s">
        <v>91</v>
      </c>
      <c r="AN777" t="s">
        <v>92</v>
      </c>
      <c r="AO777" t="s">
        <v>8235</v>
      </c>
      <c r="AP777" t="s">
        <v>8236</v>
      </c>
      <c r="AQ777" t="s">
        <v>74</v>
      </c>
      <c r="AR777" t="s">
        <v>8237</v>
      </c>
      <c r="AS777" t="s">
        <v>8238</v>
      </c>
      <c r="AT777" t="s">
        <v>13744</v>
      </c>
      <c r="AU777">
        <v>2023</v>
      </c>
      <c r="AV777">
        <v>296</v>
      </c>
      <c r="AW777" t="s">
        <v>74</v>
      </c>
      <c r="AX777" t="s">
        <v>74</v>
      </c>
      <c r="AY777" t="s">
        <v>74</v>
      </c>
      <c r="AZ777" t="s">
        <v>74</v>
      </c>
      <c r="BA777" t="s">
        <v>74</v>
      </c>
      <c r="BB777" t="s">
        <v>74</v>
      </c>
      <c r="BC777" t="s">
        <v>74</v>
      </c>
      <c r="BD777">
        <v>116612</v>
      </c>
      <c r="BE777" t="s">
        <v>14018</v>
      </c>
      <c r="BF777" t="str">
        <f>HYPERLINK("http://dx.doi.org/10.1016/j.mseb.2023.116612","http://dx.doi.org/10.1016/j.mseb.2023.116612")</f>
        <v>http://dx.doi.org/10.1016/j.mseb.2023.116612</v>
      </c>
      <c r="BG777" t="s">
        <v>74</v>
      </c>
      <c r="BH777" t="s">
        <v>74</v>
      </c>
      <c r="BI777">
        <v>11</v>
      </c>
      <c r="BJ777" t="s">
        <v>8240</v>
      </c>
      <c r="BK777" t="s">
        <v>100</v>
      </c>
      <c r="BL777" t="s">
        <v>3022</v>
      </c>
      <c r="BM777" t="s">
        <v>14019</v>
      </c>
      <c r="BN777" t="s">
        <v>74</v>
      </c>
      <c r="BO777" t="s">
        <v>74</v>
      </c>
      <c r="BP777" t="s">
        <v>74</v>
      </c>
      <c r="BQ777" t="s">
        <v>74</v>
      </c>
      <c r="BR777" t="s">
        <v>104</v>
      </c>
      <c r="BS777" t="s">
        <v>14020</v>
      </c>
      <c r="BT777" t="str">
        <f>HYPERLINK("https%3A%2F%2Fwww.webofscience.com%2Fwos%2Fwoscc%2Ffull-record%2FWOS:001060296200001","View Full Record in Web of Science")</f>
        <v>View Full Record in Web of Science</v>
      </c>
    </row>
    <row r="778" spans="1:72" x14ac:dyDescent="0.15">
      <c r="A778" t="s">
        <v>72</v>
      </c>
      <c r="B778" t="s">
        <v>14021</v>
      </c>
      <c r="C778" t="s">
        <v>74</v>
      </c>
      <c r="D778" t="s">
        <v>74</v>
      </c>
      <c r="E778" t="s">
        <v>74</v>
      </c>
      <c r="F778" t="s">
        <v>14022</v>
      </c>
      <c r="G778" t="s">
        <v>74</v>
      </c>
      <c r="H778" t="s">
        <v>74</v>
      </c>
      <c r="I778" t="s">
        <v>14023</v>
      </c>
      <c r="J778" t="s">
        <v>14024</v>
      </c>
      <c r="K778" t="s">
        <v>74</v>
      </c>
      <c r="L778" t="s">
        <v>74</v>
      </c>
      <c r="M778" t="s">
        <v>78</v>
      </c>
      <c r="N778" t="s">
        <v>241</v>
      </c>
      <c r="O778" t="s">
        <v>74</v>
      </c>
      <c r="P778" t="s">
        <v>74</v>
      </c>
      <c r="Q778" t="s">
        <v>74</v>
      </c>
      <c r="R778" t="s">
        <v>74</v>
      </c>
      <c r="S778" t="s">
        <v>74</v>
      </c>
      <c r="T778" t="s">
        <v>14025</v>
      </c>
      <c r="U778" t="s">
        <v>14026</v>
      </c>
      <c r="V778" t="s">
        <v>14027</v>
      </c>
      <c r="W778" t="s">
        <v>14028</v>
      </c>
      <c r="X778" t="s">
        <v>14029</v>
      </c>
      <c r="Y778" t="s">
        <v>14030</v>
      </c>
      <c r="Z778" t="s">
        <v>14031</v>
      </c>
      <c r="AA778" t="s">
        <v>74</v>
      </c>
      <c r="AB778" t="s">
        <v>14032</v>
      </c>
      <c r="AC778" t="s">
        <v>74</v>
      </c>
      <c r="AD778" t="s">
        <v>74</v>
      </c>
      <c r="AE778" t="s">
        <v>74</v>
      </c>
      <c r="AF778" t="s">
        <v>74</v>
      </c>
      <c r="AG778">
        <v>143</v>
      </c>
      <c r="AH778">
        <v>0</v>
      </c>
      <c r="AI778">
        <v>0</v>
      </c>
      <c r="AJ778">
        <v>2</v>
      </c>
      <c r="AK778">
        <v>2</v>
      </c>
      <c r="AL778" t="s">
        <v>90</v>
      </c>
      <c r="AM778" t="s">
        <v>91</v>
      </c>
      <c r="AN778" t="s">
        <v>92</v>
      </c>
      <c r="AO778" t="s">
        <v>14033</v>
      </c>
      <c r="AP778" t="s">
        <v>14034</v>
      </c>
      <c r="AQ778" t="s">
        <v>74</v>
      </c>
      <c r="AR778" t="s">
        <v>14035</v>
      </c>
      <c r="AS778" t="s">
        <v>14036</v>
      </c>
      <c r="AT778" t="s">
        <v>13744</v>
      </c>
      <c r="AU778">
        <v>2023</v>
      </c>
      <c r="AV778">
        <v>23</v>
      </c>
      <c r="AW778" t="s">
        <v>74</v>
      </c>
      <c r="AX778" t="s">
        <v>74</v>
      </c>
      <c r="AY778" t="s">
        <v>74</v>
      </c>
      <c r="AZ778" t="s">
        <v>74</v>
      </c>
      <c r="BA778" t="s">
        <v>74</v>
      </c>
      <c r="BB778" t="s">
        <v>74</v>
      </c>
      <c r="BC778" t="s">
        <v>74</v>
      </c>
      <c r="BD778">
        <v>100866</v>
      </c>
      <c r="BE778" t="s">
        <v>14037</v>
      </c>
      <c r="BF778" t="str">
        <f>HYPERLINK("http://dx.doi.org/10.1016/j.iot.2023.100866","http://dx.doi.org/10.1016/j.iot.2023.100866")</f>
        <v>http://dx.doi.org/10.1016/j.iot.2023.100866</v>
      </c>
      <c r="BG778" t="s">
        <v>74</v>
      </c>
      <c r="BH778" t="s">
        <v>74</v>
      </c>
      <c r="BI778">
        <v>25</v>
      </c>
      <c r="BJ778" t="s">
        <v>14038</v>
      </c>
      <c r="BK778" t="s">
        <v>100</v>
      </c>
      <c r="BL778" t="s">
        <v>14039</v>
      </c>
      <c r="BM778" t="s">
        <v>14040</v>
      </c>
      <c r="BN778" t="s">
        <v>74</v>
      </c>
      <c r="BO778" t="s">
        <v>74</v>
      </c>
      <c r="BP778" t="s">
        <v>74</v>
      </c>
      <c r="BQ778" t="s">
        <v>74</v>
      </c>
      <c r="BR778" t="s">
        <v>104</v>
      </c>
      <c r="BS778" t="s">
        <v>14041</v>
      </c>
      <c r="BT778" t="str">
        <f>HYPERLINK("https%3A%2F%2Fwww.webofscience.com%2Fwos%2Fwoscc%2Ffull-record%2FWOS:001048875000001","View Full Record in Web of Science")</f>
        <v>View Full Record in Web of Science</v>
      </c>
    </row>
    <row r="779" spans="1:72" x14ac:dyDescent="0.15">
      <c r="A779" t="s">
        <v>72</v>
      </c>
      <c r="B779" t="s">
        <v>14042</v>
      </c>
      <c r="C779" t="s">
        <v>74</v>
      </c>
      <c r="D779" t="s">
        <v>74</v>
      </c>
      <c r="E779" t="s">
        <v>74</v>
      </c>
      <c r="F779" t="s">
        <v>14043</v>
      </c>
      <c r="G779" t="s">
        <v>74</v>
      </c>
      <c r="H779" t="s">
        <v>74</v>
      </c>
      <c r="I779" t="s">
        <v>14044</v>
      </c>
      <c r="J779" t="s">
        <v>14045</v>
      </c>
      <c r="K779" t="s">
        <v>74</v>
      </c>
      <c r="L779" t="s">
        <v>74</v>
      </c>
      <c r="M779" t="s">
        <v>78</v>
      </c>
      <c r="N779" t="s">
        <v>79</v>
      </c>
      <c r="O779" t="s">
        <v>74</v>
      </c>
      <c r="P779" t="s">
        <v>74</v>
      </c>
      <c r="Q779" t="s">
        <v>74</v>
      </c>
      <c r="R779" t="s">
        <v>74</v>
      </c>
      <c r="S779" t="s">
        <v>74</v>
      </c>
      <c r="T779" t="s">
        <v>14046</v>
      </c>
      <c r="U779" t="s">
        <v>14047</v>
      </c>
      <c r="V779" t="s">
        <v>14048</v>
      </c>
      <c r="W779" t="s">
        <v>14049</v>
      </c>
      <c r="X779" t="s">
        <v>14050</v>
      </c>
      <c r="Y779" t="s">
        <v>14051</v>
      </c>
      <c r="Z779" t="s">
        <v>14052</v>
      </c>
      <c r="AA779" t="s">
        <v>14053</v>
      </c>
      <c r="AB779" t="s">
        <v>14054</v>
      </c>
      <c r="AC779" t="s">
        <v>14055</v>
      </c>
      <c r="AD779" t="s">
        <v>14056</v>
      </c>
      <c r="AE779" t="s">
        <v>14057</v>
      </c>
      <c r="AF779" t="s">
        <v>74</v>
      </c>
      <c r="AG779">
        <v>46</v>
      </c>
      <c r="AH779">
        <v>0</v>
      </c>
      <c r="AI779">
        <v>0</v>
      </c>
      <c r="AJ779">
        <v>0</v>
      </c>
      <c r="AK779">
        <v>0</v>
      </c>
      <c r="AL779" t="s">
        <v>554</v>
      </c>
      <c r="AM779" t="s">
        <v>555</v>
      </c>
      <c r="AN779" t="s">
        <v>556</v>
      </c>
      <c r="AO779" t="s">
        <v>14058</v>
      </c>
      <c r="AP779" t="s">
        <v>14059</v>
      </c>
      <c r="AQ779" t="s">
        <v>74</v>
      </c>
      <c r="AR779" t="s">
        <v>14060</v>
      </c>
      <c r="AS779" t="s">
        <v>14061</v>
      </c>
      <c r="AT779" t="s">
        <v>13744</v>
      </c>
      <c r="AU779">
        <v>2023</v>
      </c>
      <c r="AV779">
        <v>235</v>
      </c>
      <c r="AW779" t="s">
        <v>74</v>
      </c>
      <c r="AX779" t="s">
        <v>74</v>
      </c>
      <c r="AY779" t="s">
        <v>74</v>
      </c>
      <c r="AZ779" t="s">
        <v>74</v>
      </c>
      <c r="BA779" t="s">
        <v>74</v>
      </c>
      <c r="BB779" t="s">
        <v>74</v>
      </c>
      <c r="BC779" t="s">
        <v>74</v>
      </c>
      <c r="BD779">
        <v>109612</v>
      </c>
      <c r="BE779" t="s">
        <v>14062</v>
      </c>
      <c r="BF779" t="str">
        <f>HYPERLINK("http://dx.doi.org/10.1016/j.exer.2023.109612","http://dx.doi.org/10.1016/j.exer.2023.109612")</f>
        <v>http://dx.doi.org/10.1016/j.exer.2023.109612</v>
      </c>
      <c r="BG779" t="s">
        <v>74</v>
      </c>
      <c r="BH779" t="s">
        <v>74</v>
      </c>
      <c r="BI779">
        <v>10</v>
      </c>
      <c r="BJ779" t="s">
        <v>14063</v>
      </c>
      <c r="BK779" t="s">
        <v>100</v>
      </c>
      <c r="BL779" t="s">
        <v>14063</v>
      </c>
      <c r="BM779" t="s">
        <v>14064</v>
      </c>
      <c r="BN779">
        <v>37580001</v>
      </c>
      <c r="BO779" t="s">
        <v>74</v>
      </c>
      <c r="BP779" t="s">
        <v>74</v>
      </c>
      <c r="BQ779" t="s">
        <v>74</v>
      </c>
      <c r="BR779" t="s">
        <v>104</v>
      </c>
      <c r="BS779" t="s">
        <v>14065</v>
      </c>
      <c r="BT779" t="str">
        <f>HYPERLINK("https%3A%2F%2Fwww.webofscience.com%2Fwos%2Fwoscc%2Ffull-record%2FWOS:001066392900001","View Full Record in Web of Science")</f>
        <v>View Full Record in Web of Science</v>
      </c>
    </row>
    <row r="780" spans="1:72" x14ac:dyDescent="0.15">
      <c r="A780" t="s">
        <v>72</v>
      </c>
      <c r="B780" t="s">
        <v>14066</v>
      </c>
      <c r="C780" t="s">
        <v>74</v>
      </c>
      <c r="D780" t="s">
        <v>74</v>
      </c>
      <c r="E780" t="s">
        <v>74</v>
      </c>
      <c r="F780" t="s">
        <v>14067</v>
      </c>
      <c r="G780" t="s">
        <v>74</v>
      </c>
      <c r="H780" t="s">
        <v>74</v>
      </c>
      <c r="I780" t="s">
        <v>14068</v>
      </c>
      <c r="J780" t="s">
        <v>14069</v>
      </c>
      <c r="K780" t="s">
        <v>74</v>
      </c>
      <c r="L780" t="s">
        <v>74</v>
      </c>
      <c r="M780" t="s">
        <v>78</v>
      </c>
      <c r="N780" t="s">
        <v>79</v>
      </c>
      <c r="O780" t="s">
        <v>74</v>
      </c>
      <c r="P780" t="s">
        <v>74</v>
      </c>
      <c r="Q780" t="s">
        <v>74</v>
      </c>
      <c r="R780" t="s">
        <v>74</v>
      </c>
      <c r="S780" t="s">
        <v>74</v>
      </c>
      <c r="T780" t="s">
        <v>14070</v>
      </c>
      <c r="U780" t="s">
        <v>14071</v>
      </c>
      <c r="V780" t="s">
        <v>14072</v>
      </c>
      <c r="W780" t="s">
        <v>14073</v>
      </c>
      <c r="X780" t="s">
        <v>14074</v>
      </c>
      <c r="Y780" t="s">
        <v>14075</v>
      </c>
      <c r="Z780" t="s">
        <v>14076</v>
      </c>
      <c r="AA780" t="s">
        <v>74</v>
      </c>
      <c r="AB780" t="s">
        <v>74</v>
      </c>
      <c r="AC780" t="s">
        <v>14077</v>
      </c>
      <c r="AD780" t="s">
        <v>14078</v>
      </c>
      <c r="AE780" t="s">
        <v>14079</v>
      </c>
      <c r="AF780" t="s">
        <v>74</v>
      </c>
      <c r="AG780">
        <v>59</v>
      </c>
      <c r="AH780">
        <v>0</v>
      </c>
      <c r="AI780">
        <v>0</v>
      </c>
      <c r="AJ780">
        <v>0</v>
      </c>
      <c r="AK780">
        <v>0</v>
      </c>
      <c r="AL780" t="s">
        <v>90</v>
      </c>
      <c r="AM780" t="s">
        <v>91</v>
      </c>
      <c r="AN780" t="s">
        <v>92</v>
      </c>
      <c r="AO780" t="s">
        <v>14080</v>
      </c>
      <c r="AP780" t="s">
        <v>14081</v>
      </c>
      <c r="AQ780" t="s">
        <v>74</v>
      </c>
      <c r="AR780" t="s">
        <v>14082</v>
      </c>
      <c r="AS780" t="s">
        <v>14083</v>
      </c>
      <c r="AT780" t="s">
        <v>13744</v>
      </c>
      <c r="AU780">
        <v>2023</v>
      </c>
      <c r="AV780">
        <v>304</v>
      </c>
      <c r="AW780" t="s">
        <v>74</v>
      </c>
      <c r="AX780" t="s">
        <v>74</v>
      </c>
      <c r="AY780" t="s">
        <v>74</v>
      </c>
      <c r="AZ780" t="s">
        <v>74</v>
      </c>
      <c r="BA780" t="s">
        <v>74</v>
      </c>
      <c r="BB780" t="s">
        <v>74</v>
      </c>
      <c r="BC780" t="s">
        <v>74</v>
      </c>
      <c r="BD780">
        <v>115755</v>
      </c>
      <c r="BE780" t="s">
        <v>14084</v>
      </c>
      <c r="BF780" t="str">
        <f>HYPERLINK("http://dx.doi.org/10.1016/j.anifeedsci.2023.115755","http://dx.doi.org/10.1016/j.anifeedsci.2023.115755")</f>
        <v>http://dx.doi.org/10.1016/j.anifeedsci.2023.115755</v>
      </c>
      <c r="BG780" t="s">
        <v>74</v>
      </c>
      <c r="BH780" t="s">
        <v>74</v>
      </c>
      <c r="BI780">
        <v>13</v>
      </c>
      <c r="BJ780" t="s">
        <v>14085</v>
      </c>
      <c r="BK780" t="s">
        <v>100</v>
      </c>
      <c r="BL780" t="s">
        <v>3447</v>
      </c>
      <c r="BM780" t="s">
        <v>14086</v>
      </c>
      <c r="BN780" t="s">
        <v>74</v>
      </c>
      <c r="BO780" t="s">
        <v>74</v>
      </c>
      <c r="BP780" t="s">
        <v>74</v>
      </c>
      <c r="BQ780" t="s">
        <v>74</v>
      </c>
      <c r="BR780" t="s">
        <v>104</v>
      </c>
      <c r="BS780" t="s">
        <v>14087</v>
      </c>
      <c r="BT780" t="str">
        <f>HYPERLINK("https%3A%2F%2Fwww.webofscience.com%2Fwos%2Fwoscc%2Ffull-record%2FWOS:001063508000001","View Full Record in Web of Science")</f>
        <v>View Full Record in Web of Science</v>
      </c>
    </row>
    <row r="781" spans="1:72" x14ac:dyDescent="0.15">
      <c r="A781" t="s">
        <v>72</v>
      </c>
      <c r="B781" t="s">
        <v>14088</v>
      </c>
      <c r="C781" t="s">
        <v>74</v>
      </c>
      <c r="D781" t="s">
        <v>74</v>
      </c>
      <c r="E781" t="s">
        <v>74</v>
      </c>
      <c r="F781" t="s">
        <v>14089</v>
      </c>
      <c r="G781" t="s">
        <v>74</v>
      </c>
      <c r="H781" t="s">
        <v>74</v>
      </c>
      <c r="I781" t="s">
        <v>14090</v>
      </c>
      <c r="J781" t="s">
        <v>14091</v>
      </c>
      <c r="K781" t="s">
        <v>74</v>
      </c>
      <c r="L781" t="s">
        <v>74</v>
      </c>
      <c r="M781" t="s">
        <v>78</v>
      </c>
      <c r="N781" t="s">
        <v>79</v>
      </c>
      <c r="O781" t="s">
        <v>74</v>
      </c>
      <c r="P781" t="s">
        <v>74</v>
      </c>
      <c r="Q781" t="s">
        <v>74</v>
      </c>
      <c r="R781" t="s">
        <v>74</v>
      </c>
      <c r="S781" t="s">
        <v>74</v>
      </c>
      <c r="T781" t="s">
        <v>14092</v>
      </c>
      <c r="U781" t="s">
        <v>14093</v>
      </c>
      <c r="V781" t="s">
        <v>14094</v>
      </c>
      <c r="W781" t="s">
        <v>14095</v>
      </c>
      <c r="X781" t="s">
        <v>14096</v>
      </c>
      <c r="Y781" t="s">
        <v>14097</v>
      </c>
      <c r="Z781" t="s">
        <v>14098</v>
      </c>
      <c r="AA781" t="s">
        <v>14099</v>
      </c>
      <c r="AB781" t="s">
        <v>14100</v>
      </c>
      <c r="AC781" t="s">
        <v>14101</v>
      </c>
      <c r="AD781" t="s">
        <v>14102</v>
      </c>
      <c r="AE781" t="s">
        <v>14103</v>
      </c>
      <c r="AF781" t="s">
        <v>74</v>
      </c>
      <c r="AG781">
        <v>54</v>
      </c>
      <c r="AH781">
        <v>0</v>
      </c>
      <c r="AI781">
        <v>0</v>
      </c>
      <c r="AJ781">
        <v>0</v>
      </c>
      <c r="AK781">
        <v>0</v>
      </c>
      <c r="AL781" t="s">
        <v>7600</v>
      </c>
      <c r="AM781" t="s">
        <v>7601</v>
      </c>
      <c r="AN781" t="s">
        <v>7602</v>
      </c>
      <c r="AO781" t="s">
        <v>14104</v>
      </c>
      <c r="AP781" t="s">
        <v>14105</v>
      </c>
      <c r="AQ781" t="s">
        <v>74</v>
      </c>
      <c r="AR781" t="s">
        <v>14091</v>
      </c>
      <c r="AS781" t="s">
        <v>14106</v>
      </c>
      <c r="AT781" t="s">
        <v>13744</v>
      </c>
      <c r="AU781">
        <v>2023</v>
      </c>
      <c r="AV781">
        <v>174</v>
      </c>
      <c r="AW781">
        <v>5</v>
      </c>
      <c r="AX781" t="s">
        <v>74</v>
      </c>
      <c r="AY781" t="s">
        <v>74</v>
      </c>
      <c r="AZ781" t="s">
        <v>74</v>
      </c>
      <c r="BA781" t="s">
        <v>74</v>
      </c>
      <c r="BB781" t="s">
        <v>74</v>
      </c>
      <c r="BC781" t="s">
        <v>74</v>
      </c>
      <c r="BD781">
        <v>125983</v>
      </c>
      <c r="BE781" t="s">
        <v>14107</v>
      </c>
      <c r="BF781" t="str">
        <f>HYPERLINK("http://dx.doi.org/10.1016/j.protis.2023.125983","http://dx.doi.org/10.1016/j.protis.2023.125983")</f>
        <v>http://dx.doi.org/10.1016/j.protis.2023.125983</v>
      </c>
      <c r="BG781" t="s">
        <v>74</v>
      </c>
      <c r="BH781" t="s">
        <v>74</v>
      </c>
      <c r="BI781">
        <v>16</v>
      </c>
      <c r="BJ781" t="s">
        <v>14108</v>
      </c>
      <c r="BK781" t="s">
        <v>100</v>
      </c>
      <c r="BL781" t="s">
        <v>14108</v>
      </c>
      <c r="BM781" t="s">
        <v>14109</v>
      </c>
      <c r="BN781">
        <v>37573812</v>
      </c>
      <c r="BO781" t="s">
        <v>295</v>
      </c>
      <c r="BP781" t="s">
        <v>74</v>
      </c>
      <c r="BQ781" t="s">
        <v>74</v>
      </c>
      <c r="BR781" t="s">
        <v>104</v>
      </c>
      <c r="BS781" t="s">
        <v>14110</v>
      </c>
      <c r="BT781" t="str">
        <f>HYPERLINK("https%3A%2F%2Fwww.webofscience.com%2Fwos%2Fwoscc%2Ffull-record%2FWOS:001058052500001","View Full Record in Web of Science")</f>
        <v>View Full Record in Web of Science</v>
      </c>
    </row>
    <row r="782" spans="1:72" x14ac:dyDescent="0.15">
      <c r="A782" t="s">
        <v>72</v>
      </c>
      <c r="B782" t="s">
        <v>14111</v>
      </c>
      <c r="C782" t="s">
        <v>74</v>
      </c>
      <c r="D782" t="s">
        <v>74</v>
      </c>
      <c r="E782" t="s">
        <v>74</v>
      </c>
      <c r="F782" t="s">
        <v>14112</v>
      </c>
      <c r="G782" t="s">
        <v>74</v>
      </c>
      <c r="H782" t="s">
        <v>74</v>
      </c>
      <c r="I782" t="s">
        <v>14113</v>
      </c>
      <c r="J782" t="s">
        <v>14114</v>
      </c>
      <c r="K782" t="s">
        <v>74</v>
      </c>
      <c r="L782" t="s">
        <v>74</v>
      </c>
      <c r="M782" t="s">
        <v>78</v>
      </c>
      <c r="N782" t="s">
        <v>79</v>
      </c>
      <c r="O782" t="s">
        <v>74</v>
      </c>
      <c r="P782" t="s">
        <v>74</v>
      </c>
      <c r="Q782" t="s">
        <v>74</v>
      </c>
      <c r="R782" t="s">
        <v>74</v>
      </c>
      <c r="S782" t="s">
        <v>74</v>
      </c>
      <c r="T782" t="s">
        <v>14115</v>
      </c>
      <c r="U782" t="s">
        <v>14116</v>
      </c>
      <c r="V782" t="s">
        <v>14117</v>
      </c>
      <c r="W782" t="s">
        <v>14118</v>
      </c>
      <c r="X782" t="s">
        <v>14119</v>
      </c>
      <c r="Y782" t="s">
        <v>14120</v>
      </c>
      <c r="Z782" t="s">
        <v>14121</v>
      </c>
      <c r="AA782" t="s">
        <v>14122</v>
      </c>
      <c r="AB782" t="s">
        <v>14123</v>
      </c>
      <c r="AC782" t="s">
        <v>14124</v>
      </c>
      <c r="AD782" t="s">
        <v>14125</v>
      </c>
      <c r="AE782" t="s">
        <v>14126</v>
      </c>
      <c r="AF782" t="s">
        <v>74</v>
      </c>
      <c r="AG782">
        <v>39</v>
      </c>
      <c r="AH782">
        <v>0</v>
      </c>
      <c r="AI782">
        <v>0</v>
      </c>
      <c r="AJ782">
        <v>12</v>
      </c>
      <c r="AK782">
        <v>12</v>
      </c>
      <c r="AL782" t="s">
        <v>475</v>
      </c>
      <c r="AM782" t="s">
        <v>476</v>
      </c>
      <c r="AN782" t="s">
        <v>477</v>
      </c>
      <c r="AO782" t="s">
        <v>14127</v>
      </c>
      <c r="AP782" t="s">
        <v>14128</v>
      </c>
      <c r="AQ782" t="s">
        <v>74</v>
      </c>
      <c r="AR782" t="s">
        <v>14129</v>
      </c>
      <c r="AS782" t="s">
        <v>14130</v>
      </c>
      <c r="AT782" t="s">
        <v>13744</v>
      </c>
      <c r="AU782">
        <v>2023</v>
      </c>
      <c r="AV782">
        <v>123</v>
      </c>
      <c r="AW782" t="s">
        <v>74</v>
      </c>
      <c r="AX782" t="s">
        <v>74</v>
      </c>
      <c r="AY782" t="s">
        <v>74</v>
      </c>
      <c r="AZ782" t="s">
        <v>74</v>
      </c>
      <c r="BA782" t="s">
        <v>74</v>
      </c>
      <c r="BB782" t="s">
        <v>74</v>
      </c>
      <c r="BC782" t="s">
        <v>74</v>
      </c>
      <c r="BD782">
        <v>105572</v>
      </c>
      <c r="BE782" t="s">
        <v>14131</v>
      </c>
      <c r="BF782" t="str">
        <f>HYPERLINK("http://dx.doi.org/10.1016/j.jfca.2023.105572","http://dx.doi.org/10.1016/j.jfca.2023.105572")</f>
        <v>http://dx.doi.org/10.1016/j.jfca.2023.105572</v>
      </c>
      <c r="BG782" t="s">
        <v>74</v>
      </c>
      <c r="BH782" t="s">
        <v>74</v>
      </c>
      <c r="BI782">
        <v>10</v>
      </c>
      <c r="BJ782" t="s">
        <v>1849</v>
      </c>
      <c r="BK782" t="s">
        <v>100</v>
      </c>
      <c r="BL782" t="s">
        <v>1851</v>
      </c>
      <c r="BM782" t="s">
        <v>14132</v>
      </c>
      <c r="BN782" t="s">
        <v>74</v>
      </c>
      <c r="BO782" t="s">
        <v>74</v>
      </c>
      <c r="BP782" t="s">
        <v>74</v>
      </c>
      <c r="BQ782" t="s">
        <v>74</v>
      </c>
      <c r="BR782" t="s">
        <v>104</v>
      </c>
      <c r="BS782" t="s">
        <v>14133</v>
      </c>
      <c r="BT782" t="str">
        <f>HYPERLINK("https%3A%2F%2Fwww.webofscience.com%2Fwos%2Fwoscc%2Ffull-record%2FWOS:001053189800001","View Full Record in Web of Science")</f>
        <v>View Full Record in Web of Science</v>
      </c>
    </row>
    <row r="783" spans="1:72" x14ac:dyDescent="0.15">
      <c r="A783" t="s">
        <v>72</v>
      </c>
      <c r="B783" t="s">
        <v>14134</v>
      </c>
      <c r="C783" t="s">
        <v>74</v>
      </c>
      <c r="D783" t="s">
        <v>74</v>
      </c>
      <c r="E783" t="s">
        <v>74</v>
      </c>
      <c r="F783" t="s">
        <v>14135</v>
      </c>
      <c r="G783" t="s">
        <v>74</v>
      </c>
      <c r="H783" t="s">
        <v>74</v>
      </c>
      <c r="I783" t="s">
        <v>14136</v>
      </c>
      <c r="J783" t="s">
        <v>14137</v>
      </c>
      <c r="K783" t="s">
        <v>74</v>
      </c>
      <c r="L783" t="s">
        <v>74</v>
      </c>
      <c r="M783" t="s">
        <v>78</v>
      </c>
      <c r="N783" t="s">
        <v>79</v>
      </c>
      <c r="O783" t="s">
        <v>74</v>
      </c>
      <c r="P783" t="s">
        <v>74</v>
      </c>
      <c r="Q783" t="s">
        <v>74</v>
      </c>
      <c r="R783" t="s">
        <v>74</v>
      </c>
      <c r="S783" t="s">
        <v>74</v>
      </c>
      <c r="T783" t="s">
        <v>14138</v>
      </c>
      <c r="U783" t="s">
        <v>14139</v>
      </c>
      <c r="V783" t="s">
        <v>14140</v>
      </c>
      <c r="W783" t="s">
        <v>14141</v>
      </c>
      <c r="X783" t="s">
        <v>14142</v>
      </c>
      <c r="Y783" t="s">
        <v>14143</v>
      </c>
      <c r="Z783" t="s">
        <v>14144</v>
      </c>
      <c r="AA783" t="s">
        <v>14145</v>
      </c>
      <c r="AB783" t="s">
        <v>14146</v>
      </c>
      <c r="AC783" t="s">
        <v>14147</v>
      </c>
      <c r="AD783" t="s">
        <v>14148</v>
      </c>
      <c r="AE783" t="s">
        <v>14149</v>
      </c>
      <c r="AF783" t="s">
        <v>74</v>
      </c>
      <c r="AG783">
        <v>34</v>
      </c>
      <c r="AH783">
        <v>0</v>
      </c>
      <c r="AI783">
        <v>0</v>
      </c>
      <c r="AJ783">
        <v>0</v>
      </c>
      <c r="AK783">
        <v>0</v>
      </c>
      <c r="AL783" t="s">
        <v>90</v>
      </c>
      <c r="AM783" t="s">
        <v>91</v>
      </c>
      <c r="AN783" t="s">
        <v>92</v>
      </c>
      <c r="AO783" t="s">
        <v>14150</v>
      </c>
      <c r="AP783" t="s">
        <v>14151</v>
      </c>
      <c r="AQ783" t="s">
        <v>74</v>
      </c>
      <c r="AR783" t="s">
        <v>14152</v>
      </c>
      <c r="AS783" t="s">
        <v>14153</v>
      </c>
      <c r="AT783" t="s">
        <v>13744</v>
      </c>
      <c r="AU783">
        <v>2023</v>
      </c>
      <c r="AV783">
        <v>80</v>
      </c>
      <c r="AW783" t="s">
        <v>74</v>
      </c>
      <c r="AX783" t="s">
        <v>74</v>
      </c>
      <c r="AY783" t="s">
        <v>74</v>
      </c>
      <c r="AZ783" t="s">
        <v>74</v>
      </c>
      <c r="BA783" t="s">
        <v>74</v>
      </c>
      <c r="BB783" t="s">
        <v>74</v>
      </c>
      <c r="BC783" t="s">
        <v>74</v>
      </c>
      <c r="BD783">
        <v>101887</v>
      </c>
      <c r="BE783" t="s">
        <v>14154</v>
      </c>
      <c r="BF783" t="str">
        <f>HYPERLINK("http://dx.doi.org/10.1016/j.trim.2023.101887","http://dx.doi.org/10.1016/j.trim.2023.101887")</f>
        <v>http://dx.doi.org/10.1016/j.trim.2023.101887</v>
      </c>
      <c r="BG783" t="s">
        <v>74</v>
      </c>
      <c r="BH783" t="s">
        <v>74</v>
      </c>
      <c r="BI783">
        <v>5</v>
      </c>
      <c r="BJ783" t="s">
        <v>14155</v>
      </c>
      <c r="BK783" t="s">
        <v>100</v>
      </c>
      <c r="BL783" t="s">
        <v>14155</v>
      </c>
      <c r="BM783" t="s">
        <v>14156</v>
      </c>
      <c r="BN783">
        <v>37451646</v>
      </c>
      <c r="BO783" t="s">
        <v>74</v>
      </c>
      <c r="BP783" t="s">
        <v>74</v>
      </c>
      <c r="BQ783" t="s">
        <v>74</v>
      </c>
      <c r="BR783" t="s">
        <v>104</v>
      </c>
      <c r="BS783" t="s">
        <v>14157</v>
      </c>
      <c r="BT783" t="str">
        <f>HYPERLINK("https%3A%2F%2Fwww.webofscience.com%2Fwos%2Fwoscc%2Ffull-record%2FWOS:001049453100001","View Full Record in Web of Science")</f>
        <v>View Full Record in Web of Science</v>
      </c>
    </row>
    <row r="784" spans="1:72" x14ac:dyDescent="0.15">
      <c r="A784" t="s">
        <v>72</v>
      </c>
      <c r="B784" t="s">
        <v>14158</v>
      </c>
      <c r="C784" t="s">
        <v>74</v>
      </c>
      <c r="D784" t="s">
        <v>74</v>
      </c>
      <c r="E784" t="s">
        <v>74</v>
      </c>
      <c r="F784" t="s">
        <v>14159</v>
      </c>
      <c r="G784" t="s">
        <v>74</v>
      </c>
      <c r="H784" t="s">
        <v>74</v>
      </c>
      <c r="I784" t="s">
        <v>14160</v>
      </c>
      <c r="J784" t="s">
        <v>14161</v>
      </c>
      <c r="K784" t="s">
        <v>74</v>
      </c>
      <c r="L784" t="s">
        <v>74</v>
      </c>
      <c r="M784" t="s">
        <v>78</v>
      </c>
      <c r="N784" t="s">
        <v>79</v>
      </c>
      <c r="O784" t="s">
        <v>74</v>
      </c>
      <c r="P784" t="s">
        <v>74</v>
      </c>
      <c r="Q784" t="s">
        <v>74</v>
      </c>
      <c r="R784" t="s">
        <v>74</v>
      </c>
      <c r="S784" t="s">
        <v>74</v>
      </c>
      <c r="T784" t="s">
        <v>14162</v>
      </c>
      <c r="U784" t="s">
        <v>14163</v>
      </c>
      <c r="V784" t="s">
        <v>14164</v>
      </c>
      <c r="W784" t="s">
        <v>14165</v>
      </c>
      <c r="X784" t="s">
        <v>14166</v>
      </c>
      <c r="Y784" t="s">
        <v>14167</v>
      </c>
      <c r="Z784" t="s">
        <v>14168</v>
      </c>
      <c r="AA784" t="s">
        <v>74</v>
      </c>
      <c r="AB784" t="s">
        <v>14169</v>
      </c>
      <c r="AC784" t="s">
        <v>14170</v>
      </c>
      <c r="AD784" t="s">
        <v>14171</v>
      </c>
      <c r="AE784" t="s">
        <v>14172</v>
      </c>
      <c r="AF784" t="s">
        <v>74</v>
      </c>
      <c r="AG784">
        <v>45</v>
      </c>
      <c r="AH784">
        <v>0</v>
      </c>
      <c r="AI784">
        <v>0</v>
      </c>
      <c r="AJ784">
        <v>0</v>
      </c>
      <c r="AK784">
        <v>0</v>
      </c>
      <c r="AL784" t="s">
        <v>90</v>
      </c>
      <c r="AM784" t="s">
        <v>91</v>
      </c>
      <c r="AN784" t="s">
        <v>92</v>
      </c>
      <c r="AO784" t="s">
        <v>74</v>
      </c>
      <c r="AP784" t="s">
        <v>14173</v>
      </c>
      <c r="AQ784" t="s">
        <v>74</v>
      </c>
      <c r="AR784" t="s">
        <v>14174</v>
      </c>
      <c r="AS784" t="s">
        <v>14175</v>
      </c>
      <c r="AT784" t="s">
        <v>13744</v>
      </c>
      <c r="AU784">
        <v>2023</v>
      </c>
      <c r="AV784">
        <v>35</v>
      </c>
      <c r="AW784" t="s">
        <v>74</v>
      </c>
      <c r="AX784" t="s">
        <v>74</v>
      </c>
      <c r="AY784" t="s">
        <v>74</v>
      </c>
      <c r="AZ784" t="s">
        <v>74</v>
      </c>
      <c r="BA784" t="s">
        <v>74</v>
      </c>
      <c r="BB784" t="s">
        <v>74</v>
      </c>
      <c r="BC784" t="s">
        <v>74</v>
      </c>
      <c r="BD784">
        <v>102371</v>
      </c>
      <c r="BE784" t="s">
        <v>14176</v>
      </c>
      <c r="BF784" t="str">
        <f>HYPERLINK("http://dx.doi.org/10.1016/j.pmedr.2023.102371","http://dx.doi.org/10.1016/j.pmedr.2023.102371")</f>
        <v>http://dx.doi.org/10.1016/j.pmedr.2023.102371</v>
      </c>
      <c r="BG784" t="s">
        <v>74</v>
      </c>
      <c r="BH784" t="s">
        <v>74</v>
      </c>
      <c r="BI784">
        <v>8</v>
      </c>
      <c r="BJ784" t="s">
        <v>14177</v>
      </c>
      <c r="BK784" t="s">
        <v>100</v>
      </c>
      <c r="BL784" t="s">
        <v>14177</v>
      </c>
      <c r="BM784" t="s">
        <v>14178</v>
      </c>
      <c r="BN784">
        <v>37654517</v>
      </c>
      <c r="BO784" t="s">
        <v>14179</v>
      </c>
      <c r="BP784" t="s">
        <v>74</v>
      </c>
      <c r="BQ784" t="s">
        <v>74</v>
      </c>
      <c r="BR784" t="s">
        <v>104</v>
      </c>
      <c r="BS784" t="s">
        <v>14180</v>
      </c>
      <c r="BT784" t="str">
        <f>HYPERLINK("https%3A%2F%2Fwww.webofscience.com%2Fwos%2Fwoscc%2Ffull-record%2FWOS:001061369500001","View Full Record in Web of Science")</f>
        <v>View Full Record in Web of Science</v>
      </c>
    </row>
    <row r="785" spans="1:72" x14ac:dyDescent="0.15">
      <c r="A785" t="s">
        <v>72</v>
      </c>
      <c r="B785" t="s">
        <v>14181</v>
      </c>
      <c r="C785" t="s">
        <v>74</v>
      </c>
      <c r="D785" t="s">
        <v>74</v>
      </c>
      <c r="E785" t="s">
        <v>74</v>
      </c>
      <c r="F785" t="s">
        <v>14182</v>
      </c>
      <c r="G785" t="s">
        <v>74</v>
      </c>
      <c r="H785" t="s">
        <v>74</v>
      </c>
      <c r="I785" t="s">
        <v>14183</v>
      </c>
      <c r="J785" t="s">
        <v>12526</v>
      </c>
      <c r="K785" t="s">
        <v>74</v>
      </c>
      <c r="L785" t="s">
        <v>74</v>
      </c>
      <c r="M785" t="s">
        <v>78</v>
      </c>
      <c r="N785" t="s">
        <v>79</v>
      </c>
      <c r="O785" t="s">
        <v>74</v>
      </c>
      <c r="P785" t="s">
        <v>74</v>
      </c>
      <c r="Q785" t="s">
        <v>74</v>
      </c>
      <c r="R785" t="s">
        <v>74</v>
      </c>
      <c r="S785" t="s">
        <v>74</v>
      </c>
      <c r="T785" t="s">
        <v>14184</v>
      </c>
      <c r="U785" t="s">
        <v>14185</v>
      </c>
      <c r="V785" t="s">
        <v>14186</v>
      </c>
      <c r="W785" t="s">
        <v>14187</v>
      </c>
      <c r="X785" t="s">
        <v>14188</v>
      </c>
      <c r="Y785" t="s">
        <v>14189</v>
      </c>
      <c r="Z785" t="s">
        <v>14190</v>
      </c>
      <c r="AA785" t="s">
        <v>14191</v>
      </c>
      <c r="AB785" t="s">
        <v>14192</v>
      </c>
      <c r="AC785" t="s">
        <v>14193</v>
      </c>
      <c r="AD785" t="s">
        <v>14194</v>
      </c>
      <c r="AE785" t="s">
        <v>14195</v>
      </c>
      <c r="AF785" t="s">
        <v>74</v>
      </c>
      <c r="AG785">
        <v>44</v>
      </c>
      <c r="AH785">
        <v>0</v>
      </c>
      <c r="AI785">
        <v>0</v>
      </c>
      <c r="AJ785">
        <v>2</v>
      </c>
      <c r="AK785">
        <v>2</v>
      </c>
      <c r="AL785" t="s">
        <v>955</v>
      </c>
      <c r="AM785" t="s">
        <v>956</v>
      </c>
      <c r="AN785" t="s">
        <v>957</v>
      </c>
      <c r="AO785" t="s">
        <v>12538</v>
      </c>
      <c r="AP785" t="s">
        <v>12539</v>
      </c>
      <c r="AQ785" t="s">
        <v>74</v>
      </c>
      <c r="AR785" t="s">
        <v>12540</v>
      </c>
      <c r="AS785" t="s">
        <v>12541</v>
      </c>
      <c r="AT785" t="s">
        <v>13778</v>
      </c>
      <c r="AU785">
        <v>2023</v>
      </c>
      <c r="AV785">
        <v>307</v>
      </c>
      <c r="AW785" t="s">
        <v>74</v>
      </c>
      <c r="AX785" t="s">
        <v>74</v>
      </c>
      <c r="AY785" t="s">
        <v>74</v>
      </c>
      <c r="AZ785" t="s">
        <v>74</v>
      </c>
      <c r="BA785" t="s">
        <v>74</v>
      </c>
      <c r="BB785" t="s">
        <v>74</v>
      </c>
      <c r="BC785" t="s">
        <v>74</v>
      </c>
      <c r="BD785">
        <v>128160</v>
      </c>
      <c r="BE785" t="s">
        <v>14196</v>
      </c>
      <c r="BF785" t="str">
        <f>HYPERLINK("http://dx.doi.org/10.1016/j.matchemphys.2023.128160","http://dx.doi.org/10.1016/j.matchemphys.2023.128160")</f>
        <v>http://dx.doi.org/10.1016/j.matchemphys.2023.128160</v>
      </c>
      <c r="BG785" t="s">
        <v>74</v>
      </c>
      <c r="BH785" t="s">
        <v>74</v>
      </c>
      <c r="BI785">
        <v>10</v>
      </c>
      <c r="BJ785" t="s">
        <v>1111</v>
      </c>
      <c r="BK785" t="s">
        <v>100</v>
      </c>
      <c r="BL785" t="s">
        <v>1112</v>
      </c>
      <c r="BM785" t="s">
        <v>14197</v>
      </c>
      <c r="BN785" t="s">
        <v>74</v>
      </c>
      <c r="BO785" t="s">
        <v>74</v>
      </c>
      <c r="BP785" t="s">
        <v>74</v>
      </c>
      <c r="BQ785" t="s">
        <v>74</v>
      </c>
      <c r="BR785" t="s">
        <v>104</v>
      </c>
      <c r="BS785" t="s">
        <v>14198</v>
      </c>
      <c r="BT785" t="str">
        <f>HYPERLINK("https%3A%2F%2Fwww.webofscience.com%2Fwos%2Fwoscc%2Ffull-record%2FWOS:001054180700001","View Full Record in Web of Science")</f>
        <v>View Full Record in Web of Science</v>
      </c>
    </row>
    <row r="786" spans="1:72" x14ac:dyDescent="0.15">
      <c r="A786" t="s">
        <v>72</v>
      </c>
      <c r="B786" t="s">
        <v>14199</v>
      </c>
      <c r="C786" t="s">
        <v>74</v>
      </c>
      <c r="D786" t="s">
        <v>74</v>
      </c>
      <c r="E786" t="s">
        <v>74</v>
      </c>
      <c r="F786" t="s">
        <v>14200</v>
      </c>
      <c r="G786" t="s">
        <v>74</v>
      </c>
      <c r="H786" t="s">
        <v>74</v>
      </c>
      <c r="I786" t="s">
        <v>14201</v>
      </c>
      <c r="J786" t="s">
        <v>14202</v>
      </c>
      <c r="K786" t="s">
        <v>74</v>
      </c>
      <c r="L786" t="s">
        <v>74</v>
      </c>
      <c r="M786" t="s">
        <v>78</v>
      </c>
      <c r="N786" t="s">
        <v>79</v>
      </c>
      <c r="O786" t="s">
        <v>74</v>
      </c>
      <c r="P786" t="s">
        <v>74</v>
      </c>
      <c r="Q786" t="s">
        <v>74</v>
      </c>
      <c r="R786" t="s">
        <v>74</v>
      </c>
      <c r="S786" t="s">
        <v>74</v>
      </c>
      <c r="T786" t="s">
        <v>74</v>
      </c>
      <c r="U786" t="s">
        <v>14203</v>
      </c>
      <c r="V786" t="s">
        <v>14204</v>
      </c>
      <c r="W786" t="s">
        <v>14205</v>
      </c>
      <c r="X786" t="s">
        <v>14206</v>
      </c>
      <c r="Y786" t="s">
        <v>14207</v>
      </c>
      <c r="Z786" t="s">
        <v>14208</v>
      </c>
      <c r="AA786" t="s">
        <v>74</v>
      </c>
      <c r="AB786" t="s">
        <v>14209</v>
      </c>
      <c r="AC786" t="s">
        <v>74</v>
      </c>
      <c r="AD786" t="s">
        <v>74</v>
      </c>
      <c r="AE786" t="s">
        <v>74</v>
      </c>
      <c r="AF786" t="s">
        <v>74</v>
      </c>
      <c r="AG786">
        <v>22</v>
      </c>
      <c r="AH786">
        <v>0</v>
      </c>
      <c r="AI786">
        <v>0</v>
      </c>
      <c r="AJ786">
        <v>0</v>
      </c>
      <c r="AK786">
        <v>0</v>
      </c>
      <c r="AL786" t="s">
        <v>120</v>
      </c>
      <c r="AM786" t="s">
        <v>121</v>
      </c>
      <c r="AN786" t="s">
        <v>122</v>
      </c>
      <c r="AO786" t="s">
        <v>14210</v>
      </c>
      <c r="AP786" t="s">
        <v>14211</v>
      </c>
      <c r="AQ786" t="s">
        <v>74</v>
      </c>
      <c r="AR786" t="s">
        <v>14212</v>
      </c>
      <c r="AS786" t="s">
        <v>14213</v>
      </c>
      <c r="AT786" t="s">
        <v>13744</v>
      </c>
      <c r="AU786">
        <v>2023</v>
      </c>
      <c r="AV786">
        <v>47</v>
      </c>
      <c r="AW786">
        <v>4</v>
      </c>
      <c r="AX786" t="s">
        <v>74</v>
      </c>
      <c r="AY786" t="s">
        <v>74</v>
      </c>
      <c r="AZ786" t="s">
        <v>74</v>
      </c>
      <c r="BA786" t="s">
        <v>74</v>
      </c>
      <c r="BB786" t="s">
        <v>74</v>
      </c>
      <c r="BC786" t="s">
        <v>74</v>
      </c>
      <c r="BD786">
        <v>103305</v>
      </c>
      <c r="BE786" t="s">
        <v>14214</v>
      </c>
      <c r="BF786" t="str">
        <f>HYPERLINK("http://dx.doi.org/10.1016/j.rbmo.2023.103305","http://dx.doi.org/10.1016/j.rbmo.2023.103305")</f>
        <v>http://dx.doi.org/10.1016/j.rbmo.2023.103305</v>
      </c>
      <c r="BG786" t="s">
        <v>74</v>
      </c>
      <c r="BH786" t="s">
        <v>74</v>
      </c>
      <c r="BI786">
        <v>5</v>
      </c>
      <c r="BJ786" t="s">
        <v>14215</v>
      </c>
      <c r="BK786" t="s">
        <v>100</v>
      </c>
      <c r="BL786" t="s">
        <v>14215</v>
      </c>
      <c r="BM786" t="s">
        <v>14216</v>
      </c>
      <c r="BN786">
        <v>37619517</v>
      </c>
      <c r="BO786" t="s">
        <v>504</v>
      </c>
      <c r="BP786" t="s">
        <v>74</v>
      </c>
      <c r="BQ786" t="s">
        <v>74</v>
      </c>
      <c r="BR786" t="s">
        <v>104</v>
      </c>
      <c r="BS786" t="s">
        <v>14217</v>
      </c>
      <c r="BT786" t="str">
        <f>HYPERLINK("https%3A%2F%2Fwww.webofscience.com%2Fwos%2Fwoscc%2Ffull-record%2FWOS:001067028100001","View Full Record in Web of Science")</f>
        <v>View Full Record in Web of Science</v>
      </c>
    </row>
    <row r="787" spans="1:72" x14ac:dyDescent="0.15">
      <c r="A787" t="s">
        <v>72</v>
      </c>
      <c r="B787" t="s">
        <v>14218</v>
      </c>
      <c r="C787" t="s">
        <v>74</v>
      </c>
      <c r="D787" t="s">
        <v>74</v>
      </c>
      <c r="E787" t="s">
        <v>74</v>
      </c>
      <c r="F787" t="s">
        <v>14219</v>
      </c>
      <c r="G787" t="s">
        <v>74</v>
      </c>
      <c r="H787" t="s">
        <v>74</v>
      </c>
      <c r="I787" t="s">
        <v>14220</v>
      </c>
      <c r="J787" t="s">
        <v>13835</v>
      </c>
      <c r="K787" t="s">
        <v>74</v>
      </c>
      <c r="L787" t="s">
        <v>74</v>
      </c>
      <c r="M787" t="s">
        <v>78</v>
      </c>
      <c r="N787" t="s">
        <v>79</v>
      </c>
      <c r="O787" t="s">
        <v>74</v>
      </c>
      <c r="P787" t="s">
        <v>74</v>
      </c>
      <c r="Q787" t="s">
        <v>74</v>
      </c>
      <c r="R787" t="s">
        <v>74</v>
      </c>
      <c r="S787" t="s">
        <v>74</v>
      </c>
      <c r="T787" t="s">
        <v>14221</v>
      </c>
      <c r="U787" t="s">
        <v>14222</v>
      </c>
      <c r="V787" t="s">
        <v>14223</v>
      </c>
      <c r="W787" t="s">
        <v>14224</v>
      </c>
      <c r="X787" t="s">
        <v>14225</v>
      </c>
      <c r="Y787" t="s">
        <v>14226</v>
      </c>
      <c r="Z787" t="s">
        <v>14227</v>
      </c>
      <c r="AA787" t="s">
        <v>14228</v>
      </c>
      <c r="AB787" t="s">
        <v>14229</v>
      </c>
      <c r="AC787" t="s">
        <v>74</v>
      </c>
      <c r="AD787" t="s">
        <v>74</v>
      </c>
      <c r="AE787" t="s">
        <v>74</v>
      </c>
      <c r="AF787" t="s">
        <v>74</v>
      </c>
      <c r="AG787">
        <v>35</v>
      </c>
      <c r="AH787">
        <v>5</v>
      </c>
      <c r="AI787">
        <v>5</v>
      </c>
      <c r="AJ787">
        <v>1</v>
      </c>
      <c r="AK787">
        <v>1</v>
      </c>
      <c r="AL787" t="s">
        <v>475</v>
      </c>
      <c r="AM787" t="s">
        <v>476</v>
      </c>
      <c r="AN787" t="s">
        <v>477</v>
      </c>
      <c r="AO787" t="s">
        <v>13848</v>
      </c>
      <c r="AP787" t="s">
        <v>13849</v>
      </c>
      <c r="AQ787" t="s">
        <v>74</v>
      </c>
      <c r="AR787" t="s">
        <v>13850</v>
      </c>
      <c r="AS787" t="s">
        <v>13851</v>
      </c>
      <c r="AT787" t="s">
        <v>13744</v>
      </c>
      <c r="AU787">
        <v>2023</v>
      </c>
      <c r="AV787">
        <v>139</v>
      </c>
      <c r="AW787" t="s">
        <v>74</v>
      </c>
      <c r="AX787" t="s">
        <v>74</v>
      </c>
      <c r="AY787" t="s">
        <v>74</v>
      </c>
      <c r="AZ787" t="s">
        <v>74</v>
      </c>
      <c r="BA787" t="s">
        <v>74</v>
      </c>
      <c r="BB787" t="s">
        <v>74</v>
      </c>
      <c r="BC787" t="s">
        <v>74</v>
      </c>
      <c r="BD787">
        <v>106729</v>
      </c>
      <c r="BE787" t="s">
        <v>14230</v>
      </c>
      <c r="BF787" t="str">
        <f>HYPERLINK("http://dx.doi.org/10.1016/j.bioorg.2023.106729","http://dx.doi.org/10.1016/j.bioorg.2023.106729")</f>
        <v>http://dx.doi.org/10.1016/j.bioorg.2023.106729</v>
      </c>
      <c r="BG787" t="s">
        <v>74</v>
      </c>
      <c r="BH787" t="s">
        <v>74</v>
      </c>
      <c r="BI787">
        <v>17</v>
      </c>
      <c r="BJ787" t="s">
        <v>13853</v>
      </c>
      <c r="BK787" t="s">
        <v>100</v>
      </c>
      <c r="BL787" t="s">
        <v>13855</v>
      </c>
      <c r="BM787" t="s">
        <v>14231</v>
      </c>
      <c r="BN787">
        <v>37467621</v>
      </c>
      <c r="BO787" t="s">
        <v>74</v>
      </c>
      <c r="BP787" t="s">
        <v>74</v>
      </c>
      <c r="BQ787" t="s">
        <v>74</v>
      </c>
      <c r="BR787" t="s">
        <v>104</v>
      </c>
      <c r="BS787" t="s">
        <v>14232</v>
      </c>
      <c r="BT787" t="str">
        <f>HYPERLINK("https%3A%2F%2Fwww.webofscience.com%2Fwos%2Fwoscc%2Ffull-record%2FWOS:001043774800001","View Full Record in Web of Science")</f>
        <v>View Full Record in Web of Science</v>
      </c>
    </row>
    <row r="788" spans="1:72" x14ac:dyDescent="0.15">
      <c r="A788" t="s">
        <v>72</v>
      </c>
      <c r="B788" t="s">
        <v>14233</v>
      </c>
      <c r="C788" t="s">
        <v>74</v>
      </c>
      <c r="D788" t="s">
        <v>74</v>
      </c>
      <c r="E788" t="s">
        <v>74</v>
      </c>
      <c r="F788" t="s">
        <v>14234</v>
      </c>
      <c r="G788" t="s">
        <v>74</v>
      </c>
      <c r="H788" t="s">
        <v>74</v>
      </c>
      <c r="I788" t="s">
        <v>14235</v>
      </c>
      <c r="J788" t="s">
        <v>14236</v>
      </c>
      <c r="K788" t="s">
        <v>74</v>
      </c>
      <c r="L788" t="s">
        <v>74</v>
      </c>
      <c r="M788" t="s">
        <v>78</v>
      </c>
      <c r="N788" t="s">
        <v>79</v>
      </c>
      <c r="O788" t="s">
        <v>74</v>
      </c>
      <c r="P788" t="s">
        <v>74</v>
      </c>
      <c r="Q788" t="s">
        <v>74</v>
      </c>
      <c r="R788" t="s">
        <v>74</v>
      </c>
      <c r="S788" t="s">
        <v>74</v>
      </c>
      <c r="T788" t="s">
        <v>14237</v>
      </c>
      <c r="U788" t="s">
        <v>14238</v>
      </c>
      <c r="V788" t="s">
        <v>14239</v>
      </c>
      <c r="W788" t="s">
        <v>14240</v>
      </c>
      <c r="X788" t="s">
        <v>14241</v>
      </c>
      <c r="Y788" t="s">
        <v>14242</v>
      </c>
      <c r="Z788" t="s">
        <v>14243</v>
      </c>
      <c r="AA788" t="s">
        <v>74</v>
      </c>
      <c r="AB788" t="s">
        <v>14244</v>
      </c>
      <c r="AC788" t="s">
        <v>74</v>
      </c>
      <c r="AD788" t="s">
        <v>74</v>
      </c>
      <c r="AE788" t="s">
        <v>74</v>
      </c>
      <c r="AF788" t="s">
        <v>74</v>
      </c>
      <c r="AG788">
        <v>55</v>
      </c>
      <c r="AH788">
        <v>0</v>
      </c>
      <c r="AI788">
        <v>0</v>
      </c>
      <c r="AJ788">
        <v>0</v>
      </c>
      <c r="AK788">
        <v>0</v>
      </c>
      <c r="AL788" t="s">
        <v>90</v>
      </c>
      <c r="AM788" t="s">
        <v>91</v>
      </c>
      <c r="AN788" t="s">
        <v>92</v>
      </c>
      <c r="AO788" t="s">
        <v>14245</v>
      </c>
      <c r="AP788" t="s">
        <v>74</v>
      </c>
      <c r="AQ788" t="s">
        <v>74</v>
      </c>
      <c r="AR788" t="s">
        <v>14246</v>
      </c>
      <c r="AS788" t="s">
        <v>14247</v>
      </c>
      <c r="AT788" t="s">
        <v>13744</v>
      </c>
      <c r="AU788">
        <v>2023</v>
      </c>
      <c r="AV788">
        <v>60</v>
      </c>
      <c r="AW788" t="s">
        <v>74</v>
      </c>
      <c r="AX788" t="s">
        <v>74</v>
      </c>
      <c r="AY788" t="s">
        <v>74</v>
      </c>
      <c r="AZ788" t="s">
        <v>74</v>
      </c>
      <c r="BA788" t="s">
        <v>74</v>
      </c>
      <c r="BB788" t="s">
        <v>74</v>
      </c>
      <c r="BC788" t="s">
        <v>74</v>
      </c>
      <c r="BD788">
        <v>102149</v>
      </c>
      <c r="BE788" t="s">
        <v>14248</v>
      </c>
      <c r="BF788" t="str">
        <f>HYPERLINK("http://dx.doi.org/10.1016/j.phycom.2023.102149","http://dx.doi.org/10.1016/j.phycom.2023.102149")</f>
        <v>http://dx.doi.org/10.1016/j.phycom.2023.102149</v>
      </c>
      <c r="BG788" t="s">
        <v>74</v>
      </c>
      <c r="BH788" t="s">
        <v>74</v>
      </c>
      <c r="BI788">
        <v>11</v>
      </c>
      <c r="BJ788" t="s">
        <v>13982</v>
      </c>
      <c r="BK788" t="s">
        <v>100</v>
      </c>
      <c r="BL788" t="s">
        <v>13983</v>
      </c>
      <c r="BM788" t="s">
        <v>14249</v>
      </c>
      <c r="BN788" t="s">
        <v>74</v>
      </c>
      <c r="BO788" t="s">
        <v>74</v>
      </c>
      <c r="BP788" t="s">
        <v>74</v>
      </c>
      <c r="BQ788" t="s">
        <v>74</v>
      </c>
      <c r="BR788" t="s">
        <v>104</v>
      </c>
      <c r="BS788" t="s">
        <v>14250</v>
      </c>
      <c r="BT788" t="str">
        <f>HYPERLINK("https%3A%2F%2Fwww.webofscience.com%2Fwos%2Fwoscc%2Ffull-record%2FWOS:001051896200001","View Full Record in Web of Science")</f>
        <v>View Full Record in Web of Science</v>
      </c>
    </row>
    <row r="789" spans="1:72" x14ac:dyDescent="0.15">
      <c r="A789" t="s">
        <v>72</v>
      </c>
      <c r="B789" t="s">
        <v>14251</v>
      </c>
      <c r="C789" t="s">
        <v>74</v>
      </c>
      <c r="D789" t="s">
        <v>74</v>
      </c>
      <c r="E789" t="s">
        <v>74</v>
      </c>
      <c r="F789" t="s">
        <v>14252</v>
      </c>
      <c r="G789" t="s">
        <v>74</v>
      </c>
      <c r="H789" t="s">
        <v>74</v>
      </c>
      <c r="I789" t="s">
        <v>14253</v>
      </c>
      <c r="J789" t="s">
        <v>14024</v>
      </c>
      <c r="K789" t="s">
        <v>74</v>
      </c>
      <c r="L789" t="s">
        <v>74</v>
      </c>
      <c r="M789" t="s">
        <v>78</v>
      </c>
      <c r="N789" t="s">
        <v>79</v>
      </c>
      <c r="O789" t="s">
        <v>74</v>
      </c>
      <c r="P789" t="s">
        <v>74</v>
      </c>
      <c r="Q789" t="s">
        <v>74</v>
      </c>
      <c r="R789" t="s">
        <v>74</v>
      </c>
      <c r="S789" t="s">
        <v>74</v>
      </c>
      <c r="T789" t="s">
        <v>14254</v>
      </c>
      <c r="U789" t="s">
        <v>14255</v>
      </c>
      <c r="V789" t="s">
        <v>14256</v>
      </c>
      <c r="W789" t="s">
        <v>14257</v>
      </c>
      <c r="X789" t="s">
        <v>14258</v>
      </c>
      <c r="Y789" t="s">
        <v>14259</v>
      </c>
      <c r="Z789" t="s">
        <v>14260</v>
      </c>
      <c r="AA789" t="s">
        <v>74</v>
      </c>
      <c r="AB789" t="s">
        <v>14261</v>
      </c>
      <c r="AC789" t="s">
        <v>14262</v>
      </c>
      <c r="AD789" t="s">
        <v>14263</v>
      </c>
      <c r="AE789" t="s">
        <v>14264</v>
      </c>
      <c r="AF789" t="s">
        <v>74</v>
      </c>
      <c r="AG789">
        <v>87</v>
      </c>
      <c r="AH789">
        <v>1</v>
      </c>
      <c r="AI789">
        <v>1</v>
      </c>
      <c r="AJ789">
        <v>1</v>
      </c>
      <c r="AK789">
        <v>1</v>
      </c>
      <c r="AL789" t="s">
        <v>90</v>
      </c>
      <c r="AM789" t="s">
        <v>91</v>
      </c>
      <c r="AN789" t="s">
        <v>92</v>
      </c>
      <c r="AO789" t="s">
        <v>14033</v>
      </c>
      <c r="AP789" t="s">
        <v>14034</v>
      </c>
      <c r="AQ789" t="s">
        <v>74</v>
      </c>
      <c r="AR789" t="s">
        <v>14035</v>
      </c>
      <c r="AS789" t="s">
        <v>14036</v>
      </c>
      <c r="AT789" t="s">
        <v>13744</v>
      </c>
      <c r="AU789">
        <v>2023</v>
      </c>
      <c r="AV789">
        <v>23</v>
      </c>
      <c r="AW789" t="s">
        <v>74</v>
      </c>
      <c r="AX789" t="s">
        <v>74</v>
      </c>
      <c r="AY789" t="s">
        <v>74</v>
      </c>
      <c r="AZ789" t="s">
        <v>74</v>
      </c>
      <c r="BA789" t="s">
        <v>74</v>
      </c>
      <c r="BB789" t="s">
        <v>74</v>
      </c>
      <c r="BC789" t="s">
        <v>74</v>
      </c>
      <c r="BD789">
        <v>100829</v>
      </c>
      <c r="BE789" t="s">
        <v>14265</v>
      </c>
      <c r="BF789" t="str">
        <f>HYPERLINK("http://dx.doi.org/10.1016/j.iot.2023.100829","http://dx.doi.org/10.1016/j.iot.2023.100829")</f>
        <v>http://dx.doi.org/10.1016/j.iot.2023.100829</v>
      </c>
      <c r="BG789" t="s">
        <v>74</v>
      </c>
      <c r="BH789" t="s">
        <v>74</v>
      </c>
      <c r="BI789">
        <v>33</v>
      </c>
      <c r="BJ789" t="s">
        <v>14038</v>
      </c>
      <c r="BK789" t="s">
        <v>100</v>
      </c>
      <c r="BL789" t="s">
        <v>14039</v>
      </c>
      <c r="BM789" t="s">
        <v>14266</v>
      </c>
      <c r="BN789" t="s">
        <v>74</v>
      </c>
      <c r="BO789" t="s">
        <v>295</v>
      </c>
      <c r="BP789" t="s">
        <v>74</v>
      </c>
      <c r="BQ789" t="s">
        <v>74</v>
      </c>
      <c r="BR789" t="s">
        <v>104</v>
      </c>
      <c r="BS789" t="s">
        <v>14267</v>
      </c>
      <c r="BT789" t="str">
        <f>HYPERLINK("https%3A%2F%2Fwww.webofscience.com%2Fwos%2Fwoscc%2Ffull-record%2FWOS:001056579100001","View Full Record in Web of Science")</f>
        <v>View Full Record in Web of Science</v>
      </c>
    </row>
    <row r="790" spans="1:72" x14ac:dyDescent="0.15">
      <c r="A790" t="s">
        <v>72</v>
      </c>
      <c r="B790" t="s">
        <v>14268</v>
      </c>
      <c r="C790" t="s">
        <v>74</v>
      </c>
      <c r="D790" t="s">
        <v>74</v>
      </c>
      <c r="E790" t="s">
        <v>74</v>
      </c>
      <c r="F790" t="s">
        <v>14269</v>
      </c>
      <c r="G790" t="s">
        <v>74</v>
      </c>
      <c r="H790" t="s">
        <v>74</v>
      </c>
      <c r="I790" t="s">
        <v>14270</v>
      </c>
      <c r="J790" t="s">
        <v>14271</v>
      </c>
      <c r="K790" t="s">
        <v>74</v>
      </c>
      <c r="L790" t="s">
        <v>74</v>
      </c>
      <c r="M790" t="s">
        <v>78</v>
      </c>
      <c r="N790" t="s">
        <v>241</v>
      </c>
      <c r="O790" t="s">
        <v>74</v>
      </c>
      <c r="P790" t="s">
        <v>74</v>
      </c>
      <c r="Q790" t="s">
        <v>74</v>
      </c>
      <c r="R790" t="s">
        <v>74</v>
      </c>
      <c r="S790" t="s">
        <v>74</v>
      </c>
      <c r="T790" t="s">
        <v>14272</v>
      </c>
      <c r="U790" t="s">
        <v>14273</v>
      </c>
      <c r="V790" t="s">
        <v>14274</v>
      </c>
      <c r="W790" t="s">
        <v>14275</v>
      </c>
      <c r="X790" t="s">
        <v>14276</v>
      </c>
      <c r="Y790" t="s">
        <v>14277</v>
      </c>
      <c r="Z790" t="s">
        <v>14278</v>
      </c>
      <c r="AA790" t="s">
        <v>74</v>
      </c>
      <c r="AB790" t="s">
        <v>14279</v>
      </c>
      <c r="AC790" t="s">
        <v>14280</v>
      </c>
      <c r="AD790" t="s">
        <v>14281</v>
      </c>
      <c r="AE790" t="s">
        <v>14282</v>
      </c>
      <c r="AF790" t="s">
        <v>74</v>
      </c>
      <c r="AG790">
        <v>114</v>
      </c>
      <c r="AH790">
        <v>0</v>
      </c>
      <c r="AI790">
        <v>0</v>
      </c>
      <c r="AJ790">
        <v>0</v>
      </c>
      <c r="AK790">
        <v>0</v>
      </c>
      <c r="AL790" t="s">
        <v>173</v>
      </c>
      <c r="AM790" t="s">
        <v>121</v>
      </c>
      <c r="AN790" t="s">
        <v>174</v>
      </c>
      <c r="AO790" t="s">
        <v>14283</v>
      </c>
      <c r="AP790" t="s">
        <v>14284</v>
      </c>
      <c r="AQ790" t="s">
        <v>74</v>
      </c>
      <c r="AR790" t="s">
        <v>14285</v>
      </c>
      <c r="AS790" t="s">
        <v>14286</v>
      </c>
      <c r="AT790" t="s">
        <v>13744</v>
      </c>
      <c r="AU790">
        <v>2023</v>
      </c>
      <c r="AV790">
        <v>186</v>
      </c>
      <c r="AW790" t="s">
        <v>74</v>
      </c>
      <c r="AX790" t="s">
        <v>74</v>
      </c>
      <c r="AY790" t="s">
        <v>74</v>
      </c>
      <c r="AZ790" t="s">
        <v>74</v>
      </c>
      <c r="BA790" t="s">
        <v>74</v>
      </c>
      <c r="BB790" t="s">
        <v>74</v>
      </c>
      <c r="BC790" t="s">
        <v>74</v>
      </c>
      <c r="BD790">
        <v>113690</v>
      </c>
      <c r="BE790" t="s">
        <v>14287</v>
      </c>
      <c r="BF790" t="str">
        <f>HYPERLINK("http://dx.doi.org/10.1016/j.rser.2023.113690","http://dx.doi.org/10.1016/j.rser.2023.113690")</f>
        <v>http://dx.doi.org/10.1016/j.rser.2023.113690</v>
      </c>
      <c r="BG790" t="s">
        <v>74</v>
      </c>
      <c r="BH790" t="s">
        <v>74</v>
      </c>
      <c r="BI790">
        <v>14</v>
      </c>
      <c r="BJ790" t="s">
        <v>8261</v>
      </c>
      <c r="BK790" t="s">
        <v>100</v>
      </c>
      <c r="BL790" t="s">
        <v>8262</v>
      </c>
      <c r="BM790" t="s">
        <v>14288</v>
      </c>
      <c r="BN790" t="s">
        <v>74</v>
      </c>
      <c r="BO790" t="s">
        <v>74</v>
      </c>
      <c r="BP790" t="s">
        <v>74</v>
      </c>
      <c r="BQ790" t="s">
        <v>74</v>
      </c>
      <c r="BR790" t="s">
        <v>104</v>
      </c>
      <c r="BS790" t="s">
        <v>14289</v>
      </c>
      <c r="BT790" t="str">
        <f>HYPERLINK("https%3A%2F%2Fwww.webofscience.com%2Fwos%2Fwoscc%2Ffull-record%2FWOS:001070521800001","View Full Record in Web of Science")</f>
        <v>View Full Record in Web of Science</v>
      </c>
    </row>
    <row r="791" spans="1:72" x14ac:dyDescent="0.15">
      <c r="A791" t="s">
        <v>72</v>
      </c>
      <c r="B791" t="s">
        <v>14290</v>
      </c>
      <c r="C791" t="s">
        <v>74</v>
      </c>
      <c r="D791" t="s">
        <v>74</v>
      </c>
      <c r="E791" t="s">
        <v>74</v>
      </c>
      <c r="F791" t="s">
        <v>14291</v>
      </c>
      <c r="G791" t="s">
        <v>74</v>
      </c>
      <c r="H791" t="s">
        <v>74</v>
      </c>
      <c r="I791" t="s">
        <v>14292</v>
      </c>
      <c r="J791" t="s">
        <v>947</v>
      </c>
      <c r="K791" t="s">
        <v>74</v>
      </c>
      <c r="L791" t="s">
        <v>74</v>
      </c>
      <c r="M791" t="s">
        <v>78</v>
      </c>
      <c r="N791" t="s">
        <v>79</v>
      </c>
      <c r="O791" t="s">
        <v>74</v>
      </c>
      <c r="P791" t="s">
        <v>74</v>
      </c>
      <c r="Q791" t="s">
        <v>74</v>
      </c>
      <c r="R791" t="s">
        <v>74</v>
      </c>
      <c r="S791" t="s">
        <v>74</v>
      </c>
      <c r="T791" t="s">
        <v>14293</v>
      </c>
      <c r="U791" t="s">
        <v>14294</v>
      </c>
      <c r="V791" t="s">
        <v>14295</v>
      </c>
      <c r="W791" t="s">
        <v>14296</v>
      </c>
      <c r="X791" t="s">
        <v>14297</v>
      </c>
      <c r="Y791" t="s">
        <v>14298</v>
      </c>
      <c r="Z791" t="s">
        <v>14299</v>
      </c>
      <c r="AA791" t="s">
        <v>74</v>
      </c>
      <c r="AB791" t="s">
        <v>74</v>
      </c>
      <c r="AC791" t="s">
        <v>74</v>
      </c>
      <c r="AD791" t="s">
        <v>74</v>
      </c>
      <c r="AE791" t="s">
        <v>74</v>
      </c>
      <c r="AF791" t="s">
        <v>74</v>
      </c>
      <c r="AG791">
        <v>38</v>
      </c>
      <c r="AH791">
        <v>0</v>
      </c>
      <c r="AI791">
        <v>0</v>
      </c>
      <c r="AJ791">
        <v>0</v>
      </c>
      <c r="AK791">
        <v>0</v>
      </c>
      <c r="AL791" t="s">
        <v>955</v>
      </c>
      <c r="AM791" t="s">
        <v>956</v>
      </c>
      <c r="AN791" t="s">
        <v>957</v>
      </c>
      <c r="AO791" t="s">
        <v>958</v>
      </c>
      <c r="AP791" t="s">
        <v>959</v>
      </c>
      <c r="AQ791" t="s">
        <v>74</v>
      </c>
      <c r="AR791" t="s">
        <v>960</v>
      </c>
      <c r="AS791" t="s">
        <v>961</v>
      </c>
      <c r="AT791" t="s">
        <v>13778</v>
      </c>
      <c r="AU791">
        <v>2023</v>
      </c>
      <c r="AV791">
        <v>444</v>
      </c>
      <c r="AW791" t="s">
        <v>74</v>
      </c>
      <c r="AX791" t="s">
        <v>74</v>
      </c>
      <c r="AY791" t="s">
        <v>74</v>
      </c>
      <c r="AZ791" t="s">
        <v>74</v>
      </c>
      <c r="BA791" t="s">
        <v>74</v>
      </c>
      <c r="BB791" t="s">
        <v>74</v>
      </c>
      <c r="BC791" t="s">
        <v>74</v>
      </c>
      <c r="BD791">
        <v>114910</v>
      </c>
      <c r="BE791" t="s">
        <v>14300</v>
      </c>
      <c r="BF791" t="str">
        <f>HYPERLINK("http://dx.doi.org/10.1016/j.jphotochem.2023.114910","http://dx.doi.org/10.1016/j.jphotochem.2023.114910")</f>
        <v>http://dx.doi.org/10.1016/j.jphotochem.2023.114910</v>
      </c>
      <c r="BG791" t="s">
        <v>74</v>
      </c>
      <c r="BH791" t="s">
        <v>74</v>
      </c>
      <c r="BI791">
        <v>12</v>
      </c>
      <c r="BJ791" t="s">
        <v>394</v>
      </c>
      <c r="BK791" t="s">
        <v>100</v>
      </c>
      <c r="BL791" t="s">
        <v>395</v>
      </c>
      <c r="BM791" t="s">
        <v>14301</v>
      </c>
      <c r="BN791" t="s">
        <v>74</v>
      </c>
      <c r="BO791" t="s">
        <v>74</v>
      </c>
      <c r="BP791" t="s">
        <v>74</v>
      </c>
      <c r="BQ791" t="s">
        <v>74</v>
      </c>
      <c r="BR791" t="s">
        <v>104</v>
      </c>
      <c r="BS791" t="s">
        <v>14302</v>
      </c>
      <c r="BT791" t="str">
        <f>HYPERLINK("https%3A%2F%2Fwww.webofscience.com%2Fwos%2Fwoscc%2Ffull-record%2FWOS:001059774400001","View Full Record in Web of Science")</f>
        <v>View Full Record in Web of Science</v>
      </c>
    </row>
    <row r="792" spans="1:72" x14ac:dyDescent="0.15">
      <c r="A792" t="s">
        <v>72</v>
      </c>
      <c r="B792" t="s">
        <v>14303</v>
      </c>
      <c r="C792" t="s">
        <v>74</v>
      </c>
      <c r="D792" t="s">
        <v>74</v>
      </c>
      <c r="E792" t="s">
        <v>74</v>
      </c>
      <c r="F792" t="s">
        <v>14304</v>
      </c>
      <c r="G792" t="s">
        <v>74</v>
      </c>
      <c r="H792" t="s">
        <v>74</v>
      </c>
      <c r="I792" t="s">
        <v>14305</v>
      </c>
      <c r="J792" t="s">
        <v>14306</v>
      </c>
      <c r="K792" t="s">
        <v>74</v>
      </c>
      <c r="L792" t="s">
        <v>74</v>
      </c>
      <c r="M792" t="s">
        <v>78</v>
      </c>
      <c r="N792" t="s">
        <v>79</v>
      </c>
      <c r="O792" t="s">
        <v>74</v>
      </c>
      <c r="P792" t="s">
        <v>74</v>
      </c>
      <c r="Q792" t="s">
        <v>74</v>
      </c>
      <c r="R792" t="s">
        <v>74</v>
      </c>
      <c r="S792" t="s">
        <v>74</v>
      </c>
      <c r="T792" t="s">
        <v>14307</v>
      </c>
      <c r="U792" t="s">
        <v>14308</v>
      </c>
      <c r="V792" t="s">
        <v>14309</v>
      </c>
      <c r="W792" t="s">
        <v>14310</v>
      </c>
      <c r="X792" t="s">
        <v>14311</v>
      </c>
      <c r="Y792" t="s">
        <v>14312</v>
      </c>
      <c r="Z792" t="s">
        <v>14313</v>
      </c>
      <c r="AA792" t="s">
        <v>74</v>
      </c>
      <c r="AB792" t="s">
        <v>74</v>
      </c>
      <c r="AC792" t="s">
        <v>14314</v>
      </c>
      <c r="AD792" t="s">
        <v>14315</v>
      </c>
      <c r="AE792" t="s">
        <v>14316</v>
      </c>
      <c r="AF792" t="s">
        <v>74</v>
      </c>
      <c r="AG792">
        <v>64</v>
      </c>
      <c r="AH792">
        <v>0</v>
      </c>
      <c r="AI792">
        <v>0</v>
      </c>
      <c r="AJ792">
        <v>1</v>
      </c>
      <c r="AK792">
        <v>1</v>
      </c>
      <c r="AL792" t="s">
        <v>147</v>
      </c>
      <c r="AM792" t="s">
        <v>148</v>
      </c>
      <c r="AN792" t="s">
        <v>149</v>
      </c>
      <c r="AO792" t="s">
        <v>14317</v>
      </c>
      <c r="AP792" t="s">
        <v>14318</v>
      </c>
      <c r="AQ792" t="s">
        <v>74</v>
      </c>
      <c r="AR792" t="s">
        <v>14319</v>
      </c>
      <c r="AS792" t="s">
        <v>14320</v>
      </c>
      <c r="AT792" t="s">
        <v>13744</v>
      </c>
      <c r="AU792">
        <v>2023</v>
      </c>
      <c r="AV792">
        <v>161</v>
      </c>
      <c r="AW792" t="s">
        <v>74</v>
      </c>
      <c r="AX792" t="s">
        <v>74</v>
      </c>
      <c r="AY792" t="s">
        <v>74</v>
      </c>
      <c r="AZ792" t="s">
        <v>74</v>
      </c>
      <c r="BA792" t="s">
        <v>74</v>
      </c>
      <c r="BB792" t="s">
        <v>74</v>
      </c>
      <c r="BC792" t="s">
        <v>74</v>
      </c>
      <c r="BD792">
        <v>108995</v>
      </c>
      <c r="BE792" t="s">
        <v>14321</v>
      </c>
      <c r="BF792" t="str">
        <f>HYPERLINK("http://dx.doi.org/10.1016/j.ijar.2023.108995","http://dx.doi.org/10.1016/j.ijar.2023.108995")</f>
        <v>http://dx.doi.org/10.1016/j.ijar.2023.108995</v>
      </c>
      <c r="BG792" t="s">
        <v>74</v>
      </c>
      <c r="BH792" t="s">
        <v>74</v>
      </c>
      <c r="BI792">
        <v>20</v>
      </c>
      <c r="BJ792" t="s">
        <v>562</v>
      </c>
      <c r="BK792" t="s">
        <v>100</v>
      </c>
      <c r="BL792" t="s">
        <v>563</v>
      </c>
      <c r="BM792" t="s">
        <v>14322</v>
      </c>
      <c r="BN792" t="s">
        <v>74</v>
      </c>
      <c r="BO792" t="s">
        <v>295</v>
      </c>
      <c r="BP792" t="s">
        <v>74</v>
      </c>
      <c r="BQ792" t="s">
        <v>74</v>
      </c>
      <c r="BR792" t="s">
        <v>104</v>
      </c>
      <c r="BS792" t="s">
        <v>14323</v>
      </c>
      <c r="BT792" t="str">
        <f>HYPERLINK("https%3A%2F%2Fwww.webofscience.com%2Fwos%2Fwoscc%2Ffull-record%2FWOS:001059448000001","View Full Record in Web of Science")</f>
        <v>View Full Record in Web of Science</v>
      </c>
    </row>
    <row r="793" spans="1:72" x14ac:dyDescent="0.15">
      <c r="A793" t="s">
        <v>72</v>
      </c>
      <c r="B793" t="s">
        <v>14324</v>
      </c>
      <c r="C793" t="s">
        <v>74</v>
      </c>
      <c r="D793" t="s">
        <v>74</v>
      </c>
      <c r="E793" t="s">
        <v>74</v>
      </c>
      <c r="F793" t="s">
        <v>14325</v>
      </c>
      <c r="G793" t="s">
        <v>74</v>
      </c>
      <c r="H793" t="s">
        <v>74</v>
      </c>
      <c r="I793" t="s">
        <v>14326</v>
      </c>
      <c r="J793" t="s">
        <v>947</v>
      </c>
      <c r="K793" t="s">
        <v>74</v>
      </c>
      <c r="L793" t="s">
        <v>74</v>
      </c>
      <c r="M793" t="s">
        <v>78</v>
      </c>
      <c r="N793" t="s">
        <v>79</v>
      </c>
      <c r="O793" t="s">
        <v>74</v>
      </c>
      <c r="P793" t="s">
        <v>74</v>
      </c>
      <c r="Q793" t="s">
        <v>74</v>
      </c>
      <c r="R793" t="s">
        <v>74</v>
      </c>
      <c r="S793" t="s">
        <v>74</v>
      </c>
      <c r="T793" t="s">
        <v>14327</v>
      </c>
      <c r="U793" t="s">
        <v>14328</v>
      </c>
      <c r="V793" t="s">
        <v>14329</v>
      </c>
      <c r="W793" t="s">
        <v>14330</v>
      </c>
      <c r="X793" t="s">
        <v>14331</v>
      </c>
      <c r="Y793" t="s">
        <v>14332</v>
      </c>
      <c r="Z793" t="s">
        <v>14333</v>
      </c>
      <c r="AA793" t="s">
        <v>74</v>
      </c>
      <c r="AB793" t="s">
        <v>14334</v>
      </c>
      <c r="AC793" t="s">
        <v>14335</v>
      </c>
      <c r="AD793" t="s">
        <v>14336</v>
      </c>
      <c r="AE793" t="s">
        <v>14337</v>
      </c>
      <c r="AF793" t="s">
        <v>74</v>
      </c>
      <c r="AG793">
        <v>96</v>
      </c>
      <c r="AH793">
        <v>0</v>
      </c>
      <c r="AI793">
        <v>0</v>
      </c>
      <c r="AJ793">
        <v>1</v>
      </c>
      <c r="AK793">
        <v>1</v>
      </c>
      <c r="AL793" t="s">
        <v>955</v>
      </c>
      <c r="AM793" t="s">
        <v>956</v>
      </c>
      <c r="AN793" t="s">
        <v>957</v>
      </c>
      <c r="AO793" t="s">
        <v>958</v>
      </c>
      <c r="AP793" t="s">
        <v>959</v>
      </c>
      <c r="AQ793" t="s">
        <v>74</v>
      </c>
      <c r="AR793" t="s">
        <v>960</v>
      </c>
      <c r="AS793" t="s">
        <v>961</v>
      </c>
      <c r="AT793" t="s">
        <v>13778</v>
      </c>
      <c r="AU793">
        <v>2023</v>
      </c>
      <c r="AV793">
        <v>444</v>
      </c>
      <c r="AW793" t="s">
        <v>74</v>
      </c>
      <c r="AX793" t="s">
        <v>74</v>
      </c>
      <c r="AY793" t="s">
        <v>74</v>
      </c>
      <c r="AZ793" t="s">
        <v>74</v>
      </c>
      <c r="BA793" t="s">
        <v>74</v>
      </c>
      <c r="BB793" t="s">
        <v>74</v>
      </c>
      <c r="BC793" t="s">
        <v>74</v>
      </c>
      <c r="BD793">
        <v>114944</v>
      </c>
      <c r="BE793" t="s">
        <v>14338</v>
      </c>
      <c r="BF793" t="str">
        <f>HYPERLINK("http://dx.doi.org/10.1016/j.jphotochem.2023.114944","http://dx.doi.org/10.1016/j.jphotochem.2023.114944")</f>
        <v>http://dx.doi.org/10.1016/j.jphotochem.2023.114944</v>
      </c>
      <c r="BG793" t="s">
        <v>74</v>
      </c>
      <c r="BH793" t="s">
        <v>74</v>
      </c>
      <c r="BI793">
        <v>16</v>
      </c>
      <c r="BJ793" t="s">
        <v>394</v>
      </c>
      <c r="BK793" t="s">
        <v>100</v>
      </c>
      <c r="BL793" t="s">
        <v>395</v>
      </c>
      <c r="BM793" t="s">
        <v>14339</v>
      </c>
      <c r="BN793" t="s">
        <v>74</v>
      </c>
      <c r="BO793" t="s">
        <v>74</v>
      </c>
      <c r="BP793" t="s">
        <v>74</v>
      </c>
      <c r="BQ793" t="s">
        <v>74</v>
      </c>
      <c r="BR793" t="s">
        <v>104</v>
      </c>
      <c r="BS793" t="s">
        <v>14340</v>
      </c>
      <c r="BT793" t="str">
        <f>HYPERLINK("https%3A%2F%2Fwww.webofscience.com%2Fwos%2Fwoscc%2Ffull-record%2FWOS:001058421700001","View Full Record in Web of Science")</f>
        <v>View Full Record in Web of Science</v>
      </c>
    </row>
    <row r="794" spans="1:72" x14ac:dyDescent="0.15">
      <c r="A794" t="s">
        <v>72</v>
      </c>
      <c r="B794" t="s">
        <v>14341</v>
      </c>
      <c r="C794" t="s">
        <v>74</v>
      </c>
      <c r="D794" t="s">
        <v>74</v>
      </c>
      <c r="E794" t="s">
        <v>74</v>
      </c>
      <c r="F794" t="s">
        <v>14342</v>
      </c>
      <c r="G794" t="s">
        <v>74</v>
      </c>
      <c r="H794" t="s">
        <v>74</v>
      </c>
      <c r="I794" t="s">
        <v>14343</v>
      </c>
      <c r="J794" t="s">
        <v>7129</v>
      </c>
      <c r="K794" t="s">
        <v>74</v>
      </c>
      <c r="L794" t="s">
        <v>74</v>
      </c>
      <c r="M794" t="s">
        <v>78</v>
      </c>
      <c r="N794" t="s">
        <v>79</v>
      </c>
      <c r="O794" t="s">
        <v>74</v>
      </c>
      <c r="P794" t="s">
        <v>74</v>
      </c>
      <c r="Q794" t="s">
        <v>74</v>
      </c>
      <c r="R794" t="s">
        <v>74</v>
      </c>
      <c r="S794" t="s">
        <v>74</v>
      </c>
      <c r="T794" t="s">
        <v>14344</v>
      </c>
      <c r="U794" t="s">
        <v>14345</v>
      </c>
      <c r="V794" t="s">
        <v>14346</v>
      </c>
      <c r="W794" t="s">
        <v>14347</v>
      </c>
      <c r="X794" t="s">
        <v>14348</v>
      </c>
      <c r="Y794" t="s">
        <v>14349</v>
      </c>
      <c r="Z794" t="s">
        <v>74</v>
      </c>
      <c r="AA794" t="s">
        <v>74</v>
      </c>
      <c r="AB794" t="s">
        <v>74</v>
      </c>
      <c r="AC794" t="s">
        <v>14350</v>
      </c>
      <c r="AD794" t="s">
        <v>8644</v>
      </c>
      <c r="AE794" t="s">
        <v>14351</v>
      </c>
      <c r="AF794" t="s">
        <v>74</v>
      </c>
      <c r="AG794">
        <v>15</v>
      </c>
      <c r="AH794">
        <v>0</v>
      </c>
      <c r="AI794">
        <v>0</v>
      </c>
      <c r="AJ794">
        <v>1</v>
      </c>
      <c r="AK794">
        <v>1</v>
      </c>
      <c r="AL794" t="s">
        <v>173</v>
      </c>
      <c r="AM794" t="s">
        <v>121</v>
      </c>
      <c r="AN794" t="s">
        <v>174</v>
      </c>
      <c r="AO794" t="s">
        <v>7142</v>
      </c>
      <c r="AP794" t="s">
        <v>74</v>
      </c>
      <c r="AQ794" t="s">
        <v>74</v>
      </c>
      <c r="AR794" t="s">
        <v>7143</v>
      </c>
      <c r="AS794" t="s">
        <v>7144</v>
      </c>
      <c r="AT794" t="s">
        <v>13744</v>
      </c>
      <c r="AU794">
        <v>2023</v>
      </c>
      <c r="AV794">
        <v>201</v>
      </c>
      <c r="AW794" t="s">
        <v>74</v>
      </c>
      <c r="AX794" t="s">
        <v>74</v>
      </c>
      <c r="AY794" t="s">
        <v>74</v>
      </c>
      <c r="AZ794" t="s">
        <v>74</v>
      </c>
      <c r="BA794" t="s">
        <v>74</v>
      </c>
      <c r="BB794" t="s">
        <v>74</v>
      </c>
      <c r="BC794" t="s">
        <v>74</v>
      </c>
      <c r="BD794">
        <v>108180</v>
      </c>
      <c r="BE794" t="s">
        <v>14352</v>
      </c>
      <c r="BF794" t="str">
        <f>HYPERLINK("http://dx.doi.org/10.1016/j.mineng.2023.108180","http://dx.doi.org/10.1016/j.mineng.2023.108180")</f>
        <v>http://dx.doi.org/10.1016/j.mineng.2023.108180</v>
      </c>
      <c r="BG794" t="s">
        <v>74</v>
      </c>
      <c r="BH794" t="s">
        <v>74</v>
      </c>
      <c r="BI794">
        <v>8</v>
      </c>
      <c r="BJ794" t="s">
        <v>7146</v>
      </c>
      <c r="BK794" t="s">
        <v>100</v>
      </c>
      <c r="BL794" t="s">
        <v>7147</v>
      </c>
      <c r="BM794" t="s">
        <v>14353</v>
      </c>
      <c r="BN794" t="s">
        <v>74</v>
      </c>
      <c r="BO794" t="s">
        <v>74</v>
      </c>
      <c r="BP794" t="s">
        <v>74</v>
      </c>
      <c r="BQ794" t="s">
        <v>74</v>
      </c>
      <c r="BR794" t="s">
        <v>104</v>
      </c>
      <c r="BS794" t="s">
        <v>14354</v>
      </c>
      <c r="BT794" t="str">
        <f>HYPERLINK("https%3A%2F%2Fwww.webofscience.com%2Fwos%2Fwoscc%2Ffull-record%2FWOS:001046774800001","View Full Record in Web of Science")</f>
        <v>View Full Record in Web of Science</v>
      </c>
    </row>
    <row r="795" spans="1:72" x14ac:dyDescent="0.15">
      <c r="A795" t="s">
        <v>72</v>
      </c>
      <c r="B795" t="s">
        <v>14355</v>
      </c>
      <c r="C795" t="s">
        <v>74</v>
      </c>
      <c r="D795" t="s">
        <v>74</v>
      </c>
      <c r="E795" t="s">
        <v>74</v>
      </c>
      <c r="F795" t="s">
        <v>14356</v>
      </c>
      <c r="G795" t="s">
        <v>74</v>
      </c>
      <c r="H795" t="s">
        <v>74</v>
      </c>
      <c r="I795" t="s">
        <v>14357</v>
      </c>
      <c r="J795" t="s">
        <v>14358</v>
      </c>
      <c r="K795" t="s">
        <v>74</v>
      </c>
      <c r="L795" t="s">
        <v>74</v>
      </c>
      <c r="M795" t="s">
        <v>78</v>
      </c>
      <c r="N795" t="s">
        <v>79</v>
      </c>
      <c r="O795" t="s">
        <v>74</v>
      </c>
      <c r="P795" t="s">
        <v>74</v>
      </c>
      <c r="Q795" t="s">
        <v>74</v>
      </c>
      <c r="R795" t="s">
        <v>74</v>
      </c>
      <c r="S795" t="s">
        <v>74</v>
      </c>
      <c r="T795" t="s">
        <v>14359</v>
      </c>
      <c r="U795" t="s">
        <v>14360</v>
      </c>
      <c r="V795" t="s">
        <v>14361</v>
      </c>
      <c r="W795" t="s">
        <v>14362</v>
      </c>
      <c r="X795" t="s">
        <v>4152</v>
      </c>
      <c r="Y795" t="s">
        <v>14363</v>
      </c>
      <c r="Z795" t="s">
        <v>14364</v>
      </c>
      <c r="AA795" t="s">
        <v>74</v>
      </c>
      <c r="AB795" t="s">
        <v>74</v>
      </c>
      <c r="AC795" t="s">
        <v>74</v>
      </c>
      <c r="AD795" t="s">
        <v>74</v>
      </c>
      <c r="AE795" t="s">
        <v>74</v>
      </c>
      <c r="AF795" t="s">
        <v>74</v>
      </c>
      <c r="AG795">
        <v>53</v>
      </c>
      <c r="AH795">
        <v>0</v>
      </c>
      <c r="AI795">
        <v>0</v>
      </c>
      <c r="AJ795">
        <v>1</v>
      </c>
      <c r="AK795">
        <v>1</v>
      </c>
      <c r="AL795" t="s">
        <v>120</v>
      </c>
      <c r="AM795" t="s">
        <v>121</v>
      </c>
      <c r="AN795" t="s">
        <v>122</v>
      </c>
      <c r="AO795" t="s">
        <v>14365</v>
      </c>
      <c r="AP795" t="s">
        <v>14366</v>
      </c>
      <c r="AQ795" t="s">
        <v>74</v>
      </c>
      <c r="AR795" t="s">
        <v>14367</v>
      </c>
      <c r="AS795" t="s">
        <v>14368</v>
      </c>
      <c r="AT795" t="s">
        <v>13744</v>
      </c>
      <c r="AU795">
        <v>2023</v>
      </c>
      <c r="AV795">
        <v>47</v>
      </c>
      <c r="AW795">
        <v>3</v>
      </c>
      <c r="AX795" t="s">
        <v>74</v>
      </c>
      <c r="AY795" t="s">
        <v>74</v>
      </c>
      <c r="AZ795" t="s">
        <v>74</v>
      </c>
      <c r="BA795" t="s">
        <v>74</v>
      </c>
      <c r="BB795">
        <v>349</v>
      </c>
      <c r="BC795">
        <v>356</v>
      </c>
      <c r="BD795" t="s">
        <v>74</v>
      </c>
      <c r="BE795" t="s">
        <v>14369</v>
      </c>
      <c r="BF795" t="str">
        <f>HYPERLINK("http://dx.doi.org/10.1016/j.iatssr.2023.07.003","http://dx.doi.org/10.1016/j.iatssr.2023.07.003")</f>
        <v>http://dx.doi.org/10.1016/j.iatssr.2023.07.003</v>
      </c>
      <c r="BG795" t="s">
        <v>74</v>
      </c>
      <c r="BH795" t="s">
        <v>74</v>
      </c>
      <c r="BI795">
        <v>8</v>
      </c>
      <c r="BJ795" t="s">
        <v>14370</v>
      </c>
      <c r="BK795" t="s">
        <v>1850</v>
      </c>
      <c r="BL795" t="s">
        <v>14370</v>
      </c>
      <c r="BM795" t="s">
        <v>14371</v>
      </c>
      <c r="BN795" t="s">
        <v>74</v>
      </c>
      <c r="BO795" t="s">
        <v>295</v>
      </c>
      <c r="BP795" t="s">
        <v>74</v>
      </c>
      <c r="BQ795" t="s">
        <v>74</v>
      </c>
      <c r="BR795" t="s">
        <v>104</v>
      </c>
      <c r="BS795" t="s">
        <v>14372</v>
      </c>
      <c r="BT795" t="str">
        <f>HYPERLINK("https%3A%2F%2Fwww.webofscience.com%2Fwos%2Fwoscc%2Ffull-record%2FWOS:001052326900001","View Full Record in Web of Science")</f>
        <v>View Full Record in Web of Science</v>
      </c>
    </row>
    <row r="796" spans="1:72" x14ac:dyDescent="0.15">
      <c r="A796" t="s">
        <v>72</v>
      </c>
      <c r="B796" t="s">
        <v>14373</v>
      </c>
      <c r="C796" t="s">
        <v>74</v>
      </c>
      <c r="D796" t="s">
        <v>74</v>
      </c>
      <c r="E796" t="s">
        <v>74</v>
      </c>
      <c r="F796" t="s">
        <v>14374</v>
      </c>
      <c r="G796" t="s">
        <v>74</v>
      </c>
      <c r="H796" t="s">
        <v>74</v>
      </c>
      <c r="I796" t="s">
        <v>14375</v>
      </c>
      <c r="J796" t="s">
        <v>3954</v>
      </c>
      <c r="K796" t="s">
        <v>74</v>
      </c>
      <c r="L796" t="s">
        <v>74</v>
      </c>
      <c r="M796" t="s">
        <v>78</v>
      </c>
      <c r="N796" t="s">
        <v>79</v>
      </c>
      <c r="O796" t="s">
        <v>74</v>
      </c>
      <c r="P796" t="s">
        <v>74</v>
      </c>
      <c r="Q796" t="s">
        <v>74</v>
      </c>
      <c r="R796" t="s">
        <v>74</v>
      </c>
      <c r="S796" t="s">
        <v>74</v>
      </c>
      <c r="T796" t="s">
        <v>14376</v>
      </c>
      <c r="U796" t="s">
        <v>14377</v>
      </c>
      <c r="V796" t="s">
        <v>14378</v>
      </c>
      <c r="W796" t="s">
        <v>14379</v>
      </c>
      <c r="X796" t="s">
        <v>14380</v>
      </c>
      <c r="Y796" t="s">
        <v>14381</v>
      </c>
      <c r="Z796" t="s">
        <v>14382</v>
      </c>
      <c r="AA796" t="s">
        <v>74</v>
      </c>
      <c r="AB796" t="s">
        <v>74</v>
      </c>
      <c r="AC796" t="s">
        <v>14383</v>
      </c>
      <c r="AD796" t="s">
        <v>14383</v>
      </c>
      <c r="AE796" t="s">
        <v>14384</v>
      </c>
      <c r="AF796" t="s">
        <v>74</v>
      </c>
      <c r="AG796">
        <v>33</v>
      </c>
      <c r="AH796">
        <v>0</v>
      </c>
      <c r="AI796">
        <v>0</v>
      </c>
      <c r="AJ796">
        <v>8</v>
      </c>
      <c r="AK796">
        <v>8</v>
      </c>
      <c r="AL796" t="s">
        <v>120</v>
      </c>
      <c r="AM796" t="s">
        <v>121</v>
      </c>
      <c r="AN796" t="s">
        <v>122</v>
      </c>
      <c r="AO796" t="s">
        <v>3961</v>
      </c>
      <c r="AP796" t="s">
        <v>3962</v>
      </c>
      <c r="AQ796" t="s">
        <v>74</v>
      </c>
      <c r="AR796" t="s">
        <v>3963</v>
      </c>
      <c r="AS796" t="s">
        <v>3964</v>
      </c>
      <c r="AT796" t="s">
        <v>13744</v>
      </c>
      <c r="AU796">
        <v>2023</v>
      </c>
      <c r="AV796">
        <v>78</v>
      </c>
      <c r="AW796" t="s">
        <v>74</v>
      </c>
      <c r="AX796" t="s">
        <v>74</v>
      </c>
      <c r="AY796" t="s">
        <v>74</v>
      </c>
      <c r="AZ796" t="s">
        <v>74</v>
      </c>
      <c r="BA796" t="s">
        <v>74</v>
      </c>
      <c r="BB796" t="s">
        <v>74</v>
      </c>
      <c r="BC796" t="s">
        <v>74</v>
      </c>
      <c r="BD796">
        <v>103473</v>
      </c>
      <c r="BE796" t="s">
        <v>14385</v>
      </c>
      <c r="BF796" t="str">
        <f>HYPERLINK("http://dx.doi.org/10.1016/j.iccn.2023.103473","http://dx.doi.org/10.1016/j.iccn.2023.103473")</f>
        <v>http://dx.doi.org/10.1016/j.iccn.2023.103473</v>
      </c>
      <c r="BG796" t="s">
        <v>74</v>
      </c>
      <c r="BH796" t="s">
        <v>74</v>
      </c>
      <c r="BI796">
        <v>6</v>
      </c>
      <c r="BJ796" t="s">
        <v>3966</v>
      </c>
      <c r="BK796" t="s">
        <v>666</v>
      </c>
      <c r="BL796" t="s">
        <v>3966</v>
      </c>
      <c r="BM796" t="s">
        <v>14386</v>
      </c>
      <c r="BN796">
        <v>37354695</v>
      </c>
      <c r="BO796" t="s">
        <v>295</v>
      </c>
      <c r="BP796" t="s">
        <v>74</v>
      </c>
      <c r="BQ796" t="s">
        <v>74</v>
      </c>
      <c r="BR796" t="s">
        <v>104</v>
      </c>
      <c r="BS796" t="s">
        <v>14387</v>
      </c>
      <c r="BT796" t="str">
        <f>HYPERLINK("https%3A%2F%2Fwww.webofscience.com%2Fwos%2Fwoscc%2Ffull-record%2FWOS:001027604200001","View Full Record in Web of Science")</f>
        <v>View Full Record in Web of Science</v>
      </c>
    </row>
    <row r="797" spans="1:72" x14ac:dyDescent="0.15">
      <c r="A797" t="s">
        <v>72</v>
      </c>
      <c r="B797" t="s">
        <v>14388</v>
      </c>
      <c r="C797" t="s">
        <v>74</v>
      </c>
      <c r="D797" t="s">
        <v>74</v>
      </c>
      <c r="E797" t="s">
        <v>74</v>
      </c>
      <c r="F797" t="s">
        <v>14389</v>
      </c>
      <c r="G797" t="s">
        <v>74</v>
      </c>
      <c r="H797" t="s">
        <v>74</v>
      </c>
      <c r="I797" t="s">
        <v>14390</v>
      </c>
      <c r="J797" t="s">
        <v>14391</v>
      </c>
      <c r="K797" t="s">
        <v>74</v>
      </c>
      <c r="L797" t="s">
        <v>74</v>
      </c>
      <c r="M797" t="s">
        <v>78</v>
      </c>
      <c r="N797" t="s">
        <v>241</v>
      </c>
      <c r="O797" t="s">
        <v>74</v>
      </c>
      <c r="P797" t="s">
        <v>74</v>
      </c>
      <c r="Q797" t="s">
        <v>74</v>
      </c>
      <c r="R797" t="s">
        <v>74</v>
      </c>
      <c r="S797" t="s">
        <v>74</v>
      </c>
      <c r="T797" t="s">
        <v>14392</v>
      </c>
      <c r="U797" t="s">
        <v>14393</v>
      </c>
      <c r="V797" t="s">
        <v>14394</v>
      </c>
      <c r="W797" t="s">
        <v>14395</v>
      </c>
      <c r="X797" t="s">
        <v>14396</v>
      </c>
      <c r="Y797" t="s">
        <v>14397</v>
      </c>
      <c r="Z797" t="s">
        <v>14398</v>
      </c>
      <c r="AA797" t="s">
        <v>74</v>
      </c>
      <c r="AB797" t="s">
        <v>14399</v>
      </c>
      <c r="AC797" t="s">
        <v>14400</v>
      </c>
      <c r="AD797" t="s">
        <v>14401</v>
      </c>
      <c r="AE797" t="s">
        <v>14402</v>
      </c>
      <c r="AF797" t="s">
        <v>74</v>
      </c>
      <c r="AG797">
        <v>204</v>
      </c>
      <c r="AH797">
        <v>0</v>
      </c>
      <c r="AI797">
        <v>0</v>
      </c>
      <c r="AJ797">
        <v>4</v>
      </c>
      <c r="AK797">
        <v>4</v>
      </c>
      <c r="AL797" t="s">
        <v>329</v>
      </c>
      <c r="AM797" t="s">
        <v>330</v>
      </c>
      <c r="AN797" t="s">
        <v>331</v>
      </c>
      <c r="AO797" t="s">
        <v>14403</v>
      </c>
      <c r="AP797" t="s">
        <v>14404</v>
      </c>
      <c r="AQ797" t="s">
        <v>74</v>
      </c>
      <c r="AR797" t="s">
        <v>14405</v>
      </c>
      <c r="AS797" t="s">
        <v>14406</v>
      </c>
      <c r="AT797" t="s">
        <v>13744</v>
      </c>
      <c r="AU797">
        <v>2023</v>
      </c>
      <c r="AV797">
        <v>240</v>
      </c>
      <c r="AW797" t="s">
        <v>74</v>
      </c>
      <c r="AX797" t="s">
        <v>74</v>
      </c>
      <c r="AY797" t="s">
        <v>74</v>
      </c>
      <c r="AZ797" t="s">
        <v>74</v>
      </c>
      <c r="BA797" t="s">
        <v>74</v>
      </c>
      <c r="BB797" t="s">
        <v>74</v>
      </c>
      <c r="BC797" t="s">
        <v>74</v>
      </c>
      <c r="BD797">
        <v>107715</v>
      </c>
      <c r="BE797" t="s">
        <v>14407</v>
      </c>
      <c r="BF797" t="str">
        <f>HYPERLINK("http://dx.doi.org/10.1016/j.cmpb.2023.107715","http://dx.doi.org/10.1016/j.cmpb.2023.107715")</f>
        <v>http://dx.doi.org/10.1016/j.cmpb.2023.107715</v>
      </c>
      <c r="BG797" t="s">
        <v>74</v>
      </c>
      <c r="BH797" t="s">
        <v>74</v>
      </c>
      <c r="BI797">
        <v>11</v>
      </c>
      <c r="BJ797" t="s">
        <v>14408</v>
      </c>
      <c r="BK797" t="s">
        <v>100</v>
      </c>
      <c r="BL797" t="s">
        <v>14409</v>
      </c>
      <c r="BM797" t="s">
        <v>14410</v>
      </c>
      <c r="BN797">
        <v>37517185</v>
      </c>
      <c r="BO797" t="s">
        <v>295</v>
      </c>
      <c r="BP797" t="s">
        <v>74</v>
      </c>
      <c r="BQ797" t="s">
        <v>74</v>
      </c>
      <c r="BR797" t="s">
        <v>104</v>
      </c>
      <c r="BS797" t="s">
        <v>14411</v>
      </c>
      <c r="BT797" t="str">
        <f>HYPERLINK("https%3A%2F%2Fwww.webofscience.com%2Fwos%2Fwoscc%2Ffull-record%2FWOS:001054676800001","View Full Record in Web of Science")</f>
        <v>View Full Record in Web of Science</v>
      </c>
    </row>
    <row r="798" spans="1:72" x14ac:dyDescent="0.15">
      <c r="A798" t="s">
        <v>72</v>
      </c>
      <c r="B798" t="s">
        <v>14412</v>
      </c>
      <c r="C798" t="s">
        <v>74</v>
      </c>
      <c r="D798" t="s">
        <v>74</v>
      </c>
      <c r="E798" t="s">
        <v>74</v>
      </c>
      <c r="F798" t="s">
        <v>14413</v>
      </c>
      <c r="G798" t="s">
        <v>74</v>
      </c>
      <c r="H798" t="s">
        <v>74</v>
      </c>
      <c r="I798" t="s">
        <v>14414</v>
      </c>
      <c r="J798" t="s">
        <v>14415</v>
      </c>
      <c r="K798" t="s">
        <v>74</v>
      </c>
      <c r="L798" t="s">
        <v>74</v>
      </c>
      <c r="M798" t="s">
        <v>78</v>
      </c>
      <c r="N798" t="s">
        <v>510</v>
      </c>
      <c r="O798" t="s">
        <v>74</v>
      </c>
      <c r="P798" t="s">
        <v>74</v>
      </c>
      <c r="Q798" t="s">
        <v>74</v>
      </c>
      <c r="R798" t="s">
        <v>74</v>
      </c>
      <c r="S798" t="s">
        <v>74</v>
      </c>
      <c r="T798" t="s">
        <v>14416</v>
      </c>
      <c r="U798" t="s">
        <v>14417</v>
      </c>
      <c r="V798" t="s">
        <v>14418</v>
      </c>
      <c r="W798" t="s">
        <v>14419</v>
      </c>
      <c r="X798" t="s">
        <v>14420</v>
      </c>
      <c r="Y798" t="s">
        <v>14421</v>
      </c>
      <c r="Z798" t="s">
        <v>14422</v>
      </c>
      <c r="AA798" t="s">
        <v>74</v>
      </c>
      <c r="AB798" t="s">
        <v>74</v>
      </c>
      <c r="AC798" t="s">
        <v>14423</v>
      </c>
      <c r="AD798" t="s">
        <v>14424</v>
      </c>
      <c r="AE798" t="s">
        <v>14425</v>
      </c>
      <c r="AF798" t="s">
        <v>74</v>
      </c>
      <c r="AG798">
        <v>23</v>
      </c>
      <c r="AH798">
        <v>0</v>
      </c>
      <c r="AI798">
        <v>0</v>
      </c>
      <c r="AJ798">
        <v>0</v>
      </c>
      <c r="AK798">
        <v>0</v>
      </c>
      <c r="AL798" t="s">
        <v>329</v>
      </c>
      <c r="AM798" t="s">
        <v>330</v>
      </c>
      <c r="AN798" t="s">
        <v>331</v>
      </c>
      <c r="AO798" t="s">
        <v>14426</v>
      </c>
      <c r="AP798" t="s">
        <v>14427</v>
      </c>
      <c r="AQ798" t="s">
        <v>74</v>
      </c>
      <c r="AR798" t="s">
        <v>14415</v>
      </c>
      <c r="AS798" t="s">
        <v>14428</v>
      </c>
      <c r="AT798" t="s">
        <v>13744</v>
      </c>
      <c r="AU798">
        <v>2023</v>
      </c>
      <c r="AV798">
        <v>136</v>
      </c>
      <c r="AW798" t="s">
        <v>74</v>
      </c>
      <c r="AX798" t="s">
        <v>74</v>
      </c>
      <c r="AY798" t="s">
        <v>74</v>
      </c>
      <c r="AZ798" t="s">
        <v>74</v>
      </c>
      <c r="BA798" t="s">
        <v>74</v>
      </c>
      <c r="BB798" t="s">
        <v>74</v>
      </c>
      <c r="BC798" t="s">
        <v>74</v>
      </c>
      <c r="BD798">
        <v>104892</v>
      </c>
      <c r="BE798" t="s">
        <v>14429</v>
      </c>
      <c r="BF798" t="str">
        <f>HYPERLINK("http://dx.doi.org/10.1016/j.healthpol.2023.104892","http://dx.doi.org/10.1016/j.healthpol.2023.104892")</f>
        <v>http://dx.doi.org/10.1016/j.healthpol.2023.104892</v>
      </c>
      <c r="BG798" t="s">
        <v>74</v>
      </c>
      <c r="BH798" t="s">
        <v>74</v>
      </c>
      <c r="BI798">
        <v>4</v>
      </c>
      <c r="BJ798" t="s">
        <v>14430</v>
      </c>
      <c r="BK798" t="s">
        <v>666</v>
      </c>
      <c r="BL798" t="s">
        <v>14431</v>
      </c>
      <c r="BM798" t="s">
        <v>14432</v>
      </c>
      <c r="BN798">
        <v>37632993</v>
      </c>
      <c r="BO798" t="s">
        <v>295</v>
      </c>
      <c r="BP798" t="s">
        <v>74</v>
      </c>
      <c r="BQ798" t="s">
        <v>74</v>
      </c>
      <c r="BR798" t="s">
        <v>104</v>
      </c>
      <c r="BS798" t="s">
        <v>14433</v>
      </c>
      <c r="BT798" t="str">
        <f>HYPERLINK("https%3A%2F%2Fwww.webofscience.com%2Fwos%2Fwoscc%2Ffull-record%2FWOS:001069060700001","View Full Record in Web of Science")</f>
        <v>View Full Record in Web of Science</v>
      </c>
    </row>
    <row r="799" spans="1:72" x14ac:dyDescent="0.15">
      <c r="A799" t="s">
        <v>72</v>
      </c>
      <c r="B799" t="s">
        <v>14434</v>
      </c>
      <c r="C799" t="s">
        <v>74</v>
      </c>
      <c r="D799" t="s">
        <v>74</v>
      </c>
      <c r="E799" t="s">
        <v>74</v>
      </c>
      <c r="F799" t="s">
        <v>14435</v>
      </c>
      <c r="G799" t="s">
        <v>74</v>
      </c>
      <c r="H799" t="s">
        <v>74</v>
      </c>
      <c r="I799" t="s">
        <v>14436</v>
      </c>
      <c r="J799" t="s">
        <v>14437</v>
      </c>
      <c r="K799" t="s">
        <v>74</v>
      </c>
      <c r="L799" t="s">
        <v>74</v>
      </c>
      <c r="M799" t="s">
        <v>78</v>
      </c>
      <c r="N799" t="s">
        <v>79</v>
      </c>
      <c r="O799" t="s">
        <v>74</v>
      </c>
      <c r="P799" t="s">
        <v>74</v>
      </c>
      <c r="Q799" t="s">
        <v>74</v>
      </c>
      <c r="R799" t="s">
        <v>74</v>
      </c>
      <c r="S799" t="s">
        <v>74</v>
      </c>
      <c r="T799" t="s">
        <v>14438</v>
      </c>
      <c r="U799" t="s">
        <v>14439</v>
      </c>
      <c r="V799" t="s">
        <v>14440</v>
      </c>
      <c r="W799" t="s">
        <v>14441</v>
      </c>
      <c r="X799" t="s">
        <v>74</v>
      </c>
      <c r="Y799" t="s">
        <v>14442</v>
      </c>
      <c r="Z799" t="s">
        <v>14443</v>
      </c>
      <c r="AA799" t="s">
        <v>74</v>
      </c>
      <c r="AB799" t="s">
        <v>14444</v>
      </c>
      <c r="AC799" t="s">
        <v>74</v>
      </c>
      <c r="AD799" t="s">
        <v>74</v>
      </c>
      <c r="AE799" t="s">
        <v>74</v>
      </c>
      <c r="AF799" t="s">
        <v>74</v>
      </c>
      <c r="AG799">
        <v>38</v>
      </c>
      <c r="AH799">
        <v>0</v>
      </c>
      <c r="AI799">
        <v>0</v>
      </c>
      <c r="AJ799">
        <v>0</v>
      </c>
      <c r="AK799">
        <v>0</v>
      </c>
      <c r="AL799" t="s">
        <v>90</v>
      </c>
      <c r="AM799" t="s">
        <v>91</v>
      </c>
      <c r="AN799" t="s">
        <v>92</v>
      </c>
      <c r="AO799" t="s">
        <v>14445</v>
      </c>
      <c r="AP799" t="s">
        <v>14446</v>
      </c>
      <c r="AQ799" t="s">
        <v>74</v>
      </c>
      <c r="AR799" t="s">
        <v>14447</v>
      </c>
      <c r="AS799" t="s">
        <v>14448</v>
      </c>
      <c r="AT799" t="s">
        <v>13744</v>
      </c>
      <c r="AU799">
        <v>2023</v>
      </c>
      <c r="AV799">
        <v>233</v>
      </c>
      <c r="AW799" t="s">
        <v>74</v>
      </c>
      <c r="AX799" t="s">
        <v>74</v>
      </c>
      <c r="AY799" t="s">
        <v>74</v>
      </c>
      <c r="AZ799" t="s">
        <v>74</v>
      </c>
      <c r="BA799" t="s">
        <v>74</v>
      </c>
      <c r="BB799" t="s">
        <v>74</v>
      </c>
      <c r="BC799" t="s">
        <v>74</v>
      </c>
      <c r="BD799">
        <v>107904</v>
      </c>
      <c r="BE799" t="s">
        <v>14449</v>
      </c>
      <c r="BF799" t="str">
        <f>HYPERLINK("http://dx.doi.org/10.1016/j.clineuro.2023.107904","http://dx.doi.org/10.1016/j.clineuro.2023.107904")</f>
        <v>http://dx.doi.org/10.1016/j.clineuro.2023.107904</v>
      </c>
      <c r="BG799" t="s">
        <v>74</v>
      </c>
      <c r="BH799" t="s">
        <v>74</v>
      </c>
      <c r="BI799">
        <v>6</v>
      </c>
      <c r="BJ799" t="s">
        <v>14450</v>
      </c>
      <c r="BK799" t="s">
        <v>100</v>
      </c>
      <c r="BL799" t="s">
        <v>14451</v>
      </c>
      <c r="BM799" t="s">
        <v>14452</v>
      </c>
      <c r="BN799">
        <v>37499302</v>
      </c>
      <c r="BO799" t="s">
        <v>103</v>
      </c>
      <c r="BP799" t="s">
        <v>74</v>
      </c>
      <c r="BQ799" t="s">
        <v>74</v>
      </c>
      <c r="BR799" t="s">
        <v>104</v>
      </c>
      <c r="BS799" t="s">
        <v>14453</v>
      </c>
      <c r="BT799" t="str">
        <f>HYPERLINK("https%3A%2F%2Fwww.webofscience.com%2Fwos%2Fwoscc%2Ffull-record%2FWOS:001047632500001","View Full Record in Web of Science")</f>
        <v>View Full Record in Web of Science</v>
      </c>
    </row>
    <row r="800" spans="1:72" x14ac:dyDescent="0.15">
      <c r="A800" t="s">
        <v>72</v>
      </c>
      <c r="B800" t="s">
        <v>14454</v>
      </c>
      <c r="C800" t="s">
        <v>74</v>
      </c>
      <c r="D800" t="s">
        <v>74</v>
      </c>
      <c r="E800" t="s">
        <v>74</v>
      </c>
      <c r="F800" t="s">
        <v>14455</v>
      </c>
      <c r="G800" t="s">
        <v>74</v>
      </c>
      <c r="H800" t="s">
        <v>74</v>
      </c>
      <c r="I800" t="s">
        <v>14456</v>
      </c>
      <c r="J800" t="s">
        <v>1380</v>
      </c>
      <c r="K800" t="s">
        <v>74</v>
      </c>
      <c r="L800" t="s">
        <v>74</v>
      </c>
      <c r="M800" t="s">
        <v>78</v>
      </c>
      <c r="N800" t="s">
        <v>79</v>
      </c>
      <c r="O800" t="s">
        <v>74</v>
      </c>
      <c r="P800" t="s">
        <v>74</v>
      </c>
      <c r="Q800" t="s">
        <v>74</v>
      </c>
      <c r="R800" t="s">
        <v>74</v>
      </c>
      <c r="S800" t="s">
        <v>74</v>
      </c>
      <c r="T800" t="s">
        <v>14457</v>
      </c>
      <c r="U800" t="s">
        <v>14458</v>
      </c>
      <c r="V800" t="s">
        <v>14459</v>
      </c>
      <c r="W800" t="s">
        <v>14460</v>
      </c>
      <c r="X800" t="s">
        <v>14461</v>
      </c>
      <c r="Y800" t="s">
        <v>14462</v>
      </c>
      <c r="Z800" t="s">
        <v>14463</v>
      </c>
      <c r="AA800" t="s">
        <v>14464</v>
      </c>
      <c r="AB800" t="s">
        <v>14465</v>
      </c>
      <c r="AC800" t="s">
        <v>74</v>
      </c>
      <c r="AD800" t="s">
        <v>74</v>
      </c>
      <c r="AE800" t="s">
        <v>74</v>
      </c>
      <c r="AF800" t="s">
        <v>74</v>
      </c>
      <c r="AG800">
        <v>95</v>
      </c>
      <c r="AH800">
        <v>0</v>
      </c>
      <c r="AI800">
        <v>0</v>
      </c>
      <c r="AJ800">
        <v>0</v>
      </c>
      <c r="AK800">
        <v>0</v>
      </c>
      <c r="AL800" t="s">
        <v>90</v>
      </c>
      <c r="AM800" t="s">
        <v>91</v>
      </c>
      <c r="AN800" t="s">
        <v>92</v>
      </c>
      <c r="AO800" t="s">
        <v>1390</v>
      </c>
      <c r="AP800" t="s">
        <v>74</v>
      </c>
      <c r="AQ800" t="s">
        <v>74</v>
      </c>
      <c r="AR800" t="s">
        <v>1391</v>
      </c>
      <c r="AS800" t="s">
        <v>1392</v>
      </c>
      <c r="AT800" t="s">
        <v>13744</v>
      </c>
      <c r="AU800">
        <v>2023</v>
      </c>
      <c r="AV800">
        <v>63</v>
      </c>
      <c r="AW800" t="s">
        <v>74</v>
      </c>
      <c r="AX800" t="s">
        <v>74</v>
      </c>
      <c r="AY800" t="s">
        <v>74</v>
      </c>
      <c r="AZ800" t="s">
        <v>74</v>
      </c>
      <c r="BA800" t="s">
        <v>74</v>
      </c>
      <c r="BB800" t="s">
        <v>74</v>
      </c>
      <c r="BC800" t="s">
        <v>74</v>
      </c>
      <c r="BD800">
        <v>103032</v>
      </c>
      <c r="BE800" t="s">
        <v>14466</v>
      </c>
      <c r="BF800" t="str">
        <f>HYPERLINK("http://dx.doi.org/10.1016/j.rsma.2023.103032","http://dx.doi.org/10.1016/j.rsma.2023.103032")</f>
        <v>http://dx.doi.org/10.1016/j.rsma.2023.103032</v>
      </c>
      <c r="BG800" t="s">
        <v>74</v>
      </c>
      <c r="BH800" t="s">
        <v>74</v>
      </c>
      <c r="BI800">
        <v>12</v>
      </c>
      <c r="BJ800" t="s">
        <v>1394</v>
      </c>
      <c r="BK800" t="s">
        <v>100</v>
      </c>
      <c r="BL800" t="s">
        <v>1395</v>
      </c>
      <c r="BM800" t="s">
        <v>14467</v>
      </c>
      <c r="BN800" t="s">
        <v>74</v>
      </c>
      <c r="BO800" t="s">
        <v>74</v>
      </c>
      <c r="BP800" t="s">
        <v>74</v>
      </c>
      <c r="BQ800" t="s">
        <v>74</v>
      </c>
      <c r="BR800" t="s">
        <v>104</v>
      </c>
      <c r="BS800" t="s">
        <v>14468</v>
      </c>
      <c r="BT800" t="str">
        <f>HYPERLINK("https%3A%2F%2Fwww.webofscience.com%2Fwos%2Fwoscc%2Ffull-record%2FWOS:001056075600001","View Full Record in Web of Science")</f>
        <v>View Full Record in Web of Science</v>
      </c>
    </row>
    <row r="801" spans="1:72" x14ac:dyDescent="0.15">
      <c r="A801" t="s">
        <v>72</v>
      </c>
      <c r="B801" t="s">
        <v>14469</v>
      </c>
      <c r="C801" t="s">
        <v>74</v>
      </c>
      <c r="D801" t="s">
        <v>74</v>
      </c>
      <c r="E801" t="s">
        <v>74</v>
      </c>
      <c r="F801" t="s">
        <v>14470</v>
      </c>
      <c r="G801" t="s">
        <v>74</v>
      </c>
      <c r="H801" t="s">
        <v>74</v>
      </c>
      <c r="I801" t="s">
        <v>14471</v>
      </c>
      <c r="J801" t="s">
        <v>14472</v>
      </c>
      <c r="K801" t="s">
        <v>74</v>
      </c>
      <c r="L801" t="s">
        <v>74</v>
      </c>
      <c r="M801" t="s">
        <v>78</v>
      </c>
      <c r="N801" t="s">
        <v>79</v>
      </c>
      <c r="O801" t="s">
        <v>74</v>
      </c>
      <c r="P801" t="s">
        <v>74</v>
      </c>
      <c r="Q801" t="s">
        <v>74</v>
      </c>
      <c r="R801" t="s">
        <v>74</v>
      </c>
      <c r="S801" t="s">
        <v>74</v>
      </c>
      <c r="T801" t="s">
        <v>14473</v>
      </c>
      <c r="U801" t="s">
        <v>14474</v>
      </c>
      <c r="V801" t="s">
        <v>14475</v>
      </c>
      <c r="W801" t="s">
        <v>14476</v>
      </c>
      <c r="X801" t="s">
        <v>14477</v>
      </c>
      <c r="Y801" t="s">
        <v>14478</v>
      </c>
      <c r="Z801" t="s">
        <v>14479</v>
      </c>
      <c r="AA801" t="s">
        <v>74</v>
      </c>
      <c r="AB801" t="s">
        <v>74</v>
      </c>
      <c r="AC801" t="s">
        <v>14480</v>
      </c>
      <c r="AD801" t="s">
        <v>14481</v>
      </c>
      <c r="AE801" t="s">
        <v>14482</v>
      </c>
      <c r="AF801" t="s">
        <v>74</v>
      </c>
      <c r="AG801">
        <v>53</v>
      </c>
      <c r="AH801">
        <v>0</v>
      </c>
      <c r="AI801">
        <v>0</v>
      </c>
      <c r="AJ801">
        <v>1</v>
      </c>
      <c r="AK801">
        <v>1</v>
      </c>
      <c r="AL801" t="s">
        <v>514</v>
      </c>
      <c r="AM801" t="s">
        <v>515</v>
      </c>
      <c r="AN801" t="s">
        <v>516</v>
      </c>
      <c r="AO801" t="s">
        <v>14483</v>
      </c>
      <c r="AP801" t="s">
        <v>14484</v>
      </c>
      <c r="AQ801" t="s">
        <v>74</v>
      </c>
      <c r="AR801" t="s">
        <v>14485</v>
      </c>
      <c r="AS801" t="s">
        <v>14486</v>
      </c>
      <c r="AT801" t="s">
        <v>13744</v>
      </c>
      <c r="AU801">
        <v>2023</v>
      </c>
      <c r="AV801">
        <v>166</v>
      </c>
      <c r="AW801" t="s">
        <v>74</v>
      </c>
      <c r="AX801" t="s">
        <v>74</v>
      </c>
      <c r="AY801" t="s">
        <v>74</v>
      </c>
      <c r="AZ801" t="s">
        <v>74</v>
      </c>
      <c r="BA801" t="s">
        <v>74</v>
      </c>
      <c r="BB801" t="s">
        <v>74</v>
      </c>
      <c r="BC801" t="s">
        <v>74</v>
      </c>
      <c r="BD801">
        <v>115285</v>
      </c>
      <c r="BE801" t="s">
        <v>14487</v>
      </c>
      <c r="BF801" t="str">
        <f>HYPERLINK("http://dx.doi.org/10.1016/j.biopha.2023.115285","http://dx.doi.org/10.1016/j.biopha.2023.115285")</f>
        <v>http://dx.doi.org/10.1016/j.biopha.2023.115285</v>
      </c>
      <c r="BG801" t="s">
        <v>74</v>
      </c>
      <c r="BH801" t="s">
        <v>74</v>
      </c>
      <c r="BI801">
        <v>13</v>
      </c>
      <c r="BJ801" t="s">
        <v>12923</v>
      </c>
      <c r="BK801" t="s">
        <v>100</v>
      </c>
      <c r="BL801" t="s">
        <v>12924</v>
      </c>
      <c r="BM801" t="s">
        <v>14488</v>
      </c>
      <c r="BN801">
        <v>37597320</v>
      </c>
      <c r="BO801" t="s">
        <v>3613</v>
      </c>
      <c r="BP801" t="s">
        <v>74</v>
      </c>
      <c r="BQ801" t="s">
        <v>74</v>
      </c>
      <c r="BR801" t="s">
        <v>104</v>
      </c>
      <c r="BS801" t="s">
        <v>14489</v>
      </c>
      <c r="BT801" t="str">
        <f>HYPERLINK("https%3A%2F%2Fwww.webofscience.com%2Fwos%2Fwoscc%2Ffull-record%2FWOS:001064739400001","View Full Record in Web of Science")</f>
        <v>View Full Record in Web of Science</v>
      </c>
    </row>
    <row r="802" spans="1:72" x14ac:dyDescent="0.15">
      <c r="A802" t="s">
        <v>72</v>
      </c>
      <c r="B802" t="s">
        <v>14490</v>
      </c>
      <c r="C802" t="s">
        <v>74</v>
      </c>
      <c r="D802" t="s">
        <v>74</v>
      </c>
      <c r="E802" t="s">
        <v>74</v>
      </c>
      <c r="F802" t="s">
        <v>14491</v>
      </c>
      <c r="G802" t="s">
        <v>74</v>
      </c>
      <c r="H802" t="s">
        <v>74</v>
      </c>
      <c r="I802" t="s">
        <v>14492</v>
      </c>
      <c r="J802" t="s">
        <v>14493</v>
      </c>
      <c r="K802" t="s">
        <v>74</v>
      </c>
      <c r="L802" t="s">
        <v>74</v>
      </c>
      <c r="M802" t="s">
        <v>78</v>
      </c>
      <c r="N802" t="s">
        <v>79</v>
      </c>
      <c r="O802" t="s">
        <v>74</v>
      </c>
      <c r="P802" t="s">
        <v>74</v>
      </c>
      <c r="Q802" t="s">
        <v>74</v>
      </c>
      <c r="R802" t="s">
        <v>74</v>
      </c>
      <c r="S802" t="s">
        <v>74</v>
      </c>
      <c r="T802" t="s">
        <v>14494</v>
      </c>
      <c r="U802" t="s">
        <v>14495</v>
      </c>
      <c r="V802" t="s">
        <v>14496</v>
      </c>
      <c r="W802" t="s">
        <v>14497</v>
      </c>
      <c r="X802" t="s">
        <v>8660</v>
      </c>
      <c r="Y802" t="s">
        <v>14498</v>
      </c>
      <c r="Z802" t="s">
        <v>14499</v>
      </c>
      <c r="AA802" t="s">
        <v>74</v>
      </c>
      <c r="AB802" t="s">
        <v>14500</v>
      </c>
      <c r="AC802" t="s">
        <v>14501</v>
      </c>
      <c r="AD802" t="s">
        <v>252</v>
      </c>
      <c r="AE802" t="s">
        <v>14502</v>
      </c>
      <c r="AF802" t="s">
        <v>74</v>
      </c>
      <c r="AG802">
        <v>43</v>
      </c>
      <c r="AH802">
        <v>0</v>
      </c>
      <c r="AI802">
        <v>0</v>
      </c>
      <c r="AJ802">
        <v>5</v>
      </c>
      <c r="AK802">
        <v>5</v>
      </c>
      <c r="AL802" t="s">
        <v>475</v>
      </c>
      <c r="AM802" t="s">
        <v>476</v>
      </c>
      <c r="AN802" t="s">
        <v>477</v>
      </c>
      <c r="AO802" t="s">
        <v>14503</v>
      </c>
      <c r="AP802" t="s">
        <v>14504</v>
      </c>
      <c r="AQ802" t="s">
        <v>74</v>
      </c>
      <c r="AR802" t="s">
        <v>14493</v>
      </c>
      <c r="AS802" t="s">
        <v>14505</v>
      </c>
      <c r="AT802" t="s">
        <v>13778</v>
      </c>
      <c r="AU802">
        <v>2023</v>
      </c>
      <c r="AV802">
        <v>279</v>
      </c>
      <c r="AW802" t="s">
        <v>74</v>
      </c>
      <c r="AX802" t="s">
        <v>74</v>
      </c>
      <c r="AY802" t="s">
        <v>74</v>
      </c>
      <c r="AZ802" t="s">
        <v>74</v>
      </c>
      <c r="BA802" t="s">
        <v>74</v>
      </c>
      <c r="BB802" t="s">
        <v>74</v>
      </c>
      <c r="BC802" t="s">
        <v>74</v>
      </c>
      <c r="BD802">
        <v>120305</v>
      </c>
      <c r="BE802" t="s">
        <v>14506</v>
      </c>
      <c r="BF802" t="str">
        <f>HYPERLINK("http://dx.doi.org/10.1016/j.neuroimage.2023.120305","http://dx.doi.org/10.1016/j.neuroimage.2023.120305")</f>
        <v>http://dx.doi.org/10.1016/j.neuroimage.2023.120305</v>
      </c>
      <c r="BG802" t="s">
        <v>74</v>
      </c>
      <c r="BH802" t="s">
        <v>74</v>
      </c>
      <c r="BI802">
        <v>9</v>
      </c>
      <c r="BJ802" t="s">
        <v>14507</v>
      </c>
      <c r="BK802" t="s">
        <v>100</v>
      </c>
      <c r="BL802" t="s">
        <v>14508</v>
      </c>
      <c r="BM802" t="s">
        <v>14509</v>
      </c>
      <c r="BN802">
        <v>37562719</v>
      </c>
      <c r="BO802" t="s">
        <v>295</v>
      </c>
      <c r="BP802" t="s">
        <v>74</v>
      </c>
      <c r="BQ802" t="s">
        <v>74</v>
      </c>
      <c r="BR802" t="s">
        <v>104</v>
      </c>
      <c r="BS802" t="s">
        <v>14510</v>
      </c>
      <c r="BT802" t="str">
        <f>HYPERLINK("https%3A%2F%2Fwww.webofscience.com%2Fwos%2Fwoscc%2Ffull-record%2FWOS:001065506100001","View Full Record in Web of Science")</f>
        <v>View Full Record in Web of Science</v>
      </c>
    </row>
    <row r="803" spans="1:72" x14ac:dyDescent="0.15">
      <c r="A803" t="s">
        <v>72</v>
      </c>
      <c r="B803" t="s">
        <v>14511</v>
      </c>
      <c r="C803" t="s">
        <v>74</v>
      </c>
      <c r="D803" t="s">
        <v>74</v>
      </c>
      <c r="E803" t="s">
        <v>74</v>
      </c>
      <c r="F803" t="s">
        <v>14512</v>
      </c>
      <c r="G803" t="s">
        <v>74</v>
      </c>
      <c r="H803" t="s">
        <v>74</v>
      </c>
      <c r="I803" t="s">
        <v>14513</v>
      </c>
      <c r="J803" t="s">
        <v>12579</v>
      </c>
      <c r="K803" t="s">
        <v>74</v>
      </c>
      <c r="L803" t="s">
        <v>74</v>
      </c>
      <c r="M803" t="s">
        <v>78</v>
      </c>
      <c r="N803" t="s">
        <v>79</v>
      </c>
      <c r="O803" t="s">
        <v>74</v>
      </c>
      <c r="P803" t="s">
        <v>74</v>
      </c>
      <c r="Q803" t="s">
        <v>74</v>
      </c>
      <c r="R803" t="s">
        <v>74</v>
      </c>
      <c r="S803" t="s">
        <v>74</v>
      </c>
      <c r="T803" t="s">
        <v>14514</v>
      </c>
      <c r="U803" t="s">
        <v>14515</v>
      </c>
      <c r="V803" t="s">
        <v>14516</v>
      </c>
      <c r="W803" t="s">
        <v>14517</v>
      </c>
      <c r="X803" t="s">
        <v>14518</v>
      </c>
      <c r="Y803" t="s">
        <v>14519</v>
      </c>
      <c r="Z803" t="s">
        <v>14520</v>
      </c>
      <c r="AA803" t="s">
        <v>74</v>
      </c>
      <c r="AB803" t="s">
        <v>74</v>
      </c>
      <c r="AC803" t="s">
        <v>14521</v>
      </c>
      <c r="AD803" t="s">
        <v>14522</v>
      </c>
      <c r="AE803" t="s">
        <v>14523</v>
      </c>
      <c r="AF803" t="s">
        <v>74</v>
      </c>
      <c r="AG803">
        <v>67</v>
      </c>
      <c r="AH803">
        <v>0</v>
      </c>
      <c r="AI803">
        <v>0</v>
      </c>
      <c r="AJ803">
        <v>5</v>
      </c>
      <c r="AK803">
        <v>5</v>
      </c>
      <c r="AL803" t="s">
        <v>173</v>
      </c>
      <c r="AM803" t="s">
        <v>121</v>
      </c>
      <c r="AN803" t="s">
        <v>174</v>
      </c>
      <c r="AO803" t="s">
        <v>12590</v>
      </c>
      <c r="AP803" t="s">
        <v>12591</v>
      </c>
      <c r="AQ803" t="s">
        <v>74</v>
      </c>
      <c r="AR803" t="s">
        <v>12592</v>
      </c>
      <c r="AS803" t="s">
        <v>12593</v>
      </c>
      <c r="AT803" t="s">
        <v>13778</v>
      </c>
      <c r="AU803">
        <v>2023</v>
      </c>
      <c r="AV803">
        <v>258</v>
      </c>
      <c r="AW803" t="s">
        <v>74</v>
      </c>
      <c r="AX803" t="s">
        <v>74</v>
      </c>
      <c r="AY803" t="s">
        <v>74</v>
      </c>
      <c r="AZ803" t="s">
        <v>74</v>
      </c>
      <c r="BA803" t="s">
        <v>74</v>
      </c>
      <c r="BB803" t="s">
        <v>74</v>
      </c>
      <c r="BC803" t="s">
        <v>74</v>
      </c>
      <c r="BD803">
        <v>119229</v>
      </c>
      <c r="BE803" t="s">
        <v>14524</v>
      </c>
      <c r="BF803" t="str">
        <f>HYPERLINK("http://dx.doi.org/10.1016/j.actamat.2023.119229","http://dx.doi.org/10.1016/j.actamat.2023.119229")</f>
        <v>http://dx.doi.org/10.1016/j.actamat.2023.119229</v>
      </c>
      <c r="BG803" t="s">
        <v>74</v>
      </c>
      <c r="BH803" t="s">
        <v>74</v>
      </c>
      <c r="BI803">
        <v>10</v>
      </c>
      <c r="BJ803" t="s">
        <v>10175</v>
      </c>
      <c r="BK803" t="s">
        <v>100</v>
      </c>
      <c r="BL803" t="s">
        <v>10176</v>
      </c>
      <c r="BM803" t="s">
        <v>14525</v>
      </c>
      <c r="BN803" t="s">
        <v>74</v>
      </c>
      <c r="BO803" t="s">
        <v>74</v>
      </c>
      <c r="BP803" t="s">
        <v>74</v>
      </c>
      <c r="BQ803" t="s">
        <v>74</v>
      </c>
      <c r="BR803" t="s">
        <v>104</v>
      </c>
      <c r="BS803" t="s">
        <v>14526</v>
      </c>
      <c r="BT803" t="str">
        <f>HYPERLINK("https%3A%2F%2Fwww.webofscience.com%2Fwos%2Fwoscc%2Ffull-record%2FWOS:001060914300001","View Full Record in Web of Science")</f>
        <v>View Full Record in Web of Science</v>
      </c>
    </row>
    <row r="804" spans="1:72" x14ac:dyDescent="0.15">
      <c r="A804" t="s">
        <v>72</v>
      </c>
      <c r="B804" t="s">
        <v>14527</v>
      </c>
      <c r="C804" t="s">
        <v>74</v>
      </c>
      <c r="D804" t="s">
        <v>74</v>
      </c>
      <c r="E804" t="s">
        <v>74</v>
      </c>
      <c r="F804" t="s">
        <v>14528</v>
      </c>
      <c r="G804" t="s">
        <v>74</v>
      </c>
      <c r="H804" t="s">
        <v>74</v>
      </c>
      <c r="I804" t="s">
        <v>14529</v>
      </c>
      <c r="J804" t="s">
        <v>14530</v>
      </c>
      <c r="K804" t="s">
        <v>74</v>
      </c>
      <c r="L804" t="s">
        <v>74</v>
      </c>
      <c r="M804" t="s">
        <v>78</v>
      </c>
      <c r="N804" t="s">
        <v>79</v>
      </c>
      <c r="O804" t="s">
        <v>74</v>
      </c>
      <c r="P804" t="s">
        <v>74</v>
      </c>
      <c r="Q804" t="s">
        <v>74</v>
      </c>
      <c r="R804" t="s">
        <v>74</v>
      </c>
      <c r="S804" t="s">
        <v>74</v>
      </c>
      <c r="T804" t="s">
        <v>14531</v>
      </c>
      <c r="U804" t="s">
        <v>14532</v>
      </c>
      <c r="V804" t="s">
        <v>14533</v>
      </c>
      <c r="W804" t="s">
        <v>14534</v>
      </c>
      <c r="X804" t="s">
        <v>14535</v>
      </c>
      <c r="Y804" t="s">
        <v>14536</v>
      </c>
      <c r="Z804" t="s">
        <v>14537</v>
      </c>
      <c r="AA804" t="s">
        <v>74</v>
      </c>
      <c r="AB804" t="s">
        <v>74</v>
      </c>
      <c r="AC804" t="s">
        <v>74</v>
      </c>
      <c r="AD804" t="s">
        <v>74</v>
      </c>
      <c r="AE804" t="s">
        <v>74</v>
      </c>
      <c r="AF804" t="s">
        <v>74</v>
      </c>
      <c r="AG804">
        <v>50</v>
      </c>
      <c r="AH804">
        <v>0</v>
      </c>
      <c r="AI804">
        <v>0</v>
      </c>
      <c r="AJ804">
        <v>6</v>
      </c>
      <c r="AK804">
        <v>6</v>
      </c>
      <c r="AL804" t="s">
        <v>90</v>
      </c>
      <c r="AM804" t="s">
        <v>91</v>
      </c>
      <c r="AN804" t="s">
        <v>92</v>
      </c>
      <c r="AO804" t="s">
        <v>14538</v>
      </c>
      <c r="AP804" t="s">
        <v>14539</v>
      </c>
      <c r="AQ804" t="s">
        <v>74</v>
      </c>
      <c r="AR804" t="s">
        <v>14540</v>
      </c>
      <c r="AS804" t="s">
        <v>14541</v>
      </c>
      <c r="AT804" t="s">
        <v>13744</v>
      </c>
      <c r="AU804">
        <v>2023</v>
      </c>
      <c r="AV804">
        <v>193</v>
      </c>
      <c r="AW804" t="s">
        <v>74</v>
      </c>
      <c r="AX804" t="s">
        <v>74</v>
      </c>
      <c r="AY804" t="s">
        <v>74</v>
      </c>
      <c r="AZ804" t="s">
        <v>74</v>
      </c>
      <c r="BA804" t="s">
        <v>74</v>
      </c>
      <c r="BB804" t="s">
        <v>74</v>
      </c>
      <c r="BC804" t="s">
        <v>74</v>
      </c>
      <c r="BD804">
        <v>109141</v>
      </c>
      <c r="BE804" t="s">
        <v>14542</v>
      </c>
      <c r="BF804" t="str">
        <f>HYPERLINK("http://dx.doi.org/10.1016/j.microc.2023.109141","http://dx.doi.org/10.1016/j.microc.2023.109141")</f>
        <v>http://dx.doi.org/10.1016/j.microc.2023.109141</v>
      </c>
      <c r="BG804" t="s">
        <v>74</v>
      </c>
      <c r="BH804" t="s">
        <v>74</v>
      </c>
      <c r="BI804">
        <v>7</v>
      </c>
      <c r="BJ804" t="s">
        <v>541</v>
      </c>
      <c r="BK804" t="s">
        <v>100</v>
      </c>
      <c r="BL804" t="s">
        <v>395</v>
      </c>
      <c r="BM804" t="s">
        <v>14543</v>
      </c>
      <c r="BN804" t="s">
        <v>74</v>
      </c>
      <c r="BO804" t="s">
        <v>74</v>
      </c>
      <c r="BP804" t="s">
        <v>74</v>
      </c>
      <c r="BQ804" t="s">
        <v>74</v>
      </c>
      <c r="BR804" t="s">
        <v>104</v>
      </c>
      <c r="BS804" t="s">
        <v>14544</v>
      </c>
      <c r="BT804" t="str">
        <f>HYPERLINK("https%3A%2F%2Fwww.webofscience.com%2Fwos%2Fwoscc%2Ffull-record%2FWOS:001052116600001","View Full Record in Web of Science")</f>
        <v>View Full Record in Web of Science</v>
      </c>
    </row>
    <row r="805" spans="1:72" x14ac:dyDescent="0.15">
      <c r="A805" t="s">
        <v>72</v>
      </c>
      <c r="B805" t="s">
        <v>14545</v>
      </c>
      <c r="C805" t="s">
        <v>74</v>
      </c>
      <c r="D805" t="s">
        <v>74</v>
      </c>
      <c r="E805" t="s">
        <v>74</v>
      </c>
      <c r="F805" t="s">
        <v>14546</v>
      </c>
      <c r="G805" t="s">
        <v>74</v>
      </c>
      <c r="H805" t="s">
        <v>74</v>
      </c>
      <c r="I805" t="s">
        <v>14547</v>
      </c>
      <c r="J805" t="s">
        <v>14548</v>
      </c>
      <c r="K805" t="s">
        <v>74</v>
      </c>
      <c r="L805" t="s">
        <v>74</v>
      </c>
      <c r="M805" t="s">
        <v>78</v>
      </c>
      <c r="N805" t="s">
        <v>79</v>
      </c>
      <c r="O805" t="s">
        <v>74</v>
      </c>
      <c r="P805" t="s">
        <v>74</v>
      </c>
      <c r="Q805" t="s">
        <v>74</v>
      </c>
      <c r="R805" t="s">
        <v>74</v>
      </c>
      <c r="S805" t="s">
        <v>74</v>
      </c>
      <c r="T805" t="s">
        <v>14549</v>
      </c>
      <c r="U805" t="s">
        <v>14550</v>
      </c>
      <c r="V805" t="s">
        <v>14551</v>
      </c>
      <c r="W805" t="s">
        <v>14552</v>
      </c>
      <c r="X805" t="s">
        <v>14553</v>
      </c>
      <c r="Y805" t="s">
        <v>14554</v>
      </c>
      <c r="Z805" t="s">
        <v>14555</v>
      </c>
      <c r="AA805" t="s">
        <v>14556</v>
      </c>
      <c r="AB805" t="s">
        <v>14557</v>
      </c>
      <c r="AC805" t="s">
        <v>14558</v>
      </c>
      <c r="AD805" t="s">
        <v>14559</v>
      </c>
      <c r="AE805" t="s">
        <v>14560</v>
      </c>
      <c r="AF805" t="s">
        <v>74</v>
      </c>
      <c r="AG805">
        <v>83</v>
      </c>
      <c r="AH805">
        <v>0</v>
      </c>
      <c r="AI805">
        <v>0</v>
      </c>
      <c r="AJ805">
        <v>0</v>
      </c>
      <c r="AK805">
        <v>0</v>
      </c>
      <c r="AL805" t="s">
        <v>173</v>
      </c>
      <c r="AM805" t="s">
        <v>121</v>
      </c>
      <c r="AN805" t="s">
        <v>174</v>
      </c>
      <c r="AO805" t="s">
        <v>14561</v>
      </c>
      <c r="AP805" t="s">
        <v>14562</v>
      </c>
      <c r="AQ805" t="s">
        <v>74</v>
      </c>
      <c r="AR805" t="s">
        <v>14563</v>
      </c>
      <c r="AS805" t="s">
        <v>14564</v>
      </c>
      <c r="AT805" t="s">
        <v>13744</v>
      </c>
      <c r="AU805">
        <v>2023</v>
      </c>
      <c r="AV805">
        <v>154</v>
      </c>
      <c r="AW805" t="s">
        <v>74</v>
      </c>
      <c r="AX805" t="s">
        <v>74</v>
      </c>
      <c r="AY805" t="s">
        <v>74</v>
      </c>
      <c r="AZ805" t="s">
        <v>74</v>
      </c>
      <c r="BA805" t="s">
        <v>74</v>
      </c>
      <c r="BB805" t="s">
        <v>74</v>
      </c>
      <c r="BC805" t="s">
        <v>74</v>
      </c>
      <c r="BD805">
        <v>105764</v>
      </c>
      <c r="BE805" t="s">
        <v>14565</v>
      </c>
      <c r="BF805" t="str">
        <f>HYPERLINK("http://dx.doi.org/10.1016/j.archoralbio.2023.105764","http://dx.doi.org/10.1016/j.archoralbio.2023.105764")</f>
        <v>http://dx.doi.org/10.1016/j.archoralbio.2023.105764</v>
      </c>
      <c r="BG805" t="s">
        <v>74</v>
      </c>
      <c r="BH805" t="s">
        <v>74</v>
      </c>
      <c r="BI805">
        <v>12</v>
      </c>
      <c r="BJ805" t="s">
        <v>2689</v>
      </c>
      <c r="BK805" t="s">
        <v>100</v>
      </c>
      <c r="BL805" t="s">
        <v>2689</v>
      </c>
      <c r="BM805" t="s">
        <v>14566</v>
      </c>
      <c r="BN805">
        <v>37454526</v>
      </c>
      <c r="BO805" t="s">
        <v>74</v>
      </c>
      <c r="BP805" t="s">
        <v>74</v>
      </c>
      <c r="BQ805" t="s">
        <v>74</v>
      </c>
      <c r="BR805" t="s">
        <v>104</v>
      </c>
      <c r="BS805" t="s">
        <v>14567</v>
      </c>
      <c r="BT805" t="str">
        <f>HYPERLINK("https%3A%2F%2Fwww.webofscience.com%2Fwos%2Fwoscc%2Ffull-record%2FWOS:001043749200001","View Full Record in Web of Science")</f>
        <v>View Full Record in Web of Science</v>
      </c>
    </row>
    <row r="806" spans="1:72" x14ac:dyDescent="0.15">
      <c r="A806" t="s">
        <v>72</v>
      </c>
      <c r="B806" t="s">
        <v>14568</v>
      </c>
      <c r="C806" t="s">
        <v>74</v>
      </c>
      <c r="D806" t="s">
        <v>74</v>
      </c>
      <c r="E806" t="s">
        <v>74</v>
      </c>
      <c r="F806" t="s">
        <v>14569</v>
      </c>
      <c r="G806" t="s">
        <v>74</v>
      </c>
      <c r="H806" t="s">
        <v>74</v>
      </c>
      <c r="I806" t="s">
        <v>14570</v>
      </c>
      <c r="J806" t="s">
        <v>7948</v>
      </c>
      <c r="K806" t="s">
        <v>74</v>
      </c>
      <c r="L806" t="s">
        <v>74</v>
      </c>
      <c r="M806" t="s">
        <v>78</v>
      </c>
      <c r="N806" t="s">
        <v>79</v>
      </c>
      <c r="O806" t="s">
        <v>74</v>
      </c>
      <c r="P806" t="s">
        <v>74</v>
      </c>
      <c r="Q806" t="s">
        <v>74</v>
      </c>
      <c r="R806" t="s">
        <v>74</v>
      </c>
      <c r="S806" t="s">
        <v>74</v>
      </c>
      <c r="T806" t="s">
        <v>14571</v>
      </c>
      <c r="U806" t="s">
        <v>14572</v>
      </c>
      <c r="V806" t="s">
        <v>14573</v>
      </c>
      <c r="W806" t="s">
        <v>14574</v>
      </c>
      <c r="X806" t="s">
        <v>14575</v>
      </c>
      <c r="Y806" t="s">
        <v>14576</v>
      </c>
      <c r="Z806" t="s">
        <v>14577</v>
      </c>
      <c r="AA806" t="s">
        <v>14578</v>
      </c>
      <c r="AB806" t="s">
        <v>14579</v>
      </c>
      <c r="AC806" t="s">
        <v>74</v>
      </c>
      <c r="AD806" t="s">
        <v>74</v>
      </c>
      <c r="AE806" t="s">
        <v>74</v>
      </c>
      <c r="AF806" t="s">
        <v>74</v>
      </c>
      <c r="AG806">
        <v>52</v>
      </c>
      <c r="AH806">
        <v>0</v>
      </c>
      <c r="AI806">
        <v>0</v>
      </c>
      <c r="AJ806">
        <v>2</v>
      </c>
      <c r="AK806">
        <v>2</v>
      </c>
      <c r="AL806" t="s">
        <v>90</v>
      </c>
      <c r="AM806" t="s">
        <v>91</v>
      </c>
      <c r="AN806" t="s">
        <v>92</v>
      </c>
      <c r="AO806" t="s">
        <v>7959</v>
      </c>
      <c r="AP806" t="s">
        <v>7960</v>
      </c>
      <c r="AQ806" t="s">
        <v>74</v>
      </c>
      <c r="AR806" t="s">
        <v>7961</v>
      </c>
      <c r="AS806" t="s">
        <v>7962</v>
      </c>
      <c r="AT806" t="s">
        <v>13778</v>
      </c>
      <c r="AU806">
        <v>2023</v>
      </c>
      <c r="AV806">
        <v>387</v>
      </c>
      <c r="AW806" t="s">
        <v>74</v>
      </c>
      <c r="AX806" t="s">
        <v>74</v>
      </c>
      <c r="AY806" t="s">
        <v>74</v>
      </c>
      <c r="AZ806" t="s">
        <v>74</v>
      </c>
      <c r="BA806" t="s">
        <v>74</v>
      </c>
      <c r="BB806" t="s">
        <v>74</v>
      </c>
      <c r="BC806" t="s">
        <v>74</v>
      </c>
      <c r="BD806">
        <v>122703</v>
      </c>
      <c r="BE806" t="s">
        <v>14580</v>
      </c>
      <c r="BF806" t="str">
        <f>HYPERLINK("http://dx.doi.org/10.1016/j.molliq.2023.122703","http://dx.doi.org/10.1016/j.molliq.2023.122703")</f>
        <v>http://dx.doi.org/10.1016/j.molliq.2023.122703</v>
      </c>
      <c r="BG806" t="s">
        <v>74</v>
      </c>
      <c r="BH806" t="s">
        <v>74</v>
      </c>
      <c r="BI806">
        <v>9</v>
      </c>
      <c r="BJ806" t="s">
        <v>7964</v>
      </c>
      <c r="BK806" t="s">
        <v>100</v>
      </c>
      <c r="BL806" t="s">
        <v>7965</v>
      </c>
      <c r="BM806" t="s">
        <v>14581</v>
      </c>
      <c r="BN806" t="s">
        <v>74</v>
      </c>
      <c r="BO806" t="s">
        <v>74</v>
      </c>
      <c r="BP806" t="s">
        <v>74</v>
      </c>
      <c r="BQ806" t="s">
        <v>74</v>
      </c>
      <c r="BR806" t="s">
        <v>104</v>
      </c>
      <c r="BS806" t="s">
        <v>14582</v>
      </c>
      <c r="BT806" t="str">
        <f>HYPERLINK("https%3A%2F%2Fwww.webofscience.com%2Fwos%2Fwoscc%2Ffull-record%2FWOS:001052477400001","View Full Record in Web of Science")</f>
        <v>View Full Record in Web of Science</v>
      </c>
    </row>
    <row r="807" spans="1:72" x14ac:dyDescent="0.15">
      <c r="A807" t="s">
        <v>72</v>
      </c>
      <c r="B807" t="s">
        <v>14583</v>
      </c>
      <c r="C807" t="s">
        <v>74</v>
      </c>
      <c r="D807" t="s">
        <v>74</v>
      </c>
      <c r="E807" t="s">
        <v>74</v>
      </c>
      <c r="F807" t="s">
        <v>14584</v>
      </c>
      <c r="G807" t="s">
        <v>74</v>
      </c>
      <c r="H807" t="s">
        <v>74</v>
      </c>
      <c r="I807" t="s">
        <v>14585</v>
      </c>
      <c r="J807" t="s">
        <v>14586</v>
      </c>
      <c r="K807" t="s">
        <v>74</v>
      </c>
      <c r="L807" t="s">
        <v>74</v>
      </c>
      <c r="M807" t="s">
        <v>78</v>
      </c>
      <c r="N807" t="s">
        <v>79</v>
      </c>
      <c r="O807" t="s">
        <v>74</v>
      </c>
      <c r="P807" t="s">
        <v>74</v>
      </c>
      <c r="Q807" t="s">
        <v>74</v>
      </c>
      <c r="R807" t="s">
        <v>74</v>
      </c>
      <c r="S807" t="s">
        <v>74</v>
      </c>
      <c r="T807" t="s">
        <v>14587</v>
      </c>
      <c r="U807" t="s">
        <v>14588</v>
      </c>
      <c r="V807" t="s">
        <v>14589</v>
      </c>
      <c r="W807" t="s">
        <v>14590</v>
      </c>
      <c r="X807" t="s">
        <v>14591</v>
      </c>
      <c r="Y807" t="s">
        <v>14592</v>
      </c>
      <c r="Z807" t="s">
        <v>14593</v>
      </c>
      <c r="AA807" t="s">
        <v>14594</v>
      </c>
      <c r="AB807" t="s">
        <v>14595</v>
      </c>
      <c r="AC807" t="s">
        <v>14596</v>
      </c>
      <c r="AD807" t="s">
        <v>14597</v>
      </c>
      <c r="AE807" t="s">
        <v>14598</v>
      </c>
      <c r="AF807" t="s">
        <v>74</v>
      </c>
      <c r="AG807">
        <v>83</v>
      </c>
      <c r="AH807">
        <v>0</v>
      </c>
      <c r="AI807">
        <v>0</v>
      </c>
      <c r="AJ807">
        <v>1</v>
      </c>
      <c r="AK807">
        <v>1</v>
      </c>
      <c r="AL807" t="s">
        <v>120</v>
      </c>
      <c r="AM807" t="s">
        <v>121</v>
      </c>
      <c r="AN807" t="s">
        <v>122</v>
      </c>
      <c r="AO807" t="s">
        <v>14599</v>
      </c>
      <c r="AP807" t="s">
        <v>14600</v>
      </c>
      <c r="AQ807" t="s">
        <v>74</v>
      </c>
      <c r="AR807" t="s">
        <v>14601</v>
      </c>
      <c r="AS807" t="s">
        <v>14602</v>
      </c>
      <c r="AT807" t="s">
        <v>13744</v>
      </c>
      <c r="AU807">
        <v>2023</v>
      </c>
      <c r="AV807">
        <v>11</v>
      </c>
      <c r="AW807">
        <v>5</v>
      </c>
      <c r="AX807" t="s">
        <v>74</v>
      </c>
      <c r="AY807" t="s">
        <v>74</v>
      </c>
      <c r="AZ807" t="s">
        <v>74</v>
      </c>
      <c r="BA807" t="s">
        <v>74</v>
      </c>
      <c r="BB807" t="s">
        <v>74</v>
      </c>
      <c r="BC807" t="s">
        <v>74</v>
      </c>
      <c r="BD807">
        <v>110699</v>
      </c>
      <c r="BE807" t="s">
        <v>14603</v>
      </c>
      <c r="BF807" t="str">
        <f>HYPERLINK("http://dx.doi.org/10.1016/j.jece.2023.110699","http://dx.doi.org/10.1016/j.jece.2023.110699")</f>
        <v>http://dx.doi.org/10.1016/j.jece.2023.110699</v>
      </c>
      <c r="BG807" t="s">
        <v>74</v>
      </c>
      <c r="BH807" t="s">
        <v>74</v>
      </c>
      <c r="BI807">
        <v>13</v>
      </c>
      <c r="BJ807" t="s">
        <v>14604</v>
      </c>
      <c r="BK807" t="s">
        <v>100</v>
      </c>
      <c r="BL807" t="s">
        <v>873</v>
      </c>
      <c r="BM807" t="s">
        <v>14605</v>
      </c>
      <c r="BN807" t="s">
        <v>74</v>
      </c>
      <c r="BO807" t="s">
        <v>74</v>
      </c>
      <c r="BP807" t="s">
        <v>74</v>
      </c>
      <c r="BQ807" t="s">
        <v>74</v>
      </c>
      <c r="BR807" t="s">
        <v>104</v>
      </c>
      <c r="BS807" t="s">
        <v>14606</v>
      </c>
      <c r="BT807" t="str">
        <f>HYPERLINK("https%3A%2F%2Fwww.webofscience.com%2Fwos%2Fwoscc%2Ffull-record%2FWOS:001059096200001","View Full Record in Web of Science")</f>
        <v>View Full Record in Web of Science</v>
      </c>
    </row>
    <row r="808" spans="1:72" x14ac:dyDescent="0.15">
      <c r="A808" t="s">
        <v>72</v>
      </c>
      <c r="B808" t="s">
        <v>14607</v>
      </c>
      <c r="C808" t="s">
        <v>74</v>
      </c>
      <c r="D808" t="s">
        <v>74</v>
      </c>
      <c r="E808" t="s">
        <v>74</v>
      </c>
      <c r="F808" t="s">
        <v>14608</v>
      </c>
      <c r="G808" t="s">
        <v>74</v>
      </c>
      <c r="H808" t="s">
        <v>74</v>
      </c>
      <c r="I808" t="s">
        <v>14609</v>
      </c>
      <c r="J808" t="s">
        <v>7109</v>
      </c>
      <c r="K808" t="s">
        <v>74</v>
      </c>
      <c r="L808" t="s">
        <v>74</v>
      </c>
      <c r="M808" t="s">
        <v>78</v>
      </c>
      <c r="N808" t="s">
        <v>79</v>
      </c>
      <c r="O808" t="s">
        <v>74</v>
      </c>
      <c r="P808" t="s">
        <v>74</v>
      </c>
      <c r="Q808" t="s">
        <v>74</v>
      </c>
      <c r="R808" t="s">
        <v>74</v>
      </c>
      <c r="S808" t="s">
        <v>74</v>
      </c>
      <c r="T808" t="s">
        <v>14610</v>
      </c>
      <c r="U808" t="s">
        <v>14611</v>
      </c>
      <c r="V808" t="s">
        <v>14612</v>
      </c>
      <c r="W808" t="s">
        <v>14613</v>
      </c>
      <c r="X808" t="s">
        <v>14614</v>
      </c>
      <c r="Y808" t="s">
        <v>14615</v>
      </c>
      <c r="Z808" t="s">
        <v>14616</v>
      </c>
      <c r="AA808" t="s">
        <v>74</v>
      </c>
      <c r="AB808" t="s">
        <v>14617</v>
      </c>
      <c r="AC808" t="s">
        <v>14618</v>
      </c>
      <c r="AD808" t="s">
        <v>14619</v>
      </c>
      <c r="AE808" t="s">
        <v>14620</v>
      </c>
      <c r="AF808" t="s">
        <v>74</v>
      </c>
      <c r="AG808">
        <v>20</v>
      </c>
      <c r="AH808">
        <v>0</v>
      </c>
      <c r="AI808">
        <v>0</v>
      </c>
      <c r="AJ808">
        <v>2</v>
      </c>
      <c r="AK808">
        <v>2</v>
      </c>
      <c r="AL808" t="s">
        <v>90</v>
      </c>
      <c r="AM808" t="s">
        <v>91</v>
      </c>
      <c r="AN808" t="s">
        <v>92</v>
      </c>
      <c r="AO808" t="s">
        <v>7119</v>
      </c>
      <c r="AP808" t="s">
        <v>7120</v>
      </c>
      <c r="AQ808" t="s">
        <v>74</v>
      </c>
      <c r="AR808" t="s">
        <v>7121</v>
      </c>
      <c r="AS808" t="s">
        <v>7122</v>
      </c>
      <c r="AT808" t="s">
        <v>13744</v>
      </c>
      <c r="AU808">
        <v>2023</v>
      </c>
      <c r="AV808">
        <v>172</v>
      </c>
      <c r="AW808" t="s">
        <v>74</v>
      </c>
      <c r="AX808" t="s">
        <v>74</v>
      </c>
      <c r="AY808" t="s">
        <v>74</v>
      </c>
      <c r="AZ808" t="s">
        <v>74</v>
      </c>
      <c r="BA808" t="s">
        <v>74</v>
      </c>
      <c r="BB808" t="s">
        <v>74</v>
      </c>
      <c r="BC808" t="s">
        <v>74</v>
      </c>
      <c r="BD808">
        <v>113367</v>
      </c>
      <c r="BE808" t="s">
        <v>14621</v>
      </c>
      <c r="BF808" t="str">
        <f>HYPERLINK("http://dx.doi.org/10.1016/j.foodres.2023.113367","http://dx.doi.org/10.1016/j.foodres.2023.113367")</f>
        <v>http://dx.doi.org/10.1016/j.foodres.2023.113367</v>
      </c>
      <c r="BG808" t="s">
        <v>74</v>
      </c>
      <c r="BH808" t="s">
        <v>74</v>
      </c>
      <c r="BI808">
        <v>9</v>
      </c>
      <c r="BJ808" t="s">
        <v>1033</v>
      </c>
      <c r="BK808" t="s">
        <v>100</v>
      </c>
      <c r="BL808" t="s">
        <v>1033</v>
      </c>
      <c r="BM808" t="s">
        <v>14622</v>
      </c>
      <c r="BN808">
        <v>37689850</v>
      </c>
      <c r="BO808" t="s">
        <v>74</v>
      </c>
      <c r="BP808" t="s">
        <v>74</v>
      </c>
      <c r="BQ808" t="s">
        <v>74</v>
      </c>
      <c r="BR808" t="s">
        <v>104</v>
      </c>
      <c r="BS808" t="s">
        <v>14623</v>
      </c>
      <c r="BT808" t="str">
        <f>HYPERLINK("https%3A%2F%2Fwww.webofscience.com%2Fwos%2Fwoscc%2Ffull-record%2FWOS:001059414000001","View Full Record in Web of Science")</f>
        <v>View Full Record in Web of Science</v>
      </c>
    </row>
    <row r="809" spans="1:72" x14ac:dyDescent="0.15">
      <c r="A809" t="s">
        <v>72</v>
      </c>
      <c r="B809" t="s">
        <v>14624</v>
      </c>
      <c r="C809" t="s">
        <v>74</v>
      </c>
      <c r="D809" t="s">
        <v>74</v>
      </c>
      <c r="E809" t="s">
        <v>74</v>
      </c>
      <c r="F809" t="s">
        <v>14625</v>
      </c>
      <c r="G809" t="s">
        <v>74</v>
      </c>
      <c r="H809" t="s">
        <v>74</v>
      </c>
      <c r="I809" t="s">
        <v>14626</v>
      </c>
      <c r="J809" t="s">
        <v>14627</v>
      </c>
      <c r="K809" t="s">
        <v>74</v>
      </c>
      <c r="L809" t="s">
        <v>74</v>
      </c>
      <c r="M809" t="s">
        <v>78</v>
      </c>
      <c r="N809" t="s">
        <v>2947</v>
      </c>
      <c r="O809" t="s">
        <v>74</v>
      </c>
      <c r="P809" t="s">
        <v>74</v>
      </c>
      <c r="Q809" t="s">
        <v>74</v>
      </c>
      <c r="R809" t="s">
        <v>74</v>
      </c>
      <c r="S809" t="s">
        <v>74</v>
      </c>
      <c r="T809" t="s">
        <v>74</v>
      </c>
      <c r="U809" t="s">
        <v>74</v>
      </c>
      <c r="V809" t="s">
        <v>74</v>
      </c>
      <c r="W809" t="s">
        <v>14628</v>
      </c>
      <c r="X809" t="s">
        <v>14629</v>
      </c>
      <c r="Y809" t="s">
        <v>14630</v>
      </c>
      <c r="Z809" t="s">
        <v>14631</v>
      </c>
      <c r="AA809" t="s">
        <v>74</v>
      </c>
      <c r="AB809" t="s">
        <v>74</v>
      </c>
      <c r="AC809" t="s">
        <v>74</v>
      </c>
      <c r="AD809" t="s">
        <v>74</v>
      </c>
      <c r="AE809" t="s">
        <v>74</v>
      </c>
      <c r="AF809" t="s">
        <v>74</v>
      </c>
      <c r="AG809">
        <v>0</v>
      </c>
      <c r="AH809">
        <v>0</v>
      </c>
      <c r="AI809">
        <v>0</v>
      </c>
      <c r="AJ809">
        <v>0</v>
      </c>
      <c r="AK809">
        <v>0</v>
      </c>
      <c r="AL809" t="s">
        <v>90</v>
      </c>
      <c r="AM809" t="s">
        <v>91</v>
      </c>
      <c r="AN809" t="s">
        <v>92</v>
      </c>
      <c r="AO809" t="s">
        <v>14632</v>
      </c>
      <c r="AP809" t="s">
        <v>14633</v>
      </c>
      <c r="AQ809" t="s">
        <v>74</v>
      </c>
      <c r="AR809" t="s">
        <v>14634</v>
      </c>
      <c r="AS809" t="s">
        <v>14635</v>
      </c>
      <c r="AT809" t="s">
        <v>13744</v>
      </c>
      <c r="AU809">
        <v>2023</v>
      </c>
      <c r="AV809">
        <v>246</v>
      </c>
      <c r="AW809" t="s">
        <v>74</v>
      </c>
      <c r="AX809" t="s">
        <v>74</v>
      </c>
      <c r="AY809" t="s">
        <v>74</v>
      </c>
      <c r="AZ809" t="s">
        <v>74</v>
      </c>
      <c r="BA809" t="s">
        <v>74</v>
      </c>
      <c r="BB809" t="s">
        <v>74</v>
      </c>
      <c r="BC809" t="s">
        <v>74</v>
      </c>
      <c r="BD809">
        <v>106997</v>
      </c>
      <c r="BE809" t="s">
        <v>14636</v>
      </c>
      <c r="BF809" t="str">
        <f>HYPERLINK("http://dx.doi.org/10.1016/j.actatropica.2023.106997","http://dx.doi.org/10.1016/j.actatropica.2023.106997")</f>
        <v>http://dx.doi.org/10.1016/j.actatropica.2023.106997</v>
      </c>
      <c r="BG809" t="s">
        <v>74</v>
      </c>
      <c r="BH809" t="s">
        <v>74</v>
      </c>
      <c r="BI809">
        <v>1</v>
      </c>
      <c r="BJ809" t="s">
        <v>14637</v>
      </c>
      <c r="BK809" t="s">
        <v>100</v>
      </c>
      <c r="BL809" t="s">
        <v>14637</v>
      </c>
      <c r="BM809" t="s">
        <v>14638</v>
      </c>
      <c r="BN809">
        <v>37567842</v>
      </c>
      <c r="BO809" t="s">
        <v>504</v>
      </c>
      <c r="BP809" t="s">
        <v>74</v>
      </c>
      <c r="BQ809" t="s">
        <v>74</v>
      </c>
      <c r="BR809" t="s">
        <v>104</v>
      </c>
      <c r="BS809" t="s">
        <v>14639</v>
      </c>
      <c r="BT809" t="str">
        <f>HYPERLINK("https%3A%2F%2Fwww.webofscience.com%2Fwos%2Fwoscc%2Ffull-record%2FWOS:001065689900001","View Full Record in Web of Science")</f>
        <v>View Full Record in Web of Science</v>
      </c>
    </row>
    <row r="810" spans="1:72" x14ac:dyDescent="0.15">
      <c r="A810" t="s">
        <v>72</v>
      </c>
      <c r="B810" t="s">
        <v>14640</v>
      </c>
      <c r="C810" t="s">
        <v>74</v>
      </c>
      <c r="D810" t="s">
        <v>74</v>
      </c>
      <c r="E810" t="s">
        <v>74</v>
      </c>
      <c r="F810" t="s">
        <v>14641</v>
      </c>
      <c r="G810" t="s">
        <v>74</v>
      </c>
      <c r="H810" t="s">
        <v>74</v>
      </c>
      <c r="I810" t="s">
        <v>14642</v>
      </c>
      <c r="J810" t="s">
        <v>14643</v>
      </c>
      <c r="K810" t="s">
        <v>74</v>
      </c>
      <c r="L810" t="s">
        <v>74</v>
      </c>
      <c r="M810" t="s">
        <v>78</v>
      </c>
      <c r="N810" t="s">
        <v>79</v>
      </c>
      <c r="O810" t="s">
        <v>74</v>
      </c>
      <c r="P810" t="s">
        <v>74</v>
      </c>
      <c r="Q810" t="s">
        <v>74</v>
      </c>
      <c r="R810" t="s">
        <v>74</v>
      </c>
      <c r="S810" t="s">
        <v>74</v>
      </c>
      <c r="T810" t="s">
        <v>14644</v>
      </c>
      <c r="U810" t="s">
        <v>14645</v>
      </c>
      <c r="V810" t="s">
        <v>14646</v>
      </c>
      <c r="W810" t="s">
        <v>14647</v>
      </c>
      <c r="X810" t="s">
        <v>14648</v>
      </c>
      <c r="Y810" t="s">
        <v>14649</v>
      </c>
      <c r="Z810" t="s">
        <v>14650</v>
      </c>
      <c r="AA810" t="s">
        <v>74</v>
      </c>
      <c r="AB810" t="s">
        <v>14651</v>
      </c>
      <c r="AC810" t="s">
        <v>14652</v>
      </c>
      <c r="AD810" t="s">
        <v>14652</v>
      </c>
      <c r="AE810" t="s">
        <v>14653</v>
      </c>
      <c r="AF810" t="s">
        <v>74</v>
      </c>
      <c r="AG810">
        <v>40</v>
      </c>
      <c r="AH810">
        <v>0</v>
      </c>
      <c r="AI810">
        <v>0</v>
      </c>
      <c r="AJ810">
        <v>0</v>
      </c>
      <c r="AK810">
        <v>0</v>
      </c>
      <c r="AL810" t="s">
        <v>90</v>
      </c>
      <c r="AM810" t="s">
        <v>91</v>
      </c>
      <c r="AN810" t="s">
        <v>92</v>
      </c>
      <c r="AO810" t="s">
        <v>14654</v>
      </c>
      <c r="AP810" t="s">
        <v>74</v>
      </c>
      <c r="AQ810" t="s">
        <v>74</v>
      </c>
      <c r="AR810" t="s">
        <v>14655</v>
      </c>
      <c r="AS810" t="s">
        <v>14656</v>
      </c>
      <c r="AT810" t="s">
        <v>13744</v>
      </c>
      <c r="AU810">
        <v>2023</v>
      </c>
      <c r="AV810">
        <v>33</v>
      </c>
      <c r="AW810" t="s">
        <v>74</v>
      </c>
      <c r="AX810" t="s">
        <v>74</v>
      </c>
      <c r="AY810" t="s">
        <v>74</v>
      </c>
      <c r="AZ810" t="s">
        <v>74</v>
      </c>
      <c r="BA810" t="s">
        <v>74</v>
      </c>
      <c r="BB810" t="s">
        <v>74</v>
      </c>
      <c r="BC810" t="s">
        <v>74</v>
      </c>
      <c r="BD810">
        <v>100715</v>
      </c>
      <c r="BE810" t="s">
        <v>14657</v>
      </c>
      <c r="BF810" t="str">
        <f>HYPERLINK("http://dx.doi.org/10.1016/j.lanepe.2023.100715","http://dx.doi.org/10.1016/j.lanepe.2023.100715")</f>
        <v>http://dx.doi.org/10.1016/j.lanepe.2023.100715</v>
      </c>
      <c r="BG810" t="s">
        <v>74</v>
      </c>
      <c r="BH810" t="s">
        <v>74</v>
      </c>
      <c r="BI810">
        <v>9</v>
      </c>
      <c r="BJ810" t="s">
        <v>14658</v>
      </c>
      <c r="BK810" t="s">
        <v>1850</v>
      </c>
      <c r="BL810" t="s">
        <v>14658</v>
      </c>
      <c r="BM810" t="s">
        <v>14659</v>
      </c>
      <c r="BN810">
        <v>37601338</v>
      </c>
      <c r="BO810" t="s">
        <v>2583</v>
      </c>
      <c r="BP810" t="s">
        <v>74</v>
      </c>
      <c r="BQ810" t="s">
        <v>74</v>
      </c>
      <c r="BR810" t="s">
        <v>104</v>
      </c>
      <c r="BS810" t="s">
        <v>14660</v>
      </c>
      <c r="BT810" t="str">
        <f>HYPERLINK("https%3A%2F%2Fwww.webofscience.com%2Fwos%2Fwoscc%2Ffull-record%2FWOS:001067217100001","View Full Record in Web of Science")</f>
        <v>View Full Record in Web of Science</v>
      </c>
    </row>
    <row r="811" spans="1:72" x14ac:dyDescent="0.15">
      <c r="A811" t="s">
        <v>72</v>
      </c>
      <c r="B811" t="s">
        <v>14661</v>
      </c>
      <c r="C811" t="s">
        <v>74</v>
      </c>
      <c r="D811" t="s">
        <v>74</v>
      </c>
      <c r="E811" t="s">
        <v>74</v>
      </c>
      <c r="F811" t="s">
        <v>14662</v>
      </c>
      <c r="G811" t="s">
        <v>74</v>
      </c>
      <c r="H811" t="s">
        <v>74</v>
      </c>
      <c r="I811" t="s">
        <v>14663</v>
      </c>
      <c r="J811" t="s">
        <v>14664</v>
      </c>
      <c r="K811" t="s">
        <v>74</v>
      </c>
      <c r="L811" t="s">
        <v>74</v>
      </c>
      <c r="M811" t="s">
        <v>78</v>
      </c>
      <c r="N811" t="s">
        <v>79</v>
      </c>
      <c r="O811" t="s">
        <v>74</v>
      </c>
      <c r="P811" t="s">
        <v>74</v>
      </c>
      <c r="Q811" t="s">
        <v>74</v>
      </c>
      <c r="R811" t="s">
        <v>74</v>
      </c>
      <c r="S811" t="s">
        <v>74</v>
      </c>
      <c r="T811" t="s">
        <v>14665</v>
      </c>
      <c r="U811" t="s">
        <v>14666</v>
      </c>
      <c r="V811" t="s">
        <v>14667</v>
      </c>
      <c r="W811" t="s">
        <v>14668</v>
      </c>
      <c r="X811" t="s">
        <v>14669</v>
      </c>
      <c r="Y811" t="s">
        <v>14670</v>
      </c>
      <c r="Z811" t="s">
        <v>14671</v>
      </c>
      <c r="AA811" t="s">
        <v>14672</v>
      </c>
      <c r="AB811" t="s">
        <v>14673</v>
      </c>
      <c r="AC811" t="s">
        <v>14674</v>
      </c>
      <c r="AD811" t="s">
        <v>14675</v>
      </c>
      <c r="AE811" t="s">
        <v>14676</v>
      </c>
      <c r="AF811" t="s">
        <v>74</v>
      </c>
      <c r="AG811">
        <v>41</v>
      </c>
      <c r="AH811">
        <v>0</v>
      </c>
      <c r="AI811">
        <v>0</v>
      </c>
      <c r="AJ811">
        <v>4</v>
      </c>
      <c r="AK811">
        <v>4</v>
      </c>
      <c r="AL811" t="s">
        <v>90</v>
      </c>
      <c r="AM811" t="s">
        <v>91</v>
      </c>
      <c r="AN811" t="s">
        <v>92</v>
      </c>
      <c r="AO811" t="s">
        <v>14677</v>
      </c>
      <c r="AP811" t="s">
        <v>14678</v>
      </c>
      <c r="AQ811" t="s">
        <v>74</v>
      </c>
      <c r="AR811" t="s">
        <v>14679</v>
      </c>
      <c r="AS811" t="s">
        <v>14680</v>
      </c>
      <c r="AT811" t="s">
        <v>13744</v>
      </c>
      <c r="AU811">
        <v>2023</v>
      </c>
      <c r="AV811">
        <v>127</v>
      </c>
      <c r="AW811" t="s">
        <v>74</v>
      </c>
      <c r="AX811" t="s">
        <v>74</v>
      </c>
      <c r="AY811" t="s">
        <v>74</v>
      </c>
      <c r="AZ811" t="s">
        <v>74</v>
      </c>
      <c r="BA811" t="s">
        <v>74</v>
      </c>
      <c r="BB811" t="s">
        <v>74</v>
      </c>
      <c r="BC811" t="s">
        <v>74</v>
      </c>
      <c r="BD811">
        <v>104036</v>
      </c>
      <c r="BE811" t="s">
        <v>14681</v>
      </c>
      <c r="BF811" t="str">
        <f>HYPERLINK("http://dx.doi.org/10.1016/j.tafmec.2023.104036","http://dx.doi.org/10.1016/j.tafmec.2023.104036")</f>
        <v>http://dx.doi.org/10.1016/j.tafmec.2023.104036</v>
      </c>
      <c r="BG811" t="s">
        <v>74</v>
      </c>
      <c r="BH811" t="s">
        <v>74</v>
      </c>
      <c r="BI811">
        <v>10</v>
      </c>
      <c r="BJ811" t="s">
        <v>2882</v>
      </c>
      <c r="BK811" t="s">
        <v>100</v>
      </c>
      <c r="BL811" t="s">
        <v>2883</v>
      </c>
      <c r="BM811" t="s">
        <v>14682</v>
      </c>
      <c r="BN811" t="s">
        <v>74</v>
      </c>
      <c r="BO811" t="s">
        <v>74</v>
      </c>
      <c r="BP811" t="s">
        <v>74</v>
      </c>
      <c r="BQ811" t="s">
        <v>74</v>
      </c>
      <c r="BR811" t="s">
        <v>104</v>
      </c>
      <c r="BS811" t="s">
        <v>14683</v>
      </c>
      <c r="BT811" t="str">
        <f>HYPERLINK("https%3A%2F%2Fwww.webofscience.com%2Fwos%2Fwoscc%2Ffull-record%2FWOS:001054712600001","View Full Record in Web of Science")</f>
        <v>View Full Record in Web of Science</v>
      </c>
    </row>
    <row r="812" spans="1:72" x14ac:dyDescent="0.15">
      <c r="A812" t="s">
        <v>72</v>
      </c>
      <c r="B812" t="s">
        <v>14684</v>
      </c>
      <c r="C812" t="s">
        <v>74</v>
      </c>
      <c r="D812" t="s">
        <v>74</v>
      </c>
      <c r="E812" t="s">
        <v>74</v>
      </c>
      <c r="F812" t="s">
        <v>14685</v>
      </c>
      <c r="G812" t="s">
        <v>74</v>
      </c>
      <c r="H812" t="s">
        <v>74</v>
      </c>
      <c r="I812" t="s">
        <v>14686</v>
      </c>
      <c r="J812" t="s">
        <v>7948</v>
      </c>
      <c r="K812" t="s">
        <v>74</v>
      </c>
      <c r="L812" t="s">
        <v>74</v>
      </c>
      <c r="M812" t="s">
        <v>78</v>
      </c>
      <c r="N812" t="s">
        <v>79</v>
      </c>
      <c r="O812" t="s">
        <v>74</v>
      </c>
      <c r="P812" t="s">
        <v>74</v>
      </c>
      <c r="Q812" t="s">
        <v>74</v>
      </c>
      <c r="R812" t="s">
        <v>74</v>
      </c>
      <c r="S812" t="s">
        <v>74</v>
      </c>
      <c r="T812" t="s">
        <v>14687</v>
      </c>
      <c r="U812" t="s">
        <v>14688</v>
      </c>
      <c r="V812" t="s">
        <v>14689</v>
      </c>
      <c r="W812" t="s">
        <v>14690</v>
      </c>
      <c r="X812" t="s">
        <v>13648</v>
      </c>
      <c r="Y812" t="s">
        <v>14691</v>
      </c>
      <c r="Z812" t="s">
        <v>14692</v>
      </c>
      <c r="AA812" t="s">
        <v>74</v>
      </c>
      <c r="AB812" t="s">
        <v>74</v>
      </c>
      <c r="AC812" t="s">
        <v>14693</v>
      </c>
      <c r="AD812" t="s">
        <v>14694</v>
      </c>
      <c r="AE812" t="s">
        <v>14695</v>
      </c>
      <c r="AF812" t="s">
        <v>74</v>
      </c>
      <c r="AG812">
        <v>44</v>
      </c>
      <c r="AH812">
        <v>0</v>
      </c>
      <c r="AI812">
        <v>0</v>
      </c>
      <c r="AJ812">
        <v>5</v>
      </c>
      <c r="AK812">
        <v>5</v>
      </c>
      <c r="AL812" t="s">
        <v>90</v>
      </c>
      <c r="AM812" t="s">
        <v>91</v>
      </c>
      <c r="AN812" t="s">
        <v>92</v>
      </c>
      <c r="AO812" t="s">
        <v>7959</v>
      </c>
      <c r="AP812" t="s">
        <v>7960</v>
      </c>
      <c r="AQ812" t="s">
        <v>74</v>
      </c>
      <c r="AR812" t="s">
        <v>7961</v>
      </c>
      <c r="AS812" t="s">
        <v>7962</v>
      </c>
      <c r="AT812" t="s">
        <v>13778</v>
      </c>
      <c r="AU812">
        <v>2023</v>
      </c>
      <c r="AV812">
        <v>387</v>
      </c>
      <c r="AW812" t="s">
        <v>74</v>
      </c>
      <c r="AX812" t="s">
        <v>74</v>
      </c>
      <c r="AY812" t="s">
        <v>74</v>
      </c>
      <c r="AZ812" t="s">
        <v>74</v>
      </c>
      <c r="BA812" t="s">
        <v>74</v>
      </c>
      <c r="BB812" t="s">
        <v>74</v>
      </c>
      <c r="BC812" t="s">
        <v>74</v>
      </c>
      <c r="BD812">
        <v>122618</v>
      </c>
      <c r="BE812" t="s">
        <v>14696</v>
      </c>
      <c r="BF812" t="str">
        <f>HYPERLINK("http://dx.doi.org/10.1016/j.molliq.2023.122618","http://dx.doi.org/10.1016/j.molliq.2023.122618")</f>
        <v>http://dx.doi.org/10.1016/j.molliq.2023.122618</v>
      </c>
      <c r="BG812" t="s">
        <v>74</v>
      </c>
      <c r="BH812" t="s">
        <v>74</v>
      </c>
      <c r="BI812">
        <v>9</v>
      </c>
      <c r="BJ812" t="s">
        <v>7964</v>
      </c>
      <c r="BK812" t="s">
        <v>100</v>
      </c>
      <c r="BL812" t="s">
        <v>7965</v>
      </c>
      <c r="BM812" t="s">
        <v>14697</v>
      </c>
      <c r="BN812" t="s">
        <v>74</v>
      </c>
      <c r="BO812" t="s">
        <v>74</v>
      </c>
      <c r="BP812" t="s">
        <v>74</v>
      </c>
      <c r="BQ812" t="s">
        <v>74</v>
      </c>
      <c r="BR812" t="s">
        <v>104</v>
      </c>
      <c r="BS812" t="s">
        <v>14698</v>
      </c>
      <c r="BT812" t="str">
        <f>HYPERLINK("https%3A%2F%2Fwww.webofscience.com%2Fwos%2Fwoscc%2Ffull-record%2FWOS:001055872100001","View Full Record in Web of Science")</f>
        <v>View Full Record in Web of Science</v>
      </c>
    </row>
    <row r="813" spans="1:72" x14ac:dyDescent="0.15">
      <c r="A813" t="s">
        <v>72</v>
      </c>
      <c r="B813" t="s">
        <v>14699</v>
      </c>
      <c r="C813" t="s">
        <v>74</v>
      </c>
      <c r="D813" t="s">
        <v>74</v>
      </c>
      <c r="E813" t="s">
        <v>74</v>
      </c>
      <c r="F813" t="s">
        <v>14700</v>
      </c>
      <c r="G813" t="s">
        <v>74</v>
      </c>
      <c r="H813" t="s">
        <v>74</v>
      </c>
      <c r="I813" t="s">
        <v>14701</v>
      </c>
      <c r="J813" t="s">
        <v>14702</v>
      </c>
      <c r="K813" t="s">
        <v>74</v>
      </c>
      <c r="L813" t="s">
        <v>74</v>
      </c>
      <c r="M813" t="s">
        <v>78</v>
      </c>
      <c r="N813" t="s">
        <v>241</v>
      </c>
      <c r="O813" t="s">
        <v>74</v>
      </c>
      <c r="P813" t="s">
        <v>74</v>
      </c>
      <c r="Q813" t="s">
        <v>74</v>
      </c>
      <c r="R813" t="s">
        <v>74</v>
      </c>
      <c r="S813" t="s">
        <v>74</v>
      </c>
      <c r="T813" t="s">
        <v>14703</v>
      </c>
      <c r="U813" t="s">
        <v>14704</v>
      </c>
      <c r="V813" t="s">
        <v>14705</v>
      </c>
      <c r="W813" t="s">
        <v>14706</v>
      </c>
      <c r="X813" t="s">
        <v>14707</v>
      </c>
      <c r="Y813" t="s">
        <v>14708</v>
      </c>
      <c r="Z813" t="s">
        <v>14709</v>
      </c>
      <c r="AA813" t="s">
        <v>74</v>
      </c>
      <c r="AB813" t="s">
        <v>74</v>
      </c>
      <c r="AC813" t="s">
        <v>14710</v>
      </c>
      <c r="AD813" t="s">
        <v>14711</v>
      </c>
      <c r="AE813" t="s">
        <v>14712</v>
      </c>
      <c r="AF813" t="s">
        <v>74</v>
      </c>
      <c r="AG813">
        <v>183</v>
      </c>
      <c r="AH813">
        <v>0</v>
      </c>
      <c r="AI813">
        <v>0</v>
      </c>
      <c r="AJ813">
        <v>0</v>
      </c>
      <c r="AK813">
        <v>0</v>
      </c>
      <c r="AL813" t="s">
        <v>120</v>
      </c>
      <c r="AM813" t="s">
        <v>121</v>
      </c>
      <c r="AN813" t="s">
        <v>122</v>
      </c>
      <c r="AO813" t="s">
        <v>14713</v>
      </c>
      <c r="AP813" t="s">
        <v>14714</v>
      </c>
      <c r="AQ813" t="s">
        <v>74</v>
      </c>
      <c r="AR813" t="s">
        <v>14715</v>
      </c>
      <c r="AS813" t="s">
        <v>14716</v>
      </c>
      <c r="AT813" t="s">
        <v>13744</v>
      </c>
      <c r="AU813">
        <v>2023</v>
      </c>
      <c r="AV813">
        <v>167</v>
      </c>
      <c r="AW813" t="s">
        <v>74</v>
      </c>
      <c r="AX813" t="s">
        <v>74</v>
      </c>
      <c r="AY813" t="s">
        <v>74</v>
      </c>
      <c r="AZ813" t="s">
        <v>74</v>
      </c>
      <c r="BA813" t="s">
        <v>74</v>
      </c>
      <c r="BB813" t="s">
        <v>74</v>
      </c>
      <c r="BC813" t="s">
        <v>74</v>
      </c>
      <c r="BD813">
        <v>117233</v>
      </c>
      <c r="BE813" t="s">
        <v>14717</v>
      </c>
      <c r="BF813" t="str">
        <f>HYPERLINK("http://dx.doi.org/10.1016/j.trac.2023.117233","http://dx.doi.org/10.1016/j.trac.2023.117233")</f>
        <v>http://dx.doi.org/10.1016/j.trac.2023.117233</v>
      </c>
      <c r="BG813" t="s">
        <v>74</v>
      </c>
      <c r="BH813" t="s">
        <v>74</v>
      </c>
      <c r="BI813">
        <v>21</v>
      </c>
      <c r="BJ813" t="s">
        <v>541</v>
      </c>
      <c r="BK813" t="s">
        <v>100</v>
      </c>
      <c r="BL813" t="s">
        <v>395</v>
      </c>
      <c r="BM813" t="s">
        <v>14718</v>
      </c>
      <c r="BN813" t="s">
        <v>74</v>
      </c>
      <c r="BO813" t="s">
        <v>74</v>
      </c>
      <c r="BP813" t="s">
        <v>74</v>
      </c>
      <c r="BQ813" t="s">
        <v>74</v>
      </c>
      <c r="BR813" t="s">
        <v>104</v>
      </c>
      <c r="BS813" t="s">
        <v>14719</v>
      </c>
      <c r="BT813" t="str">
        <f>HYPERLINK("https%3A%2F%2Fwww.webofscience.com%2Fwos%2Fwoscc%2Ffull-record%2FWOS:001065764200001","View Full Record in Web of Science")</f>
        <v>View Full Record in Web of Science</v>
      </c>
    </row>
    <row r="814" spans="1:72" x14ac:dyDescent="0.15">
      <c r="A814" t="s">
        <v>72</v>
      </c>
      <c r="B814" t="s">
        <v>14720</v>
      </c>
      <c r="C814" t="s">
        <v>74</v>
      </c>
      <c r="D814" t="s">
        <v>74</v>
      </c>
      <c r="E814" t="s">
        <v>74</v>
      </c>
      <c r="F814" t="s">
        <v>14721</v>
      </c>
      <c r="G814" t="s">
        <v>74</v>
      </c>
      <c r="H814" t="s">
        <v>74</v>
      </c>
      <c r="I814" t="s">
        <v>14722</v>
      </c>
      <c r="J814" t="s">
        <v>14723</v>
      </c>
      <c r="K814" t="s">
        <v>74</v>
      </c>
      <c r="L814" t="s">
        <v>74</v>
      </c>
      <c r="M814" t="s">
        <v>78</v>
      </c>
      <c r="N814" t="s">
        <v>79</v>
      </c>
      <c r="O814" t="s">
        <v>74</v>
      </c>
      <c r="P814" t="s">
        <v>74</v>
      </c>
      <c r="Q814" t="s">
        <v>74</v>
      </c>
      <c r="R814" t="s">
        <v>74</v>
      </c>
      <c r="S814" t="s">
        <v>74</v>
      </c>
      <c r="T814" t="s">
        <v>14724</v>
      </c>
      <c r="U814" t="s">
        <v>14725</v>
      </c>
      <c r="V814" t="s">
        <v>14726</v>
      </c>
      <c r="W814" t="s">
        <v>14727</v>
      </c>
      <c r="X814" t="s">
        <v>14728</v>
      </c>
      <c r="Y814" t="s">
        <v>14729</v>
      </c>
      <c r="Z814" t="s">
        <v>14730</v>
      </c>
      <c r="AA814" t="s">
        <v>74</v>
      </c>
      <c r="AB814" t="s">
        <v>74</v>
      </c>
      <c r="AC814" t="s">
        <v>14731</v>
      </c>
      <c r="AD814" t="s">
        <v>14732</v>
      </c>
      <c r="AE814" t="s">
        <v>14733</v>
      </c>
      <c r="AF814" t="s">
        <v>74</v>
      </c>
      <c r="AG814">
        <v>37</v>
      </c>
      <c r="AH814">
        <v>0</v>
      </c>
      <c r="AI814">
        <v>0</v>
      </c>
      <c r="AJ814">
        <v>14</v>
      </c>
      <c r="AK814">
        <v>14</v>
      </c>
      <c r="AL814" t="s">
        <v>173</v>
      </c>
      <c r="AM814" t="s">
        <v>121</v>
      </c>
      <c r="AN814" t="s">
        <v>174</v>
      </c>
      <c r="AO814" t="s">
        <v>14734</v>
      </c>
      <c r="AP814" t="s">
        <v>74</v>
      </c>
      <c r="AQ814" t="s">
        <v>74</v>
      </c>
      <c r="AR814" t="s">
        <v>14723</v>
      </c>
      <c r="AS814" t="s">
        <v>14735</v>
      </c>
      <c r="AT814" t="s">
        <v>13744</v>
      </c>
      <c r="AU814">
        <v>2023</v>
      </c>
      <c r="AV814">
        <v>94</v>
      </c>
      <c r="AW814" t="s">
        <v>74</v>
      </c>
      <c r="AX814" t="s">
        <v>74</v>
      </c>
      <c r="AY814" t="s">
        <v>74</v>
      </c>
      <c r="AZ814" t="s">
        <v>74</v>
      </c>
      <c r="BA814" t="s">
        <v>74</v>
      </c>
      <c r="BB814" t="s">
        <v>74</v>
      </c>
      <c r="BC814" t="s">
        <v>74</v>
      </c>
      <c r="BD814">
        <v>103030</v>
      </c>
      <c r="BE814" t="s">
        <v>14736</v>
      </c>
      <c r="BF814" t="str">
        <f>HYPERLINK("http://dx.doi.org/10.1016/j.mechatronics.2023.103030","http://dx.doi.org/10.1016/j.mechatronics.2023.103030")</f>
        <v>http://dx.doi.org/10.1016/j.mechatronics.2023.103030</v>
      </c>
      <c r="BG814" t="s">
        <v>74</v>
      </c>
      <c r="BH814" t="s">
        <v>74</v>
      </c>
      <c r="BI814">
        <v>13</v>
      </c>
      <c r="BJ814" t="s">
        <v>14737</v>
      </c>
      <c r="BK814" t="s">
        <v>100</v>
      </c>
      <c r="BL814" t="s">
        <v>14738</v>
      </c>
      <c r="BM814" t="s">
        <v>14739</v>
      </c>
      <c r="BN814" t="s">
        <v>74</v>
      </c>
      <c r="BO814" t="s">
        <v>74</v>
      </c>
      <c r="BP814" t="s">
        <v>74</v>
      </c>
      <c r="BQ814" t="s">
        <v>74</v>
      </c>
      <c r="BR814" t="s">
        <v>104</v>
      </c>
      <c r="BS814" t="s">
        <v>14740</v>
      </c>
      <c r="BT814" t="str">
        <f>HYPERLINK("https%3A%2F%2Fwww.webofscience.com%2Fwos%2Fwoscc%2Ffull-record%2FWOS:001046850000001","View Full Record in Web of Science")</f>
        <v>View Full Record in Web of Science</v>
      </c>
    </row>
    <row r="815" spans="1:72" x14ac:dyDescent="0.15">
      <c r="A815" t="s">
        <v>72</v>
      </c>
      <c r="B815" t="s">
        <v>14741</v>
      </c>
      <c r="C815" t="s">
        <v>74</v>
      </c>
      <c r="D815" t="s">
        <v>74</v>
      </c>
      <c r="E815" t="s">
        <v>74</v>
      </c>
      <c r="F815" t="s">
        <v>14742</v>
      </c>
      <c r="G815" t="s">
        <v>74</v>
      </c>
      <c r="H815" t="s">
        <v>74</v>
      </c>
      <c r="I815" t="s">
        <v>14743</v>
      </c>
      <c r="J815" t="s">
        <v>6880</v>
      </c>
      <c r="K815" t="s">
        <v>74</v>
      </c>
      <c r="L815" t="s">
        <v>74</v>
      </c>
      <c r="M815" t="s">
        <v>78</v>
      </c>
      <c r="N815" t="s">
        <v>79</v>
      </c>
      <c r="O815" t="s">
        <v>74</v>
      </c>
      <c r="P815" t="s">
        <v>74</v>
      </c>
      <c r="Q815" t="s">
        <v>74</v>
      </c>
      <c r="R815" t="s">
        <v>74</v>
      </c>
      <c r="S815" t="s">
        <v>74</v>
      </c>
      <c r="T815" t="s">
        <v>14744</v>
      </c>
      <c r="U815" t="s">
        <v>14745</v>
      </c>
      <c r="V815" t="s">
        <v>14746</v>
      </c>
      <c r="W815" t="s">
        <v>14747</v>
      </c>
      <c r="X815" t="s">
        <v>14748</v>
      </c>
      <c r="Y815" t="s">
        <v>14749</v>
      </c>
      <c r="Z815" t="s">
        <v>14750</v>
      </c>
      <c r="AA815" t="s">
        <v>74</v>
      </c>
      <c r="AB815" t="s">
        <v>74</v>
      </c>
      <c r="AC815" t="s">
        <v>74</v>
      </c>
      <c r="AD815" t="s">
        <v>74</v>
      </c>
      <c r="AE815" t="s">
        <v>74</v>
      </c>
      <c r="AF815" t="s">
        <v>74</v>
      </c>
      <c r="AG815">
        <v>30</v>
      </c>
      <c r="AH815">
        <v>0</v>
      </c>
      <c r="AI815">
        <v>0</v>
      </c>
      <c r="AJ815">
        <v>3</v>
      </c>
      <c r="AK815">
        <v>3</v>
      </c>
      <c r="AL815" t="s">
        <v>173</v>
      </c>
      <c r="AM815" t="s">
        <v>121</v>
      </c>
      <c r="AN815" t="s">
        <v>174</v>
      </c>
      <c r="AO815" t="s">
        <v>6891</v>
      </c>
      <c r="AP815" t="s">
        <v>6892</v>
      </c>
      <c r="AQ815" t="s">
        <v>74</v>
      </c>
      <c r="AR815" t="s">
        <v>6893</v>
      </c>
      <c r="AS815" t="s">
        <v>6894</v>
      </c>
      <c r="AT815" t="s">
        <v>13778</v>
      </c>
      <c r="AU815">
        <v>2023</v>
      </c>
      <c r="AV815">
        <v>464</v>
      </c>
      <c r="AW815" t="s">
        <v>74</v>
      </c>
      <c r="AX815" t="s">
        <v>74</v>
      </c>
      <c r="AY815" t="s">
        <v>74</v>
      </c>
      <c r="AZ815" t="s">
        <v>74</v>
      </c>
      <c r="BA815" t="s">
        <v>74</v>
      </c>
      <c r="BB815" t="s">
        <v>74</v>
      </c>
      <c r="BC815" t="s">
        <v>74</v>
      </c>
      <c r="BD815">
        <v>142902</v>
      </c>
      <c r="BE815" t="s">
        <v>14751</v>
      </c>
      <c r="BF815" t="str">
        <f>HYPERLINK("http://dx.doi.org/10.1016/j.electacta.2023.142902","http://dx.doi.org/10.1016/j.electacta.2023.142902")</f>
        <v>http://dx.doi.org/10.1016/j.electacta.2023.142902</v>
      </c>
      <c r="BG815" t="s">
        <v>74</v>
      </c>
      <c r="BH815" t="s">
        <v>74</v>
      </c>
      <c r="BI815">
        <v>8</v>
      </c>
      <c r="BJ815" t="s">
        <v>6896</v>
      </c>
      <c r="BK815" t="s">
        <v>100</v>
      </c>
      <c r="BL815" t="s">
        <v>6896</v>
      </c>
      <c r="BM815" t="s">
        <v>14752</v>
      </c>
      <c r="BN815" t="s">
        <v>74</v>
      </c>
      <c r="BO815" t="s">
        <v>74</v>
      </c>
      <c r="BP815" t="s">
        <v>74</v>
      </c>
      <c r="BQ815" t="s">
        <v>74</v>
      </c>
      <c r="BR815" t="s">
        <v>104</v>
      </c>
      <c r="BS815" t="s">
        <v>14753</v>
      </c>
      <c r="BT815" t="str">
        <f>HYPERLINK("https%3A%2F%2Fwww.webofscience.com%2Fwos%2Fwoscc%2Ffull-record%2FWOS:001051107900001","View Full Record in Web of Science")</f>
        <v>View Full Record in Web of Science</v>
      </c>
    </row>
    <row r="816" spans="1:72" x14ac:dyDescent="0.15">
      <c r="A816" t="s">
        <v>72</v>
      </c>
      <c r="B816" t="s">
        <v>14754</v>
      </c>
      <c r="C816" t="s">
        <v>74</v>
      </c>
      <c r="D816" t="s">
        <v>74</v>
      </c>
      <c r="E816" t="s">
        <v>74</v>
      </c>
      <c r="F816" t="s">
        <v>14755</v>
      </c>
      <c r="G816" t="s">
        <v>74</v>
      </c>
      <c r="H816" t="s">
        <v>74</v>
      </c>
      <c r="I816" t="s">
        <v>14756</v>
      </c>
      <c r="J816" t="s">
        <v>14757</v>
      </c>
      <c r="K816" t="s">
        <v>74</v>
      </c>
      <c r="L816" t="s">
        <v>74</v>
      </c>
      <c r="M816" t="s">
        <v>78</v>
      </c>
      <c r="N816" t="s">
        <v>79</v>
      </c>
      <c r="O816" t="s">
        <v>74</v>
      </c>
      <c r="P816" t="s">
        <v>74</v>
      </c>
      <c r="Q816" t="s">
        <v>74</v>
      </c>
      <c r="R816" t="s">
        <v>74</v>
      </c>
      <c r="S816" t="s">
        <v>74</v>
      </c>
      <c r="T816" t="s">
        <v>14758</v>
      </c>
      <c r="U816" t="s">
        <v>14759</v>
      </c>
      <c r="V816" t="s">
        <v>14760</v>
      </c>
      <c r="W816" t="s">
        <v>14761</v>
      </c>
      <c r="X816" t="s">
        <v>3308</v>
      </c>
      <c r="Y816" t="s">
        <v>14762</v>
      </c>
      <c r="Z816" t="s">
        <v>14763</v>
      </c>
      <c r="AA816" t="s">
        <v>74</v>
      </c>
      <c r="AB816" t="s">
        <v>74</v>
      </c>
      <c r="AC816" t="s">
        <v>14764</v>
      </c>
      <c r="AD816" t="s">
        <v>14765</v>
      </c>
      <c r="AE816" t="s">
        <v>14766</v>
      </c>
      <c r="AF816" t="s">
        <v>74</v>
      </c>
      <c r="AG816">
        <v>54</v>
      </c>
      <c r="AH816">
        <v>0</v>
      </c>
      <c r="AI816">
        <v>0</v>
      </c>
      <c r="AJ816">
        <v>5</v>
      </c>
      <c r="AK816">
        <v>5</v>
      </c>
      <c r="AL816" t="s">
        <v>90</v>
      </c>
      <c r="AM816" t="s">
        <v>91</v>
      </c>
      <c r="AN816" t="s">
        <v>92</v>
      </c>
      <c r="AO816" t="s">
        <v>14767</v>
      </c>
      <c r="AP816" t="s">
        <v>14768</v>
      </c>
      <c r="AQ816" t="s">
        <v>74</v>
      </c>
      <c r="AR816" t="s">
        <v>14769</v>
      </c>
      <c r="AS816" t="s">
        <v>14770</v>
      </c>
      <c r="AT816" t="s">
        <v>13744</v>
      </c>
      <c r="AU816">
        <v>2023</v>
      </c>
      <c r="AV816">
        <v>243</v>
      </c>
      <c r="AW816" t="s">
        <v>74</v>
      </c>
      <c r="AX816" t="s">
        <v>74</v>
      </c>
      <c r="AY816" t="s">
        <v>74</v>
      </c>
      <c r="AZ816" t="s">
        <v>74</v>
      </c>
      <c r="BA816" t="s">
        <v>74</v>
      </c>
      <c r="BB816" t="s">
        <v>74</v>
      </c>
      <c r="BC816" t="s">
        <v>74</v>
      </c>
      <c r="BD816">
        <v>107068</v>
      </c>
      <c r="BE816" t="s">
        <v>14771</v>
      </c>
      <c r="BF816" t="str">
        <f>HYPERLINK("http://dx.doi.org/10.1016/j.clay.2023.107068","http://dx.doi.org/10.1016/j.clay.2023.107068")</f>
        <v>http://dx.doi.org/10.1016/j.clay.2023.107068</v>
      </c>
      <c r="BG816" t="s">
        <v>74</v>
      </c>
      <c r="BH816" t="s">
        <v>74</v>
      </c>
      <c r="BI816">
        <v>12</v>
      </c>
      <c r="BJ816" t="s">
        <v>14772</v>
      </c>
      <c r="BK816" t="s">
        <v>100</v>
      </c>
      <c r="BL816" t="s">
        <v>14773</v>
      </c>
      <c r="BM816" t="s">
        <v>14774</v>
      </c>
      <c r="BN816" t="s">
        <v>74</v>
      </c>
      <c r="BO816" t="s">
        <v>74</v>
      </c>
      <c r="BP816" t="s">
        <v>74</v>
      </c>
      <c r="BQ816" t="s">
        <v>74</v>
      </c>
      <c r="BR816" t="s">
        <v>104</v>
      </c>
      <c r="BS816" t="s">
        <v>14775</v>
      </c>
      <c r="BT816" t="str">
        <f>HYPERLINK("https%3A%2F%2Fwww.webofscience.com%2Fwos%2Fwoscc%2Ffull-record%2FWOS:001043670600001","View Full Record in Web of Science")</f>
        <v>View Full Record in Web of Science</v>
      </c>
    </row>
    <row r="817" spans="1:72" x14ac:dyDescent="0.15">
      <c r="A817" t="s">
        <v>72</v>
      </c>
      <c r="B817" t="s">
        <v>14776</v>
      </c>
      <c r="C817" t="s">
        <v>74</v>
      </c>
      <c r="D817" t="s">
        <v>74</v>
      </c>
      <c r="E817" t="s">
        <v>74</v>
      </c>
      <c r="F817" t="s">
        <v>14777</v>
      </c>
      <c r="G817" t="s">
        <v>74</v>
      </c>
      <c r="H817" t="s">
        <v>74</v>
      </c>
      <c r="I817" t="s">
        <v>14778</v>
      </c>
      <c r="J817" t="s">
        <v>14779</v>
      </c>
      <c r="K817" t="s">
        <v>74</v>
      </c>
      <c r="L817" t="s">
        <v>74</v>
      </c>
      <c r="M817" t="s">
        <v>78</v>
      </c>
      <c r="N817" t="s">
        <v>79</v>
      </c>
      <c r="O817" t="s">
        <v>74</v>
      </c>
      <c r="P817" t="s">
        <v>74</v>
      </c>
      <c r="Q817" t="s">
        <v>74</v>
      </c>
      <c r="R817" t="s">
        <v>74</v>
      </c>
      <c r="S817" t="s">
        <v>74</v>
      </c>
      <c r="T817" t="s">
        <v>14780</v>
      </c>
      <c r="U817" t="s">
        <v>14781</v>
      </c>
      <c r="V817" t="s">
        <v>14782</v>
      </c>
      <c r="W817" t="s">
        <v>14783</v>
      </c>
      <c r="X817" t="s">
        <v>14784</v>
      </c>
      <c r="Y817" t="s">
        <v>14785</v>
      </c>
      <c r="Z817" t="s">
        <v>14786</v>
      </c>
      <c r="AA817" t="s">
        <v>74</v>
      </c>
      <c r="AB817" t="s">
        <v>74</v>
      </c>
      <c r="AC817" t="s">
        <v>14787</v>
      </c>
      <c r="AD817" t="s">
        <v>252</v>
      </c>
      <c r="AE817" t="s">
        <v>14788</v>
      </c>
      <c r="AF817" t="s">
        <v>74</v>
      </c>
      <c r="AG817">
        <v>52</v>
      </c>
      <c r="AH817">
        <v>0</v>
      </c>
      <c r="AI817">
        <v>0</v>
      </c>
      <c r="AJ817">
        <v>2</v>
      </c>
      <c r="AK817">
        <v>2</v>
      </c>
      <c r="AL817" t="s">
        <v>90</v>
      </c>
      <c r="AM817" t="s">
        <v>91</v>
      </c>
      <c r="AN817" t="s">
        <v>92</v>
      </c>
      <c r="AO817" t="s">
        <v>14789</v>
      </c>
      <c r="AP817" t="s">
        <v>74</v>
      </c>
      <c r="AQ817" t="s">
        <v>74</v>
      </c>
      <c r="AR817" t="s">
        <v>14790</v>
      </c>
      <c r="AS817" t="s">
        <v>14791</v>
      </c>
      <c r="AT817" t="s">
        <v>13744</v>
      </c>
      <c r="AU817">
        <v>2023</v>
      </c>
      <c r="AV817">
        <v>34</v>
      </c>
      <c r="AW817" t="s">
        <v>74</v>
      </c>
      <c r="AX817" t="s">
        <v>74</v>
      </c>
      <c r="AY817" t="s">
        <v>74</v>
      </c>
      <c r="AZ817" t="s">
        <v>74</v>
      </c>
      <c r="BA817" t="s">
        <v>74</v>
      </c>
      <c r="BB817" t="s">
        <v>74</v>
      </c>
      <c r="BC817" t="s">
        <v>74</v>
      </c>
      <c r="BD817">
        <v>101898</v>
      </c>
      <c r="BE817" t="s">
        <v>14792</v>
      </c>
      <c r="BF817" t="str">
        <f>HYPERLINK("http://dx.doi.org/10.1016/j.apmt.2023.101898","http://dx.doi.org/10.1016/j.apmt.2023.101898")</f>
        <v>http://dx.doi.org/10.1016/j.apmt.2023.101898</v>
      </c>
      <c r="BG817" t="s">
        <v>74</v>
      </c>
      <c r="BH817" t="s">
        <v>74</v>
      </c>
      <c r="BI817">
        <v>11</v>
      </c>
      <c r="BJ817" t="s">
        <v>1111</v>
      </c>
      <c r="BK817" t="s">
        <v>100</v>
      </c>
      <c r="BL817" t="s">
        <v>1112</v>
      </c>
      <c r="BM817" t="s">
        <v>14793</v>
      </c>
      <c r="BN817" t="s">
        <v>74</v>
      </c>
      <c r="BO817" t="s">
        <v>74</v>
      </c>
      <c r="BP817" t="s">
        <v>74</v>
      </c>
      <c r="BQ817" t="s">
        <v>74</v>
      </c>
      <c r="BR817" t="s">
        <v>104</v>
      </c>
      <c r="BS817" t="s">
        <v>14794</v>
      </c>
      <c r="BT817" t="str">
        <f>HYPERLINK("https%3A%2F%2Fwww.webofscience.com%2Fwos%2Fwoscc%2Ffull-record%2FWOS:001062996700001","View Full Record in Web of Science")</f>
        <v>View Full Record in Web of Science</v>
      </c>
    </row>
    <row r="818" spans="1:72" x14ac:dyDescent="0.15">
      <c r="A818" t="s">
        <v>72</v>
      </c>
      <c r="B818" t="s">
        <v>14795</v>
      </c>
      <c r="C818" t="s">
        <v>74</v>
      </c>
      <c r="D818" t="s">
        <v>74</v>
      </c>
      <c r="E818" t="s">
        <v>74</v>
      </c>
      <c r="F818" t="s">
        <v>14796</v>
      </c>
      <c r="G818" t="s">
        <v>74</v>
      </c>
      <c r="H818" t="s">
        <v>74</v>
      </c>
      <c r="I818" t="s">
        <v>14797</v>
      </c>
      <c r="J818" t="s">
        <v>9050</v>
      </c>
      <c r="K818" t="s">
        <v>74</v>
      </c>
      <c r="L818" t="s">
        <v>74</v>
      </c>
      <c r="M818" t="s">
        <v>78</v>
      </c>
      <c r="N818" t="s">
        <v>79</v>
      </c>
      <c r="O818" t="s">
        <v>74</v>
      </c>
      <c r="P818" t="s">
        <v>74</v>
      </c>
      <c r="Q818" t="s">
        <v>74</v>
      </c>
      <c r="R818" t="s">
        <v>74</v>
      </c>
      <c r="S818" t="s">
        <v>74</v>
      </c>
      <c r="T818" t="s">
        <v>14798</v>
      </c>
      <c r="U818" t="s">
        <v>14799</v>
      </c>
      <c r="V818" t="s">
        <v>14800</v>
      </c>
      <c r="W818" t="s">
        <v>14801</v>
      </c>
      <c r="X818" t="s">
        <v>14802</v>
      </c>
      <c r="Y818" t="s">
        <v>14803</v>
      </c>
      <c r="Z818" t="s">
        <v>14804</v>
      </c>
      <c r="AA818" t="s">
        <v>74</v>
      </c>
      <c r="AB818" t="s">
        <v>74</v>
      </c>
      <c r="AC818" t="s">
        <v>14805</v>
      </c>
      <c r="AD818" t="s">
        <v>14806</v>
      </c>
      <c r="AE818" t="s">
        <v>14807</v>
      </c>
      <c r="AF818" t="s">
        <v>74</v>
      </c>
      <c r="AG818">
        <v>24</v>
      </c>
      <c r="AH818">
        <v>0</v>
      </c>
      <c r="AI818">
        <v>0</v>
      </c>
      <c r="AJ818">
        <v>1</v>
      </c>
      <c r="AK818">
        <v>1</v>
      </c>
      <c r="AL818" t="s">
        <v>90</v>
      </c>
      <c r="AM818" t="s">
        <v>91</v>
      </c>
      <c r="AN818" t="s">
        <v>92</v>
      </c>
      <c r="AO818" t="s">
        <v>9061</v>
      </c>
      <c r="AP818" t="s">
        <v>9062</v>
      </c>
      <c r="AQ818" t="s">
        <v>74</v>
      </c>
      <c r="AR818" t="s">
        <v>9063</v>
      </c>
      <c r="AS818" t="s">
        <v>9064</v>
      </c>
      <c r="AT818" t="s">
        <v>13744</v>
      </c>
      <c r="AU818">
        <v>2023</v>
      </c>
      <c r="AV818">
        <v>1055</v>
      </c>
      <c r="AW818" t="s">
        <v>74</v>
      </c>
      <c r="AX818" t="s">
        <v>74</v>
      </c>
      <c r="AY818" t="s">
        <v>74</v>
      </c>
      <c r="AZ818" t="s">
        <v>74</v>
      </c>
      <c r="BA818" t="s">
        <v>74</v>
      </c>
      <c r="BB818" t="s">
        <v>74</v>
      </c>
      <c r="BC818" t="s">
        <v>74</v>
      </c>
      <c r="BD818">
        <v>168406</v>
      </c>
      <c r="BE818" t="s">
        <v>14808</v>
      </c>
      <c r="BF818" t="str">
        <f>HYPERLINK("http://dx.doi.org/10.1016/j.nima.2023.168406","http://dx.doi.org/10.1016/j.nima.2023.168406")</f>
        <v>http://dx.doi.org/10.1016/j.nima.2023.168406</v>
      </c>
      <c r="BG818" t="s">
        <v>74</v>
      </c>
      <c r="BH818" t="s">
        <v>74</v>
      </c>
      <c r="BI818">
        <v>7</v>
      </c>
      <c r="BJ818" t="s">
        <v>9066</v>
      </c>
      <c r="BK818" t="s">
        <v>100</v>
      </c>
      <c r="BL818" t="s">
        <v>9067</v>
      </c>
      <c r="BM818" t="s">
        <v>14809</v>
      </c>
      <c r="BN818" t="s">
        <v>74</v>
      </c>
      <c r="BO818" t="s">
        <v>74</v>
      </c>
      <c r="BP818" t="s">
        <v>74</v>
      </c>
      <c r="BQ818" t="s">
        <v>74</v>
      </c>
      <c r="BR818" t="s">
        <v>104</v>
      </c>
      <c r="BS818" t="s">
        <v>14810</v>
      </c>
      <c r="BT818" t="str">
        <f>HYPERLINK("https%3A%2F%2Fwww.webofscience.com%2Fwos%2Fwoscc%2Ffull-record%2FWOS:001057961400001","View Full Record in Web of Science")</f>
        <v>View Full Record in Web of Science</v>
      </c>
    </row>
    <row r="819" spans="1:72" x14ac:dyDescent="0.15">
      <c r="A819" t="s">
        <v>72</v>
      </c>
      <c r="B819" t="s">
        <v>14811</v>
      </c>
      <c r="C819" t="s">
        <v>74</v>
      </c>
      <c r="D819" t="s">
        <v>74</v>
      </c>
      <c r="E819" t="s">
        <v>74</v>
      </c>
      <c r="F819" t="s">
        <v>14812</v>
      </c>
      <c r="G819" t="s">
        <v>74</v>
      </c>
      <c r="H819" t="s">
        <v>74</v>
      </c>
      <c r="I819" t="s">
        <v>14813</v>
      </c>
      <c r="J819" t="s">
        <v>10714</v>
      </c>
      <c r="K819" t="s">
        <v>74</v>
      </c>
      <c r="L819" t="s">
        <v>74</v>
      </c>
      <c r="M819" t="s">
        <v>78</v>
      </c>
      <c r="N819" t="s">
        <v>79</v>
      </c>
      <c r="O819" t="s">
        <v>74</v>
      </c>
      <c r="P819" t="s">
        <v>74</v>
      </c>
      <c r="Q819" t="s">
        <v>74</v>
      </c>
      <c r="R819" t="s">
        <v>74</v>
      </c>
      <c r="S819" t="s">
        <v>74</v>
      </c>
      <c r="T819" t="s">
        <v>14814</v>
      </c>
      <c r="U819" t="s">
        <v>14815</v>
      </c>
      <c r="V819" t="s">
        <v>14816</v>
      </c>
      <c r="W819" t="s">
        <v>14817</v>
      </c>
      <c r="X819" t="s">
        <v>14818</v>
      </c>
      <c r="Y819" t="s">
        <v>14819</v>
      </c>
      <c r="Z819" t="s">
        <v>14820</v>
      </c>
      <c r="AA819" t="s">
        <v>74</v>
      </c>
      <c r="AB819" t="s">
        <v>74</v>
      </c>
      <c r="AC819" t="s">
        <v>74</v>
      </c>
      <c r="AD819" t="s">
        <v>74</v>
      </c>
      <c r="AE819" t="s">
        <v>74</v>
      </c>
      <c r="AF819" t="s">
        <v>74</v>
      </c>
      <c r="AG819">
        <v>65</v>
      </c>
      <c r="AH819">
        <v>0</v>
      </c>
      <c r="AI819">
        <v>0</v>
      </c>
      <c r="AJ819">
        <v>3</v>
      </c>
      <c r="AK819">
        <v>3</v>
      </c>
      <c r="AL819" t="s">
        <v>90</v>
      </c>
      <c r="AM819" t="s">
        <v>91</v>
      </c>
      <c r="AN819" t="s">
        <v>92</v>
      </c>
      <c r="AO819" t="s">
        <v>10725</v>
      </c>
      <c r="AP819" t="s">
        <v>10726</v>
      </c>
      <c r="AQ819" t="s">
        <v>74</v>
      </c>
      <c r="AR819" t="s">
        <v>10727</v>
      </c>
      <c r="AS819" t="s">
        <v>10728</v>
      </c>
      <c r="AT819" t="s">
        <v>13744</v>
      </c>
      <c r="AU819">
        <v>2023</v>
      </c>
      <c r="AV819">
        <v>97</v>
      </c>
      <c r="AW819" t="s">
        <v>74</v>
      </c>
      <c r="AX819" t="s">
        <v>74</v>
      </c>
      <c r="AY819" t="s">
        <v>74</v>
      </c>
      <c r="AZ819" t="s">
        <v>74</v>
      </c>
      <c r="BA819" t="s">
        <v>74</v>
      </c>
      <c r="BB819" t="s">
        <v>74</v>
      </c>
      <c r="BC819" t="s">
        <v>74</v>
      </c>
      <c r="BD819">
        <v>104722</v>
      </c>
      <c r="BE819" t="s">
        <v>14821</v>
      </c>
      <c r="BF819" t="str">
        <f>HYPERLINK("http://dx.doi.org/10.1016/j.scs.2023.104722","http://dx.doi.org/10.1016/j.scs.2023.104722")</f>
        <v>http://dx.doi.org/10.1016/j.scs.2023.104722</v>
      </c>
      <c r="BG819" t="s">
        <v>74</v>
      </c>
      <c r="BH819" t="s">
        <v>74</v>
      </c>
      <c r="BI819">
        <v>14</v>
      </c>
      <c r="BJ819" t="s">
        <v>10730</v>
      </c>
      <c r="BK819" t="s">
        <v>100</v>
      </c>
      <c r="BL819" t="s">
        <v>10731</v>
      </c>
      <c r="BM819" t="s">
        <v>14822</v>
      </c>
      <c r="BN819" t="s">
        <v>74</v>
      </c>
      <c r="BO819" t="s">
        <v>74</v>
      </c>
      <c r="BP819" t="s">
        <v>74</v>
      </c>
      <c r="BQ819" t="s">
        <v>74</v>
      </c>
      <c r="BR819" t="s">
        <v>104</v>
      </c>
      <c r="BS819" t="s">
        <v>14823</v>
      </c>
      <c r="BT819" t="str">
        <f>HYPERLINK("https%3A%2F%2Fwww.webofscience.com%2Fwos%2Fwoscc%2Ffull-record%2FWOS:001047264000001","View Full Record in Web of Science")</f>
        <v>View Full Record in Web of Science</v>
      </c>
    </row>
    <row r="820" spans="1:72" x14ac:dyDescent="0.15">
      <c r="A820" t="s">
        <v>72</v>
      </c>
      <c r="B820" t="s">
        <v>14824</v>
      </c>
      <c r="C820" t="s">
        <v>74</v>
      </c>
      <c r="D820" t="s">
        <v>74</v>
      </c>
      <c r="E820" t="s">
        <v>74</v>
      </c>
      <c r="F820" t="s">
        <v>14825</v>
      </c>
      <c r="G820" t="s">
        <v>74</v>
      </c>
      <c r="H820" t="s">
        <v>74</v>
      </c>
      <c r="I820" t="s">
        <v>14826</v>
      </c>
      <c r="J820" t="s">
        <v>14827</v>
      </c>
      <c r="K820" t="s">
        <v>74</v>
      </c>
      <c r="L820" t="s">
        <v>74</v>
      </c>
      <c r="M820" t="s">
        <v>78</v>
      </c>
      <c r="N820" t="s">
        <v>79</v>
      </c>
      <c r="O820" t="s">
        <v>74</v>
      </c>
      <c r="P820" t="s">
        <v>74</v>
      </c>
      <c r="Q820" t="s">
        <v>74</v>
      </c>
      <c r="R820" t="s">
        <v>74</v>
      </c>
      <c r="S820" t="s">
        <v>74</v>
      </c>
      <c r="T820" t="s">
        <v>14828</v>
      </c>
      <c r="U820" t="s">
        <v>14829</v>
      </c>
      <c r="V820" t="s">
        <v>14830</v>
      </c>
      <c r="W820" t="s">
        <v>14831</v>
      </c>
      <c r="X820" t="s">
        <v>14832</v>
      </c>
      <c r="Y820" t="s">
        <v>14833</v>
      </c>
      <c r="Z820" t="s">
        <v>14834</v>
      </c>
      <c r="AA820" t="s">
        <v>74</v>
      </c>
      <c r="AB820" t="s">
        <v>14835</v>
      </c>
      <c r="AC820" t="s">
        <v>14836</v>
      </c>
      <c r="AD820" t="s">
        <v>14837</v>
      </c>
      <c r="AE820" t="s">
        <v>14838</v>
      </c>
      <c r="AF820" t="s">
        <v>74</v>
      </c>
      <c r="AG820">
        <v>69</v>
      </c>
      <c r="AH820">
        <v>0</v>
      </c>
      <c r="AI820">
        <v>0</v>
      </c>
      <c r="AJ820">
        <v>0</v>
      </c>
      <c r="AK820">
        <v>0</v>
      </c>
      <c r="AL820" t="s">
        <v>90</v>
      </c>
      <c r="AM820" t="s">
        <v>91</v>
      </c>
      <c r="AN820" t="s">
        <v>92</v>
      </c>
      <c r="AO820" t="s">
        <v>14839</v>
      </c>
      <c r="AP820" t="s">
        <v>14840</v>
      </c>
      <c r="AQ820" t="s">
        <v>74</v>
      </c>
      <c r="AR820" t="s">
        <v>14841</v>
      </c>
      <c r="AS820" t="s">
        <v>14842</v>
      </c>
      <c r="AT820" t="s">
        <v>13744</v>
      </c>
      <c r="AU820">
        <v>2023</v>
      </c>
      <c r="AV820">
        <v>89</v>
      </c>
      <c r="AW820" t="s">
        <v>74</v>
      </c>
      <c r="AX820" t="s">
        <v>74</v>
      </c>
      <c r="AY820" t="s">
        <v>74</v>
      </c>
      <c r="AZ820" t="s">
        <v>74</v>
      </c>
      <c r="BA820" t="s">
        <v>74</v>
      </c>
      <c r="BB820" t="s">
        <v>74</v>
      </c>
      <c r="BC820" t="s">
        <v>74</v>
      </c>
      <c r="BD820">
        <v>102894</v>
      </c>
      <c r="BE820" t="s">
        <v>14843</v>
      </c>
      <c r="BF820" t="str">
        <f>HYPERLINK("http://dx.doi.org/10.1016/j.media.2023.102894","http://dx.doi.org/10.1016/j.media.2023.102894")</f>
        <v>http://dx.doi.org/10.1016/j.media.2023.102894</v>
      </c>
      <c r="BG820" t="s">
        <v>74</v>
      </c>
      <c r="BH820" t="s">
        <v>74</v>
      </c>
      <c r="BI820">
        <v>12</v>
      </c>
      <c r="BJ820" t="s">
        <v>14844</v>
      </c>
      <c r="BK820" t="s">
        <v>100</v>
      </c>
      <c r="BL820" t="s">
        <v>14845</v>
      </c>
      <c r="BM820" t="s">
        <v>14846</v>
      </c>
      <c r="BN820">
        <v>37562256</v>
      </c>
      <c r="BO820" t="s">
        <v>74</v>
      </c>
      <c r="BP820" t="s">
        <v>74</v>
      </c>
      <c r="BQ820" t="s">
        <v>74</v>
      </c>
      <c r="BR820" t="s">
        <v>104</v>
      </c>
      <c r="BS820" t="s">
        <v>14847</v>
      </c>
      <c r="BT820" t="str">
        <f>HYPERLINK("https%3A%2F%2Fwww.webofscience.com%2Fwos%2Fwoscc%2Ffull-record%2FWOS:001061334100001","View Full Record in Web of Science")</f>
        <v>View Full Record in Web of Science</v>
      </c>
    </row>
    <row r="821" spans="1:72" x14ac:dyDescent="0.15">
      <c r="A821" t="s">
        <v>72</v>
      </c>
      <c r="B821" t="s">
        <v>14848</v>
      </c>
      <c r="C821" t="s">
        <v>74</v>
      </c>
      <c r="D821" t="s">
        <v>74</v>
      </c>
      <c r="E821" t="s">
        <v>74</v>
      </c>
      <c r="F821" t="s">
        <v>14849</v>
      </c>
      <c r="G821" t="s">
        <v>74</v>
      </c>
      <c r="H821" t="s">
        <v>74</v>
      </c>
      <c r="I821" t="s">
        <v>14850</v>
      </c>
      <c r="J821" t="s">
        <v>14851</v>
      </c>
      <c r="K821" t="s">
        <v>74</v>
      </c>
      <c r="L821" t="s">
        <v>74</v>
      </c>
      <c r="M821" t="s">
        <v>78</v>
      </c>
      <c r="N821" t="s">
        <v>79</v>
      </c>
      <c r="O821" t="s">
        <v>74</v>
      </c>
      <c r="P821" t="s">
        <v>74</v>
      </c>
      <c r="Q821" t="s">
        <v>74</v>
      </c>
      <c r="R821" t="s">
        <v>74</v>
      </c>
      <c r="S821" t="s">
        <v>74</v>
      </c>
      <c r="T821" t="s">
        <v>14852</v>
      </c>
      <c r="U821" t="s">
        <v>74</v>
      </c>
      <c r="V821" t="s">
        <v>14853</v>
      </c>
      <c r="W821" t="s">
        <v>14854</v>
      </c>
      <c r="X821" t="s">
        <v>14855</v>
      </c>
      <c r="Y821" t="s">
        <v>14856</v>
      </c>
      <c r="Z821" t="s">
        <v>14857</v>
      </c>
      <c r="AA821" t="s">
        <v>74</v>
      </c>
      <c r="AB821" t="s">
        <v>74</v>
      </c>
      <c r="AC821" t="s">
        <v>14858</v>
      </c>
      <c r="AD821" t="s">
        <v>14858</v>
      </c>
      <c r="AE821" t="s">
        <v>14859</v>
      </c>
      <c r="AF821" t="s">
        <v>74</v>
      </c>
      <c r="AG821">
        <v>74</v>
      </c>
      <c r="AH821">
        <v>0</v>
      </c>
      <c r="AI821">
        <v>0</v>
      </c>
      <c r="AJ821">
        <v>0</v>
      </c>
      <c r="AK821">
        <v>0</v>
      </c>
      <c r="AL821" t="s">
        <v>554</v>
      </c>
      <c r="AM821" t="s">
        <v>555</v>
      </c>
      <c r="AN821" t="s">
        <v>556</v>
      </c>
      <c r="AO821" t="s">
        <v>14860</v>
      </c>
      <c r="AP821" t="s">
        <v>14861</v>
      </c>
      <c r="AQ821" t="s">
        <v>74</v>
      </c>
      <c r="AR821" t="s">
        <v>14862</v>
      </c>
      <c r="AS821" t="s">
        <v>14863</v>
      </c>
      <c r="AT821" t="s">
        <v>13744</v>
      </c>
      <c r="AU821">
        <v>2023</v>
      </c>
      <c r="AV821">
        <v>82</v>
      </c>
      <c r="AW821" t="s">
        <v>74</v>
      </c>
      <c r="AX821" t="s">
        <v>74</v>
      </c>
      <c r="AY821" t="s">
        <v>74</v>
      </c>
      <c r="AZ821" t="s">
        <v>74</v>
      </c>
      <c r="BA821" t="s">
        <v>74</v>
      </c>
      <c r="BB821">
        <v>23</v>
      </c>
      <c r="BC821">
        <v>37</v>
      </c>
      <c r="BD821" t="s">
        <v>74</v>
      </c>
      <c r="BE821" t="s">
        <v>14864</v>
      </c>
      <c r="BF821" t="str">
        <f>HYPERLINK("http://dx.doi.org/10.1016/j.jhg.2023.05.006","http://dx.doi.org/10.1016/j.jhg.2023.05.006")</f>
        <v>http://dx.doi.org/10.1016/j.jhg.2023.05.006</v>
      </c>
      <c r="BG821" t="s">
        <v>74</v>
      </c>
      <c r="BH821" t="s">
        <v>74</v>
      </c>
      <c r="BI821">
        <v>15</v>
      </c>
      <c r="BJ821" t="s">
        <v>14865</v>
      </c>
      <c r="BK821" t="s">
        <v>627</v>
      </c>
      <c r="BL821" t="s">
        <v>14866</v>
      </c>
      <c r="BM821" t="s">
        <v>14867</v>
      </c>
      <c r="BN821" t="s">
        <v>74</v>
      </c>
      <c r="BO821" t="s">
        <v>504</v>
      </c>
      <c r="BP821" t="s">
        <v>74</v>
      </c>
      <c r="BQ821" t="s">
        <v>74</v>
      </c>
      <c r="BR821" t="s">
        <v>104</v>
      </c>
      <c r="BS821" t="s">
        <v>14868</v>
      </c>
      <c r="BT821" t="str">
        <f>HYPERLINK("https%3A%2F%2Fwww.webofscience.com%2Fwos%2Fwoscc%2Ffull-record%2FWOS:001068730400001","View Full Record in Web of Science")</f>
        <v>View Full Record in Web of Science</v>
      </c>
    </row>
    <row r="822" spans="1:72" x14ac:dyDescent="0.15">
      <c r="A822" t="s">
        <v>72</v>
      </c>
      <c r="B822" t="s">
        <v>14869</v>
      </c>
      <c r="C822" t="s">
        <v>74</v>
      </c>
      <c r="D822" t="s">
        <v>74</v>
      </c>
      <c r="E822" t="s">
        <v>74</v>
      </c>
      <c r="F822" t="s">
        <v>14870</v>
      </c>
      <c r="G822" t="s">
        <v>74</v>
      </c>
      <c r="H822" t="s">
        <v>74</v>
      </c>
      <c r="I822" t="s">
        <v>14871</v>
      </c>
      <c r="J822" t="s">
        <v>14872</v>
      </c>
      <c r="K822" t="s">
        <v>74</v>
      </c>
      <c r="L822" t="s">
        <v>74</v>
      </c>
      <c r="M822" t="s">
        <v>78</v>
      </c>
      <c r="N822" t="s">
        <v>2947</v>
      </c>
      <c r="O822" t="s">
        <v>74</v>
      </c>
      <c r="P822" t="s">
        <v>74</v>
      </c>
      <c r="Q822" t="s">
        <v>74</v>
      </c>
      <c r="R822" t="s">
        <v>74</v>
      </c>
      <c r="S822" t="s">
        <v>74</v>
      </c>
      <c r="T822" t="s">
        <v>74</v>
      </c>
      <c r="U822" t="s">
        <v>74</v>
      </c>
      <c r="V822" t="s">
        <v>74</v>
      </c>
      <c r="W822" t="s">
        <v>14873</v>
      </c>
      <c r="X822" t="s">
        <v>14874</v>
      </c>
      <c r="Y822" t="s">
        <v>14875</v>
      </c>
      <c r="Z822" t="s">
        <v>14876</v>
      </c>
      <c r="AA822" t="s">
        <v>74</v>
      </c>
      <c r="AB822" t="s">
        <v>74</v>
      </c>
      <c r="AC822" t="s">
        <v>74</v>
      </c>
      <c r="AD822" t="s">
        <v>74</v>
      </c>
      <c r="AE822" t="s">
        <v>74</v>
      </c>
      <c r="AF822" t="s">
        <v>74</v>
      </c>
      <c r="AG822">
        <v>0</v>
      </c>
      <c r="AH822">
        <v>0</v>
      </c>
      <c r="AI822">
        <v>0</v>
      </c>
      <c r="AJ822">
        <v>0</v>
      </c>
      <c r="AK822">
        <v>0</v>
      </c>
      <c r="AL822" t="s">
        <v>90</v>
      </c>
      <c r="AM822" t="s">
        <v>91</v>
      </c>
      <c r="AN822" t="s">
        <v>92</v>
      </c>
      <c r="AO822" t="s">
        <v>14877</v>
      </c>
      <c r="AP822" t="s">
        <v>74</v>
      </c>
      <c r="AQ822" t="s">
        <v>74</v>
      </c>
      <c r="AR822" t="s">
        <v>14878</v>
      </c>
      <c r="AS822" t="s">
        <v>14879</v>
      </c>
      <c r="AT822" t="s">
        <v>13744</v>
      </c>
      <c r="AU822">
        <v>2023</v>
      </c>
      <c r="AV822">
        <v>50</v>
      </c>
      <c r="AW822" t="s">
        <v>74</v>
      </c>
      <c r="AX822" t="s">
        <v>74</v>
      </c>
      <c r="AY822" t="s">
        <v>74</v>
      </c>
      <c r="AZ822" t="s">
        <v>74</v>
      </c>
      <c r="BA822" t="s">
        <v>74</v>
      </c>
      <c r="BB822" t="s">
        <v>74</v>
      </c>
      <c r="BC822" t="s">
        <v>74</v>
      </c>
      <c r="BD822">
        <v>109494</v>
      </c>
      <c r="BE822" t="s">
        <v>14880</v>
      </c>
      <c r="BF822" t="str">
        <f>HYPERLINK("http://dx.doi.org/10.1016/j.dib.2023.109494","http://dx.doi.org/10.1016/j.dib.2023.109494")</f>
        <v>http://dx.doi.org/10.1016/j.dib.2023.109494</v>
      </c>
      <c r="BG822" t="s">
        <v>74</v>
      </c>
      <c r="BH822" t="s">
        <v>74</v>
      </c>
      <c r="BI822">
        <v>1</v>
      </c>
      <c r="BJ822" t="s">
        <v>4002</v>
      </c>
      <c r="BK822" t="s">
        <v>1850</v>
      </c>
      <c r="BL822" t="s">
        <v>4003</v>
      </c>
      <c r="BM822" t="s">
        <v>14881</v>
      </c>
      <c r="BN822">
        <v>37663772</v>
      </c>
      <c r="BO822" t="s">
        <v>4366</v>
      </c>
      <c r="BP822" t="s">
        <v>74</v>
      </c>
      <c r="BQ822" t="s">
        <v>74</v>
      </c>
      <c r="BR822" t="s">
        <v>104</v>
      </c>
      <c r="BS822" t="s">
        <v>14882</v>
      </c>
      <c r="BT822" t="str">
        <f>HYPERLINK("https%3A%2F%2Fwww.webofscience.com%2Fwos%2Fwoscc%2Ffull-record%2FWOS:001065906200001","View Full Record in Web of Science")</f>
        <v>View Full Record in Web of Science</v>
      </c>
    </row>
    <row r="823" spans="1:72" x14ac:dyDescent="0.15">
      <c r="A823" t="s">
        <v>72</v>
      </c>
      <c r="B823" t="s">
        <v>14883</v>
      </c>
      <c r="C823" t="s">
        <v>74</v>
      </c>
      <c r="D823" t="s">
        <v>74</v>
      </c>
      <c r="E823" t="s">
        <v>74</v>
      </c>
      <c r="F823" t="s">
        <v>14884</v>
      </c>
      <c r="G823" t="s">
        <v>74</v>
      </c>
      <c r="H823" t="s">
        <v>74</v>
      </c>
      <c r="I823" t="s">
        <v>14885</v>
      </c>
      <c r="J823" t="s">
        <v>14886</v>
      </c>
      <c r="K823" t="s">
        <v>74</v>
      </c>
      <c r="L823" t="s">
        <v>74</v>
      </c>
      <c r="M823" t="s">
        <v>78</v>
      </c>
      <c r="N823" t="s">
        <v>79</v>
      </c>
      <c r="O823" t="s">
        <v>74</v>
      </c>
      <c r="P823" t="s">
        <v>74</v>
      </c>
      <c r="Q823" t="s">
        <v>74</v>
      </c>
      <c r="R823" t="s">
        <v>74</v>
      </c>
      <c r="S823" t="s">
        <v>74</v>
      </c>
      <c r="T823" t="s">
        <v>14887</v>
      </c>
      <c r="U823" t="s">
        <v>14888</v>
      </c>
      <c r="V823" t="s">
        <v>14889</v>
      </c>
      <c r="W823" t="s">
        <v>14890</v>
      </c>
      <c r="X823" t="s">
        <v>14891</v>
      </c>
      <c r="Y823" t="s">
        <v>14892</v>
      </c>
      <c r="Z823" t="s">
        <v>14893</v>
      </c>
      <c r="AA823" t="s">
        <v>74</v>
      </c>
      <c r="AB823" t="s">
        <v>74</v>
      </c>
      <c r="AC823" t="s">
        <v>74</v>
      </c>
      <c r="AD823" t="s">
        <v>74</v>
      </c>
      <c r="AE823" t="s">
        <v>74</v>
      </c>
      <c r="AF823" t="s">
        <v>74</v>
      </c>
      <c r="AG823">
        <v>131</v>
      </c>
      <c r="AH823">
        <v>0</v>
      </c>
      <c r="AI823">
        <v>0</v>
      </c>
      <c r="AJ823">
        <v>8</v>
      </c>
      <c r="AK823">
        <v>8</v>
      </c>
      <c r="AL823" t="s">
        <v>120</v>
      </c>
      <c r="AM823" t="s">
        <v>121</v>
      </c>
      <c r="AN823" t="s">
        <v>122</v>
      </c>
      <c r="AO823" t="s">
        <v>14894</v>
      </c>
      <c r="AP823" t="s">
        <v>14895</v>
      </c>
      <c r="AQ823" t="s">
        <v>74</v>
      </c>
      <c r="AR823" t="s">
        <v>14896</v>
      </c>
      <c r="AS823" t="s">
        <v>14897</v>
      </c>
      <c r="AT823" t="s">
        <v>13744</v>
      </c>
      <c r="AU823">
        <v>2023</v>
      </c>
      <c r="AV823">
        <v>72</v>
      </c>
      <c r="AW823" t="s">
        <v>74</v>
      </c>
      <c r="AX823" t="s">
        <v>74</v>
      </c>
      <c r="AY823" t="s">
        <v>74</v>
      </c>
      <c r="AZ823" t="s">
        <v>74</v>
      </c>
      <c r="BA823" t="s">
        <v>74</v>
      </c>
      <c r="BB823" t="s">
        <v>74</v>
      </c>
      <c r="BC823" t="s">
        <v>74</v>
      </c>
      <c r="BD823">
        <v>102807</v>
      </c>
      <c r="BE823" t="s">
        <v>14898</v>
      </c>
      <c r="BF823" t="str">
        <f>HYPERLINK("http://dx.doi.org/10.1016/j.jelekin.2023.102807","http://dx.doi.org/10.1016/j.jelekin.2023.102807")</f>
        <v>http://dx.doi.org/10.1016/j.jelekin.2023.102807</v>
      </c>
      <c r="BG823" t="s">
        <v>74</v>
      </c>
      <c r="BH823" t="s">
        <v>74</v>
      </c>
      <c r="BI823">
        <v>18</v>
      </c>
      <c r="BJ823" t="s">
        <v>14899</v>
      </c>
      <c r="BK823" t="s">
        <v>100</v>
      </c>
      <c r="BL823" t="s">
        <v>14900</v>
      </c>
      <c r="BM823" t="s">
        <v>14901</v>
      </c>
      <c r="BN823">
        <v>37552918</v>
      </c>
      <c r="BO823" t="s">
        <v>504</v>
      </c>
      <c r="BP823" t="s">
        <v>74</v>
      </c>
      <c r="BQ823" t="s">
        <v>74</v>
      </c>
      <c r="BR823" t="s">
        <v>104</v>
      </c>
      <c r="BS823" t="s">
        <v>14902</v>
      </c>
      <c r="BT823" t="str">
        <f>HYPERLINK("https%3A%2F%2Fwww.webofscience.com%2Fwos%2Fwoscc%2Ffull-record%2FWOS:001055837100001","View Full Record in Web of Science")</f>
        <v>View Full Record in Web of Science</v>
      </c>
    </row>
    <row r="824" spans="1:72" x14ac:dyDescent="0.15">
      <c r="A824" t="s">
        <v>72</v>
      </c>
      <c r="B824" t="s">
        <v>14903</v>
      </c>
      <c r="C824" t="s">
        <v>74</v>
      </c>
      <c r="D824" t="s">
        <v>74</v>
      </c>
      <c r="E824" t="s">
        <v>74</v>
      </c>
      <c r="F824" t="s">
        <v>14904</v>
      </c>
      <c r="G824" t="s">
        <v>74</v>
      </c>
      <c r="H824" t="s">
        <v>74</v>
      </c>
      <c r="I824" t="s">
        <v>14905</v>
      </c>
      <c r="J824" t="s">
        <v>6953</v>
      </c>
      <c r="K824" t="s">
        <v>74</v>
      </c>
      <c r="L824" t="s">
        <v>74</v>
      </c>
      <c r="M824" t="s">
        <v>78</v>
      </c>
      <c r="N824" t="s">
        <v>79</v>
      </c>
      <c r="O824" t="s">
        <v>74</v>
      </c>
      <c r="P824" t="s">
        <v>74</v>
      </c>
      <c r="Q824" t="s">
        <v>74</v>
      </c>
      <c r="R824" t="s">
        <v>74</v>
      </c>
      <c r="S824" t="s">
        <v>74</v>
      </c>
      <c r="T824" t="s">
        <v>14906</v>
      </c>
      <c r="U824" t="s">
        <v>14907</v>
      </c>
      <c r="V824" t="s">
        <v>14908</v>
      </c>
      <c r="W824" t="s">
        <v>14909</v>
      </c>
      <c r="X824" t="s">
        <v>14910</v>
      </c>
      <c r="Y824" t="s">
        <v>14911</v>
      </c>
      <c r="Z824" t="s">
        <v>14912</v>
      </c>
      <c r="AA824" t="s">
        <v>74</v>
      </c>
      <c r="AB824" t="s">
        <v>74</v>
      </c>
      <c r="AC824" t="s">
        <v>14913</v>
      </c>
      <c r="AD824" t="s">
        <v>14914</v>
      </c>
      <c r="AE824" t="s">
        <v>14915</v>
      </c>
      <c r="AF824" t="s">
        <v>74</v>
      </c>
      <c r="AG824">
        <v>47</v>
      </c>
      <c r="AH824">
        <v>0</v>
      </c>
      <c r="AI824">
        <v>0</v>
      </c>
      <c r="AJ824">
        <v>1</v>
      </c>
      <c r="AK824">
        <v>1</v>
      </c>
      <c r="AL824" t="s">
        <v>120</v>
      </c>
      <c r="AM824" t="s">
        <v>121</v>
      </c>
      <c r="AN824" t="s">
        <v>122</v>
      </c>
      <c r="AO824" t="s">
        <v>6963</v>
      </c>
      <c r="AP824" t="s">
        <v>6964</v>
      </c>
      <c r="AQ824" t="s">
        <v>74</v>
      </c>
      <c r="AR824" t="s">
        <v>6965</v>
      </c>
      <c r="AS824" t="s">
        <v>6966</v>
      </c>
      <c r="AT824" t="s">
        <v>13744</v>
      </c>
      <c r="AU824">
        <v>2023</v>
      </c>
      <c r="AV824">
        <v>78</v>
      </c>
      <c r="AW824" t="s">
        <v>74</v>
      </c>
      <c r="AX824" t="s">
        <v>74</v>
      </c>
      <c r="AY824" t="s">
        <v>74</v>
      </c>
      <c r="AZ824" t="s">
        <v>74</v>
      </c>
      <c r="BA824" t="s">
        <v>74</v>
      </c>
      <c r="BB824" t="s">
        <v>74</v>
      </c>
      <c r="BC824" t="s">
        <v>74</v>
      </c>
      <c r="BD824">
        <v>104913</v>
      </c>
      <c r="BE824" t="s">
        <v>14916</v>
      </c>
      <c r="BF824" t="str">
        <f>HYPERLINK("http://dx.doi.org/10.1016/j.msard.2023.104913","http://dx.doi.org/10.1016/j.msard.2023.104913")</f>
        <v>http://dx.doi.org/10.1016/j.msard.2023.104913</v>
      </c>
      <c r="BG824" t="s">
        <v>74</v>
      </c>
      <c r="BH824" t="s">
        <v>74</v>
      </c>
      <c r="BI824">
        <v>6</v>
      </c>
      <c r="BJ824" t="s">
        <v>4188</v>
      </c>
      <c r="BK824" t="s">
        <v>100</v>
      </c>
      <c r="BL824" t="s">
        <v>4189</v>
      </c>
      <c r="BM824" t="s">
        <v>14917</v>
      </c>
      <c r="BN824">
        <v>37506614</v>
      </c>
      <c r="BO824" t="s">
        <v>74</v>
      </c>
      <c r="BP824" t="s">
        <v>74</v>
      </c>
      <c r="BQ824" t="s">
        <v>74</v>
      </c>
      <c r="BR824" t="s">
        <v>104</v>
      </c>
      <c r="BS824" t="s">
        <v>14918</v>
      </c>
      <c r="BT824" t="str">
        <f>HYPERLINK("https%3A%2F%2Fwww.webofscience.com%2Fwos%2Fwoscc%2Ffull-record%2FWOS:001050125000001","View Full Record in Web of Science")</f>
        <v>View Full Record in Web of Science</v>
      </c>
    </row>
    <row r="825" spans="1:72" x14ac:dyDescent="0.15">
      <c r="A825" t="s">
        <v>72</v>
      </c>
      <c r="B825" t="s">
        <v>14919</v>
      </c>
      <c r="C825" t="s">
        <v>74</v>
      </c>
      <c r="D825" t="s">
        <v>74</v>
      </c>
      <c r="E825" t="s">
        <v>74</v>
      </c>
      <c r="F825" t="s">
        <v>14920</v>
      </c>
      <c r="G825" t="s">
        <v>74</v>
      </c>
      <c r="H825" t="s">
        <v>74</v>
      </c>
      <c r="I825" t="s">
        <v>14921</v>
      </c>
      <c r="J825" t="s">
        <v>14922</v>
      </c>
      <c r="K825" t="s">
        <v>74</v>
      </c>
      <c r="L825" t="s">
        <v>74</v>
      </c>
      <c r="M825" t="s">
        <v>78</v>
      </c>
      <c r="N825" t="s">
        <v>8335</v>
      </c>
      <c r="O825" t="s">
        <v>74</v>
      </c>
      <c r="P825" t="s">
        <v>74</v>
      </c>
      <c r="Q825" t="s">
        <v>74</v>
      </c>
      <c r="R825" t="s">
        <v>74</v>
      </c>
      <c r="S825" t="s">
        <v>74</v>
      </c>
      <c r="T825" t="s">
        <v>74</v>
      </c>
      <c r="U825" t="s">
        <v>74</v>
      </c>
      <c r="V825" t="s">
        <v>74</v>
      </c>
      <c r="W825" t="s">
        <v>14923</v>
      </c>
      <c r="X825" t="s">
        <v>14924</v>
      </c>
      <c r="Y825" t="s">
        <v>14925</v>
      </c>
      <c r="Z825" t="s">
        <v>14926</v>
      </c>
      <c r="AA825" t="s">
        <v>74</v>
      </c>
      <c r="AB825" t="s">
        <v>14927</v>
      </c>
      <c r="AC825" t="s">
        <v>74</v>
      </c>
      <c r="AD825" t="s">
        <v>74</v>
      </c>
      <c r="AE825" t="s">
        <v>74</v>
      </c>
      <c r="AF825" t="s">
        <v>74</v>
      </c>
      <c r="AG825">
        <v>5</v>
      </c>
      <c r="AH825">
        <v>0</v>
      </c>
      <c r="AI825">
        <v>0</v>
      </c>
      <c r="AJ825">
        <v>0</v>
      </c>
      <c r="AK825">
        <v>0</v>
      </c>
      <c r="AL825" t="s">
        <v>90</v>
      </c>
      <c r="AM825" t="s">
        <v>91</v>
      </c>
      <c r="AN825" t="s">
        <v>92</v>
      </c>
      <c r="AO825" t="s">
        <v>14928</v>
      </c>
      <c r="AP825" t="s">
        <v>74</v>
      </c>
      <c r="AQ825" t="s">
        <v>74</v>
      </c>
      <c r="AR825" t="s">
        <v>14929</v>
      </c>
      <c r="AS825" t="s">
        <v>14930</v>
      </c>
      <c r="AT825" t="s">
        <v>13744</v>
      </c>
      <c r="AU825">
        <v>2023</v>
      </c>
      <c r="AV825">
        <v>5</v>
      </c>
      <c r="AW825">
        <v>10</v>
      </c>
      <c r="AX825" t="s">
        <v>74</v>
      </c>
      <c r="AY825" t="s">
        <v>74</v>
      </c>
      <c r="AZ825" t="s">
        <v>74</v>
      </c>
      <c r="BA825" t="s">
        <v>74</v>
      </c>
      <c r="BB825" t="s">
        <v>74</v>
      </c>
      <c r="BC825" t="s">
        <v>74</v>
      </c>
      <c r="BD825">
        <v>101130</v>
      </c>
      <c r="BE825" t="s">
        <v>14931</v>
      </c>
      <c r="BF825" t="str">
        <f>HYPERLINK("http://dx.doi.org/10.1016/j.ajogmf.2023.101130","http://dx.doi.org/10.1016/j.ajogmf.2023.101130")</f>
        <v>http://dx.doi.org/10.1016/j.ajogmf.2023.101130</v>
      </c>
      <c r="BG825" t="s">
        <v>74</v>
      </c>
      <c r="BH825" t="s">
        <v>74</v>
      </c>
      <c r="BI825">
        <v>2</v>
      </c>
      <c r="BJ825" t="s">
        <v>14932</v>
      </c>
      <c r="BK825" t="s">
        <v>100</v>
      </c>
      <c r="BL825" t="s">
        <v>14932</v>
      </c>
      <c r="BM825" t="s">
        <v>14933</v>
      </c>
      <c r="BN825">
        <v>37574048</v>
      </c>
      <c r="BO825" t="s">
        <v>74</v>
      </c>
      <c r="BP825" t="s">
        <v>74</v>
      </c>
      <c r="BQ825" t="s">
        <v>74</v>
      </c>
      <c r="BR825" t="s">
        <v>104</v>
      </c>
      <c r="BS825" t="s">
        <v>14934</v>
      </c>
      <c r="BT825" t="str">
        <f>HYPERLINK("https%3A%2F%2Fwww.webofscience.com%2Fwos%2Fwoscc%2Ffull-record%2FWOS:001067179000001","View Full Record in Web of Science")</f>
        <v>View Full Record in Web of Science</v>
      </c>
    </row>
    <row r="826" spans="1:72" x14ac:dyDescent="0.15">
      <c r="A826" t="s">
        <v>72</v>
      </c>
      <c r="B826" t="s">
        <v>14935</v>
      </c>
      <c r="C826" t="s">
        <v>74</v>
      </c>
      <c r="D826" t="s">
        <v>74</v>
      </c>
      <c r="E826" t="s">
        <v>74</v>
      </c>
      <c r="F826" t="s">
        <v>14936</v>
      </c>
      <c r="G826" t="s">
        <v>74</v>
      </c>
      <c r="H826" t="s">
        <v>74</v>
      </c>
      <c r="I826" t="s">
        <v>14937</v>
      </c>
      <c r="J826" t="s">
        <v>14938</v>
      </c>
      <c r="K826" t="s">
        <v>74</v>
      </c>
      <c r="L826" t="s">
        <v>74</v>
      </c>
      <c r="M826" t="s">
        <v>78</v>
      </c>
      <c r="N826" t="s">
        <v>79</v>
      </c>
      <c r="O826" t="s">
        <v>74</v>
      </c>
      <c r="P826" t="s">
        <v>74</v>
      </c>
      <c r="Q826" t="s">
        <v>74</v>
      </c>
      <c r="R826" t="s">
        <v>74</v>
      </c>
      <c r="S826" t="s">
        <v>74</v>
      </c>
      <c r="T826" t="s">
        <v>14939</v>
      </c>
      <c r="U826" t="s">
        <v>14940</v>
      </c>
      <c r="V826" t="s">
        <v>14941</v>
      </c>
      <c r="W826" t="s">
        <v>14942</v>
      </c>
      <c r="X826" t="s">
        <v>14943</v>
      </c>
      <c r="Y826" t="s">
        <v>14944</v>
      </c>
      <c r="Z826" t="s">
        <v>14945</v>
      </c>
      <c r="AA826" t="s">
        <v>74</v>
      </c>
      <c r="AB826" t="s">
        <v>74</v>
      </c>
      <c r="AC826" t="s">
        <v>14946</v>
      </c>
      <c r="AD826" t="s">
        <v>14947</v>
      </c>
      <c r="AE826" t="s">
        <v>14948</v>
      </c>
      <c r="AF826" t="s">
        <v>74</v>
      </c>
      <c r="AG826">
        <v>59</v>
      </c>
      <c r="AH826">
        <v>0</v>
      </c>
      <c r="AI826">
        <v>0</v>
      </c>
      <c r="AJ826">
        <v>0</v>
      </c>
      <c r="AK826">
        <v>0</v>
      </c>
      <c r="AL826" t="s">
        <v>147</v>
      </c>
      <c r="AM826" t="s">
        <v>148</v>
      </c>
      <c r="AN826" t="s">
        <v>149</v>
      </c>
      <c r="AO826" t="s">
        <v>14949</v>
      </c>
      <c r="AP826" t="s">
        <v>14950</v>
      </c>
      <c r="AQ826" t="s">
        <v>74</v>
      </c>
      <c r="AR826" t="s">
        <v>14951</v>
      </c>
      <c r="AS826" t="s">
        <v>14952</v>
      </c>
      <c r="AT826" t="s">
        <v>13744</v>
      </c>
      <c r="AU826">
        <v>2023</v>
      </c>
      <c r="AV826">
        <v>247</v>
      </c>
      <c r="AW826" t="s">
        <v>74</v>
      </c>
      <c r="AX826" t="s">
        <v>74</v>
      </c>
      <c r="AY826" t="s">
        <v>74</v>
      </c>
      <c r="AZ826" t="s">
        <v>74</v>
      </c>
      <c r="BA826" t="s">
        <v>74</v>
      </c>
      <c r="BB826" t="s">
        <v>74</v>
      </c>
      <c r="BC826" t="s">
        <v>74</v>
      </c>
      <c r="BD826">
        <v>112313</v>
      </c>
      <c r="BE826" t="s">
        <v>14953</v>
      </c>
      <c r="BF826" t="str">
        <f>HYPERLINK("http://dx.doi.org/10.1016/j.jinorgbio.2023.112313","http://dx.doi.org/10.1016/j.jinorgbio.2023.112313")</f>
        <v>http://dx.doi.org/10.1016/j.jinorgbio.2023.112313</v>
      </c>
      <c r="BG826" t="s">
        <v>74</v>
      </c>
      <c r="BH826" t="s">
        <v>74</v>
      </c>
      <c r="BI826">
        <v>10</v>
      </c>
      <c r="BJ826" t="s">
        <v>14954</v>
      </c>
      <c r="BK826" t="s">
        <v>100</v>
      </c>
      <c r="BL826" t="s">
        <v>13855</v>
      </c>
      <c r="BM826" t="s">
        <v>14955</v>
      </c>
      <c r="BN826">
        <v>37467661</v>
      </c>
      <c r="BO826" t="s">
        <v>74</v>
      </c>
      <c r="BP826" t="s">
        <v>74</v>
      </c>
      <c r="BQ826" t="s">
        <v>74</v>
      </c>
      <c r="BR826" t="s">
        <v>104</v>
      </c>
      <c r="BS826" t="s">
        <v>14956</v>
      </c>
      <c r="BT826" t="str">
        <f>HYPERLINK("https%3A%2F%2Fwww.webofscience.com%2Fwos%2Fwoscc%2Ffull-record%2FWOS:001044534100001","View Full Record in Web of Science")</f>
        <v>View Full Record in Web of Science</v>
      </c>
    </row>
    <row r="827" spans="1:72" x14ac:dyDescent="0.15">
      <c r="A827" t="s">
        <v>72</v>
      </c>
      <c r="B827" t="s">
        <v>14957</v>
      </c>
      <c r="C827" t="s">
        <v>74</v>
      </c>
      <c r="D827" t="s">
        <v>74</v>
      </c>
      <c r="E827" t="s">
        <v>74</v>
      </c>
      <c r="F827" t="s">
        <v>14958</v>
      </c>
      <c r="G827" t="s">
        <v>74</v>
      </c>
      <c r="H827" t="s">
        <v>74</v>
      </c>
      <c r="I827" t="s">
        <v>14959</v>
      </c>
      <c r="J827" t="s">
        <v>8066</v>
      </c>
      <c r="K827" t="s">
        <v>74</v>
      </c>
      <c r="L827" t="s">
        <v>74</v>
      </c>
      <c r="M827" t="s">
        <v>78</v>
      </c>
      <c r="N827" t="s">
        <v>241</v>
      </c>
      <c r="O827" t="s">
        <v>74</v>
      </c>
      <c r="P827" t="s">
        <v>74</v>
      </c>
      <c r="Q827" t="s">
        <v>74</v>
      </c>
      <c r="R827" t="s">
        <v>74</v>
      </c>
      <c r="S827" t="s">
        <v>74</v>
      </c>
      <c r="T827" t="s">
        <v>74</v>
      </c>
      <c r="U827" t="s">
        <v>14960</v>
      </c>
      <c r="V827" t="s">
        <v>14961</v>
      </c>
      <c r="W827" t="s">
        <v>14962</v>
      </c>
      <c r="X827" t="s">
        <v>14963</v>
      </c>
      <c r="Y827" t="s">
        <v>14964</v>
      </c>
      <c r="Z827" t="s">
        <v>14965</v>
      </c>
      <c r="AA827" t="s">
        <v>74</v>
      </c>
      <c r="AB827" t="s">
        <v>74</v>
      </c>
      <c r="AC827" t="s">
        <v>74</v>
      </c>
      <c r="AD827" t="s">
        <v>74</v>
      </c>
      <c r="AE827" t="s">
        <v>74</v>
      </c>
      <c r="AF827" t="s">
        <v>74</v>
      </c>
      <c r="AG827">
        <v>60</v>
      </c>
      <c r="AH827">
        <v>0</v>
      </c>
      <c r="AI827">
        <v>0</v>
      </c>
      <c r="AJ827">
        <v>1</v>
      </c>
      <c r="AK827">
        <v>1</v>
      </c>
      <c r="AL827" t="s">
        <v>8072</v>
      </c>
      <c r="AM827" t="s">
        <v>148</v>
      </c>
      <c r="AN827" t="s">
        <v>8073</v>
      </c>
      <c r="AO827" t="s">
        <v>8074</v>
      </c>
      <c r="AP827" t="s">
        <v>8075</v>
      </c>
      <c r="AQ827" t="s">
        <v>74</v>
      </c>
      <c r="AR827" t="s">
        <v>8076</v>
      </c>
      <c r="AS827" t="s">
        <v>8077</v>
      </c>
      <c r="AT827" t="s">
        <v>13744</v>
      </c>
      <c r="AU827">
        <v>2023</v>
      </c>
      <c r="AV827">
        <v>48</v>
      </c>
      <c r="AW827">
        <v>10</v>
      </c>
      <c r="AX827" t="s">
        <v>74</v>
      </c>
      <c r="AY827" t="s">
        <v>74</v>
      </c>
      <c r="AZ827" t="s">
        <v>74</v>
      </c>
      <c r="BA827" t="s">
        <v>74</v>
      </c>
      <c r="BB827" t="s">
        <v>74</v>
      </c>
      <c r="BC827" t="s">
        <v>74</v>
      </c>
      <c r="BD827">
        <v>101815</v>
      </c>
      <c r="BE827" t="s">
        <v>14966</v>
      </c>
      <c r="BF827" t="str">
        <f>HYPERLINK("http://dx.doi.org/10.1016/j.cpcardiol.2023.101815","http://dx.doi.org/10.1016/j.cpcardiol.2023.101815")</f>
        <v>http://dx.doi.org/10.1016/j.cpcardiol.2023.101815</v>
      </c>
      <c r="BG827" t="s">
        <v>74</v>
      </c>
      <c r="BH827" t="s">
        <v>74</v>
      </c>
      <c r="BI827">
        <v>21</v>
      </c>
      <c r="BJ827" t="s">
        <v>8079</v>
      </c>
      <c r="BK827" t="s">
        <v>100</v>
      </c>
      <c r="BL827" t="s">
        <v>8080</v>
      </c>
      <c r="BM827" t="s">
        <v>14967</v>
      </c>
      <c r="BN827">
        <v>37211302</v>
      </c>
      <c r="BO827" t="s">
        <v>74</v>
      </c>
      <c r="BP827" t="s">
        <v>74</v>
      </c>
      <c r="BQ827" t="s">
        <v>74</v>
      </c>
      <c r="BR827" t="s">
        <v>104</v>
      </c>
      <c r="BS827" t="s">
        <v>14968</v>
      </c>
      <c r="BT827" t="str">
        <f>HYPERLINK("https%3A%2F%2Fwww.webofscience.com%2Fwos%2Fwoscc%2Ffull-record%2FWOS:001059645700001","View Full Record in Web of Science")</f>
        <v>View Full Record in Web of Science</v>
      </c>
    </row>
    <row r="828" spans="1:72" x14ac:dyDescent="0.15">
      <c r="A828" t="s">
        <v>72</v>
      </c>
      <c r="B828" t="s">
        <v>14969</v>
      </c>
      <c r="C828" t="s">
        <v>74</v>
      </c>
      <c r="D828" t="s">
        <v>74</v>
      </c>
      <c r="E828" t="s">
        <v>74</v>
      </c>
      <c r="F828" t="s">
        <v>14970</v>
      </c>
      <c r="G828" t="s">
        <v>74</v>
      </c>
      <c r="H828" t="s">
        <v>14971</v>
      </c>
      <c r="I828" t="s">
        <v>14972</v>
      </c>
      <c r="J828" t="s">
        <v>6625</v>
      </c>
      <c r="K828" t="s">
        <v>74</v>
      </c>
      <c r="L828" t="s">
        <v>74</v>
      </c>
      <c r="M828" t="s">
        <v>78</v>
      </c>
      <c r="N828" t="s">
        <v>79</v>
      </c>
      <c r="O828" t="s">
        <v>74</v>
      </c>
      <c r="P828" t="s">
        <v>74</v>
      </c>
      <c r="Q828" t="s">
        <v>74</v>
      </c>
      <c r="R828" t="s">
        <v>74</v>
      </c>
      <c r="S828" t="s">
        <v>74</v>
      </c>
      <c r="T828" t="s">
        <v>14973</v>
      </c>
      <c r="U828" t="s">
        <v>14974</v>
      </c>
      <c r="V828" t="s">
        <v>14975</v>
      </c>
      <c r="W828" t="s">
        <v>14976</v>
      </c>
      <c r="X828" t="s">
        <v>14977</v>
      </c>
      <c r="Y828" t="s">
        <v>14978</v>
      </c>
      <c r="Z828" t="s">
        <v>14979</v>
      </c>
      <c r="AA828" t="s">
        <v>74</v>
      </c>
      <c r="AB828" t="s">
        <v>14980</v>
      </c>
      <c r="AC828" t="s">
        <v>74</v>
      </c>
      <c r="AD828" t="s">
        <v>74</v>
      </c>
      <c r="AE828" t="s">
        <v>74</v>
      </c>
      <c r="AF828" t="s">
        <v>74</v>
      </c>
      <c r="AG828">
        <v>56</v>
      </c>
      <c r="AH828">
        <v>0</v>
      </c>
      <c r="AI828">
        <v>0</v>
      </c>
      <c r="AJ828">
        <v>1</v>
      </c>
      <c r="AK828">
        <v>1</v>
      </c>
      <c r="AL828" t="s">
        <v>147</v>
      </c>
      <c r="AM828" t="s">
        <v>148</v>
      </c>
      <c r="AN828" t="s">
        <v>149</v>
      </c>
      <c r="AO828" t="s">
        <v>6633</v>
      </c>
      <c r="AP828" t="s">
        <v>6634</v>
      </c>
      <c r="AQ828" t="s">
        <v>74</v>
      </c>
      <c r="AR828" t="s">
        <v>6635</v>
      </c>
      <c r="AS828" t="s">
        <v>6636</v>
      </c>
      <c r="AT828" t="s">
        <v>13744</v>
      </c>
      <c r="AU828">
        <v>2023</v>
      </c>
      <c r="AV828">
        <v>130</v>
      </c>
      <c r="AW828" t="s">
        <v>74</v>
      </c>
      <c r="AX828" t="s">
        <v>74</v>
      </c>
      <c r="AY828" t="s">
        <v>74</v>
      </c>
      <c r="AZ828" t="s">
        <v>74</v>
      </c>
      <c r="BA828" t="s">
        <v>74</v>
      </c>
      <c r="BB828">
        <v>124</v>
      </c>
      <c r="BC828">
        <v>134</v>
      </c>
      <c r="BD828" t="s">
        <v>74</v>
      </c>
      <c r="BE828" t="s">
        <v>14981</v>
      </c>
      <c r="BF828" t="str">
        <f>HYPERLINK("http://dx.doi.org/10.1016/j.neurobiolaging.2023.06.016","http://dx.doi.org/10.1016/j.neurobiolaging.2023.06.016")</f>
        <v>http://dx.doi.org/10.1016/j.neurobiolaging.2023.06.016</v>
      </c>
      <c r="BG828" t="s">
        <v>74</v>
      </c>
      <c r="BH828" t="s">
        <v>74</v>
      </c>
      <c r="BI828">
        <v>11</v>
      </c>
      <c r="BJ828" t="s">
        <v>6638</v>
      </c>
      <c r="BK828" t="s">
        <v>100</v>
      </c>
      <c r="BL828" t="s">
        <v>6639</v>
      </c>
      <c r="BM828" t="s">
        <v>14982</v>
      </c>
      <c r="BN828">
        <v>37506550</v>
      </c>
      <c r="BO828" t="s">
        <v>74</v>
      </c>
      <c r="BP828" t="s">
        <v>74</v>
      </c>
      <c r="BQ828" t="s">
        <v>74</v>
      </c>
      <c r="BR828" t="s">
        <v>104</v>
      </c>
      <c r="BS828" t="s">
        <v>14983</v>
      </c>
      <c r="BT828" t="str">
        <f>HYPERLINK("https%3A%2F%2Fwww.webofscience.com%2Fwos%2Fwoscc%2Ffull-record%2FWOS:001052088700001","View Full Record in Web of Science")</f>
        <v>View Full Record in Web of Science</v>
      </c>
    </row>
    <row r="829" spans="1:72" x14ac:dyDescent="0.15">
      <c r="A829" t="s">
        <v>72</v>
      </c>
      <c r="B829" t="s">
        <v>14984</v>
      </c>
      <c r="C829" t="s">
        <v>74</v>
      </c>
      <c r="D829" t="s">
        <v>74</v>
      </c>
      <c r="E829" t="s">
        <v>74</v>
      </c>
      <c r="F829" t="s">
        <v>14985</v>
      </c>
      <c r="G829" t="s">
        <v>74</v>
      </c>
      <c r="H829" t="s">
        <v>74</v>
      </c>
      <c r="I829" t="s">
        <v>14986</v>
      </c>
      <c r="J829" t="s">
        <v>14987</v>
      </c>
      <c r="K829" t="s">
        <v>74</v>
      </c>
      <c r="L829" t="s">
        <v>74</v>
      </c>
      <c r="M829" t="s">
        <v>78</v>
      </c>
      <c r="N829" t="s">
        <v>79</v>
      </c>
      <c r="O829" t="s">
        <v>74</v>
      </c>
      <c r="P829" t="s">
        <v>74</v>
      </c>
      <c r="Q829" t="s">
        <v>74</v>
      </c>
      <c r="R829" t="s">
        <v>74</v>
      </c>
      <c r="S829" t="s">
        <v>74</v>
      </c>
      <c r="T829" t="s">
        <v>14988</v>
      </c>
      <c r="U829" t="s">
        <v>14989</v>
      </c>
      <c r="V829" t="s">
        <v>14990</v>
      </c>
      <c r="W829" t="s">
        <v>14991</v>
      </c>
      <c r="X829" t="s">
        <v>14992</v>
      </c>
      <c r="Y829" t="s">
        <v>14993</v>
      </c>
      <c r="Z829" t="s">
        <v>14994</v>
      </c>
      <c r="AA829" t="s">
        <v>74</v>
      </c>
      <c r="AB829" t="s">
        <v>74</v>
      </c>
      <c r="AC829" t="s">
        <v>14995</v>
      </c>
      <c r="AD829" t="s">
        <v>14996</v>
      </c>
      <c r="AE829" t="s">
        <v>14997</v>
      </c>
      <c r="AF829" t="s">
        <v>74</v>
      </c>
      <c r="AG829">
        <v>21</v>
      </c>
      <c r="AH829">
        <v>0</v>
      </c>
      <c r="AI829">
        <v>0</v>
      </c>
      <c r="AJ829">
        <v>14</v>
      </c>
      <c r="AK829">
        <v>14</v>
      </c>
      <c r="AL829" t="s">
        <v>120</v>
      </c>
      <c r="AM829" t="s">
        <v>121</v>
      </c>
      <c r="AN829" t="s">
        <v>122</v>
      </c>
      <c r="AO829" t="s">
        <v>14998</v>
      </c>
      <c r="AP829" t="s">
        <v>74</v>
      </c>
      <c r="AQ829" t="s">
        <v>74</v>
      </c>
      <c r="AR829" t="s">
        <v>14999</v>
      </c>
      <c r="AS829" t="s">
        <v>15000</v>
      </c>
      <c r="AT829" t="s">
        <v>13744</v>
      </c>
      <c r="AU829">
        <v>2023</v>
      </c>
      <c r="AV829">
        <v>42</v>
      </c>
      <c r="AW829" t="s">
        <v>74</v>
      </c>
      <c r="AX829" t="s">
        <v>74</v>
      </c>
      <c r="AY829" t="s">
        <v>74</v>
      </c>
      <c r="AZ829" t="s">
        <v>74</v>
      </c>
      <c r="BA829" t="s">
        <v>74</v>
      </c>
      <c r="BB829" t="s">
        <v>74</v>
      </c>
      <c r="BC829" t="s">
        <v>74</v>
      </c>
      <c r="BD829">
        <v>101676</v>
      </c>
      <c r="BE829" t="s">
        <v>15001</v>
      </c>
      <c r="BF829" t="str">
        <f>HYPERLINK("http://dx.doi.org/10.1016/j.coco.2023.101676","http://dx.doi.org/10.1016/j.coco.2023.101676")</f>
        <v>http://dx.doi.org/10.1016/j.coco.2023.101676</v>
      </c>
      <c r="BG829" t="s">
        <v>74</v>
      </c>
      <c r="BH829" t="s">
        <v>74</v>
      </c>
      <c r="BI829">
        <v>5</v>
      </c>
      <c r="BJ829" t="s">
        <v>15002</v>
      </c>
      <c r="BK829" t="s">
        <v>100</v>
      </c>
      <c r="BL829" t="s">
        <v>1112</v>
      </c>
      <c r="BM829" t="s">
        <v>15003</v>
      </c>
      <c r="BN829" t="s">
        <v>74</v>
      </c>
      <c r="BO829" t="s">
        <v>74</v>
      </c>
      <c r="BP829" t="s">
        <v>74</v>
      </c>
      <c r="BQ829" t="s">
        <v>74</v>
      </c>
      <c r="BR829" t="s">
        <v>104</v>
      </c>
      <c r="BS829" t="s">
        <v>15004</v>
      </c>
      <c r="BT829" t="str">
        <f>HYPERLINK("https%3A%2F%2Fwww.webofscience.com%2Fwos%2Fwoscc%2Ffull-record%2FWOS:001048965000001","View Full Record in Web of Science")</f>
        <v>View Full Record in Web of Science</v>
      </c>
    </row>
    <row r="830" spans="1:72" x14ac:dyDescent="0.15">
      <c r="A830" t="s">
        <v>72</v>
      </c>
      <c r="B830" t="s">
        <v>15005</v>
      </c>
      <c r="C830" t="s">
        <v>74</v>
      </c>
      <c r="D830" t="s">
        <v>74</v>
      </c>
      <c r="E830" t="s">
        <v>74</v>
      </c>
      <c r="F830" t="s">
        <v>15006</v>
      </c>
      <c r="G830" t="s">
        <v>74</v>
      </c>
      <c r="H830" t="s">
        <v>74</v>
      </c>
      <c r="I830" t="s">
        <v>15007</v>
      </c>
      <c r="J830" t="s">
        <v>15008</v>
      </c>
      <c r="K830" t="s">
        <v>74</v>
      </c>
      <c r="L830" t="s">
        <v>74</v>
      </c>
      <c r="M830" t="s">
        <v>78</v>
      </c>
      <c r="N830" t="s">
        <v>79</v>
      </c>
      <c r="O830" t="s">
        <v>74</v>
      </c>
      <c r="P830" t="s">
        <v>74</v>
      </c>
      <c r="Q830" t="s">
        <v>74</v>
      </c>
      <c r="R830" t="s">
        <v>74</v>
      </c>
      <c r="S830" t="s">
        <v>74</v>
      </c>
      <c r="T830" t="s">
        <v>15009</v>
      </c>
      <c r="U830" t="s">
        <v>15010</v>
      </c>
      <c r="V830" t="s">
        <v>15011</v>
      </c>
      <c r="W830" t="s">
        <v>15012</v>
      </c>
      <c r="X830" t="s">
        <v>15013</v>
      </c>
      <c r="Y830" t="s">
        <v>15014</v>
      </c>
      <c r="Z830" t="s">
        <v>15015</v>
      </c>
      <c r="AA830" t="s">
        <v>74</v>
      </c>
      <c r="AB830" t="s">
        <v>74</v>
      </c>
      <c r="AC830" t="s">
        <v>15016</v>
      </c>
      <c r="AD830" t="s">
        <v>15017</v>
      </c>
      <c r="AE830" t="s">
        <v>15018</v>
      </c>
      <c r="AF830" t="s">
        <v>74</v>
      </c>
      <c r="AG830">
        <v>37</v>
      </c>
      <c r="AH830">
        <v>0</v>
      </c>
      <c r="AI830">
        <v>0</v>
      </c>
      <c r="AJ830">
        <v>4</v>
      </c>
      <c r="AK830">
        <v>4</v>
      </c>
      <c r="AL830" t="s">
        <v>90</v>
      </c>
      <c r="AM830" t="s">
        <v>91</v>
      </c>
      <c r="AN830" t="s">
        <v>92</v>
      </c>
      <c r="AO830" t="s">
        <v>15019</v>
      </c>
      <c r="AP830" t="s">
        <v>74</v>
      </c>
      <c r="AQ830" t="s">
        <v>74</v>
      </c>
      <c r="AR830" t="s">
        <v>15020</v>
      </c>
      <c r="AS830" t="s">
        <v>15021</v>
      </c>
      <c r="AT830" t="s">
        <v>13744</v>
      </c>
      <c r="AU830">
        <v>2023</v>
      </c>
      <c r="AV830">
        <v>22</v>
      </c>
      <c r="AW830" t="s">
        <v>74</v>
      </c>
      <c r="AX830" t="s">
        <v>74</v>
      </c>
      <c r="AY830" t="s">
        <v>74</v>
      </c>
      <c r="AZ830" t="s">
        <v>74</v>
      </c>
      <c r="BA830" t="s">
        <v>74</v>
      </c>
      <c r="BB830" t="s">
        <v>74</v>
      </c>
      <c r="BC830" t="s">
        <v>74</v>
      </c>
      <c r="BD830">
        <v>100770</v>
      </c>
      <c r="BE830" t="s">
        <v>15022</v>
      </c>
      <c r="BF830" t="str">
        <f>HYPERLINK("http://dx.doi.org/10.1016/j.mtbio.2023.100770","http://dx.doi.org/10.1016/j.mtbio.2023.100770")</f>
        <v>http://dx.doi.org/10.1016/j.mtbio.2023.100770</v>
      </c>
      <c r="BG830" t="s">
        <v>74</v>
      </c>
      <c r="BH830" t="s">
        <v>74</v>
      </c>
      <c r="BI830">
        <v>12</v>
      </c>
      <c r="BJ830" t="s">
        <v>15023</v>
      </c>
      <c r="BK830" t="s">
        <v>100</v>
      </c>
      <c r="BL830" t="s">
        <v>156</v>
      </c>
      <c r="BM830" t="s">
        <v>15024</v>
      </c>
      <c r="BN830">
        <v>37636985</v>
      </c>
      <c r="BO830" t="s">
        <v>4366</v>
      </c>
      <c r="BP830" t="s">
        <v>74</v>
      </c>
      <c r="BQ830" t="s">
        <v>74</v>
      </c>
      <c r="BR830" t="s">
        <v>104</v>
      </c>
      <c r="BS830" t="s">
        <v>15025</v>
      </c>
      <c r="BT830" t="str">
        <f>HYPERLINK("https%3A%2F%2Fwww.webofscience.com%2Fwos%2Fwoscc%2Ffull-record%2FWOS:001063374300001","View Full Record in Web of Science")</f>
        <v>View Full Record in Web of Science</v>
      </c>
    </row>
    <row r="831" spans="1:72" x14ac:dyDescent="0.15">
      <c r="A831" t="s">
        <v>72</v>
      </c>
      <c r="B831" t="s">
        <v>15026</v>
      </c>
      <c r="C831" t="s">
        <v>74</v>
      </c>
      <c r="D831" t="s">
        <v>74</v>
      </c>
      <c r="E831" t="s">
        <v>74</v>
      </c>
      <c r="F831" t="s">
        <v>15027</v>
      </c>
      <c r="G831" t="s">
        <v>74</v>
      </c>
      <c r="H831" t="s">
        <v>74</v>
      </c>
      <c r="I831" t="s">
        <v>15028</v>
      </c>
      <c r="J831" t="s">
        <v>14161</v>
      </c>
      <c r="K831" t="s">
        <v>74</v>
      </c>
      <c r="L831" t="s">
        <v>74</v>
      </c>
      <c r="M831" t="s">
        <v>78</v>
      </c>
      <c r="N831" t="s">
        <v>79</v>
      </c>
      <c r="O831" t="s">
        <v>74</v>
      </c>
      <c r="P831" t="s">
        <v>74</v>
      </c>
      <c r="Q831" t="s">
        <v>74</v>
      </c>
      <c r="R831" t="s">
        <v>74</v>
      </c>
      <c r="S831" t="s">
        <v>74</v>
      </c>
      <c r="T831" t="s">
        <v>15029</v>
      </c>
      <c r="U831" t="s">
        <v>15030</v>
      </c>
      <c r="V831" t="s">
        <v>15031</v>
      </c>
      <c r="W831" t="s">
        <v>15032</v>
      </c>
      <c r="X831" t="s">
        <v>15033</v>
      </c>
      <c r="Y831" t="s">
        <v>15034</v>
      </c>
      <c r="Z831" t="s">
        <v>15035</v>
      </c>
      <c r="AA831" t="s">
        <v>15036</v>
      </c>
      <c r="AB831" t="s">
        <v>15037</v>
      </c>
      <c r="AC831" t="s">
        <v>15038</v>
      </c>
      <c r="AD831" t="s">
        <v>15039</v>
      </c>
      <c r="AE831" t="s">
        <v>15040</v>
      </c>
      <c r="AF831" t="s">
        <v>74</v>
      </c>
      <c r="AG831">
        <v>19</v>
      </c>
      <c r="AH831">
        <v>0</v>
      </c>
      <c r="AI831">
        <v>0</v>
      </c>
      <c r="AJ831">
        <v>0</v>
      </c>
      <c r="AK831">
        <v>0</v>
      </c>
      <c r="AL831" t="s">
        <v>90</v>
      </c>
      <c r="AM831" t="s">
        <v>91</v>
      </c>
      <c r="AN831" t="s">
        <v>92</v>
      </c>
      <c r="AO831" t="s">
        <v>74</v>
      </c>
      <c r="AP831" t="s">
        <v>14173</v>
      </c>
      <c r="AQ831" t="s">
        <v>74</v>
      </c>
      <c r="AR831" t="s">
        <v>14174</v>
      </c>
      <c r="AS831" t="s">
        <v>14175</v>
      </c>
      <c r="AT831" t="s">
        <v>13744</v>
      </c>
      <c r="AU831">
        <v>2023</v>
      </c>
      <c r="AV831">
        <v>35</v>
      </c>
      <c r="AW831" t="s">
        <v>74</v>
      </c>
      <c r="AX831" t="s">
        <v>74</v>
      </c>
      <c r="AY831" t="s">
        <v>74</v>
      </c>
      <c r="AZ831" t="s">
        <v>74</v>
      </c>
      <c r="BA831" t="s">
        <v>74</v>
      </c>
      <c r="BB831" t="s">
        <v>74</v>
      </c>
      <c r="BC831" t="s">
        <v>74</v>
      </c>
      <c r="BD831">
        <v>102359</v>
      </c>
      <c r="BE831" t="s">
        <v>15041</v>
      </c>
      <c r="BF831" t="str">
        <f>HYPERLINK("http://dx.doi.org/10.1016/j.pmedr.2023.102359","http://dx.doi.org/10.1016/j.pmedr.2023.102359")</f>
        <v>http://dx.doi.org/10.1016/j.pmedr.2023.102359</v>
      </c>
      <c r="BG831" t="s">
        <v>74</v>
      </c>
      <c r="BH831" t="s">
        <v>74</v>
      </c>
      <c r="BI831">
        <v>6</v>
      </c>
      <c r="BJ831" t="s">
        <v>14177</v>
      </c>
      <c r="BK831" t="s">
        <v>100</v>
      </c>
      <c r="BL831" t="s">
        <v>14177</v>
      </c>
      <c r="BM831" t="s">
        <v>15042</v>
      </c>
      <c r="BN831">
        <v>37584063</v>
      </c>
      <c r="BO831" t="s">
        <v>2583</v>
      </c>
      <c r="BP831" t="s">
        <v>74</v>
      </c>
      <c r="BQ831" t="s">
        <v>74</v>
      </c>
      <c r="BR831" t="s">
        <v>104</v>
      </c>
      <c r="BS831" t="s">
        <v>15043</v>
      </c>
      <c r="BT831" t="str">
        <f>HYPERLINK("https%3A%2F%2Fwww.webofscience.com%2Fwos%2Fwoscc%2Ffull-record%2FWOS:001055453100001","View Full Record in Web of Science")</f>
        <v>View Full Record in Web of Science</v>
      </c>
    </row>
    <row r="832" spans="1:72" x14ac:dyDescent="0.15">
      <c r="A832" t="s">
        <v>72</v>
      </c>
      <c r="B832" t="s">
        <v>15044</v>
      </c>
      <c r="C832" t="s">
        <v>74</v>
      </c>
      <c r="D832" t="s">
        <v>74</v>
      </c>
      <c r="E832" t="s">
        <v>74</v>
      </c>
      <c r="F832" t="s">
        <v>15045</v>
      </c>
      <c r="G832" t="s">
        <v>74</v>
      </c>
      <c r="H832" t="s">
        <v>74</v>
      </c>
      <c r="I832" t="s">
        <v>15046</v>
      </c>
      <c r="J832" t="s">
        <v>15047</v>
      </c>
      <c r="K832" t="s">
        <v>74</v>
      </c>
      <c r="L832" t="s">
        <v>74</v>
      </c>
      <c r="M832" t="s">
        <v>78</v>
      </c>
      <c r="N832" t="s">
        <v>79</v>
      </c>
      <c r="O832" t="s">
        <v>74</v>
      </c>
      <c r="P832" t="s">
        <v>74</v>
      </c>
      <c r="Q832" t="s">
        <v>74</v>
      </c>
      <c r="R832" t="s">
        <v>74</v>
      </c>
      <c r="S832" t="s">
        <v>74</v>
      </c>
      <c r="T832" t="s">
        <v>15048</v>
      </c>
      <c r="U832" t="s">
        <v>15049</v>
      </c>
      <c r="V832" t="s">
        <v>15050</v>
      </c>
      <c r="W832" t="s">
        <v>15051</v>
      </c>
      <c r="X832" t="s">
        <v>15052</v>
      </c>
      <c r="Y832" t="s">
        <v>15053</v>
      </c>
      <c r="Z832" t="s">
        <v>15054</v>
      </c>
      <c r="AA832" t="s">
        <v>15055</v>
      </c>
      <c r="AB832" t="s">
        <v>15056</v>
      </c>
      <c r="AC832" t="s">
        <v>15057</v>
      </c>
      <c r="AD832" t="s">
        <v>15058</v>
      </c>
      <c r="AE832" t="s">
        <v>15059</v>
      </c>
      <c r="AF832" t="s">
        <v>74</v>
      </c>
      <c r="AG832">
        <v>54</v>
      </c>
      <c r="AH832">
        <v>0</v>
      </c>
      <c r="AI832">
        <v>0</v>
      </c>
      <c r="AJ832">
        <v>2</v>
      </c>
      <c r="AK832">
        <v>2</v>
      </c>
      <c r="AL832" t="s">
        <v>173</v>
      </c>
      <c r="AM832" t="s">
        <v>121</v>
      </c>
      <c r="AN832" t="s">
        <v>174</v>
      </c>
      <c r="AO832" t="s">
        <v>15060</v>
      </c>
      <c r="AP832" t="s">
        <v>15061</v>
      </c>
      <c r="AQ832" t="s">
        <v>74</v>
      </c>
      <c r="AR832" t="s">
        <v>15062</v>
      </c>
      <c r="AS832" t="s">
        <v>15063</v>
      </c>
      <c r="AT832" t="s">
        <v>13744</v>
      </c>
      <c r="AU832">
        <v>2023</v>
      </c>
      <c r="AV832">
        <v>263</v>
      </c>
      <c r="AW832" t="s">
        <v>74</v>
      </c>
      <c r="AX832" t="s">
        <v>74</v>
      </c>
      <c r="AY832" t="s">
        <v>74</v>
      </c>
      <c r="AZ832" t="s">
        <v>74</v>
      </c>
      <c r="BA832" t="s">
        <v>74</v>
      </c>
      <c r="BB832" t="s">
        <v>74</v>
      </c>
      <c r="BC832" t="s">
        <v>74</v>
      </c>
      <c r="BD832">
        <v>111940</v>
      </c>
      <c r="BE832" t="s">
        <v>15064</v>
      </c>
      <c r="BF832" t="str">
        <f>HYPERLINK("http://dx.doi.org/10.1016/j.solener.2023.111940","http://dx.doi.org/10.1016/j.solener.2023.111940")</f>
        <v>http://dx.doi.org/10.1016/j.solener.2023.111940</v>
      </c>
      <c r="BG832" t="s">
        <v>74</v>
      </c>
      <c r="BH832" t="s">
        <v>74</v>
      </c>
      <c r="BI832">
        <v>18</v>
      </c>
      <c r="BJ832" t="s">
        <v>2999</v>
      </c>
      <c r="BK832" t="s">
        <v>100</v>
      </c>
      <c r="BL832" t="s">
        <v>2999</v>
      </c>
      <c r="BM832" t="s">
        <v>15065</v>
      </c>
      <c r="BN832" t="s">
        <v>74</v>
      </c>
      <c r="BO832" t="s">
        <v>74</v>
      </c>
      <c r="BP832" t="s">
        <v>74</v>
      </c>
      <c r="BQ832" t="s">
        <v>74</v>
      </c>
      <c r="BR832" t="s">
        <v>104</v>
      </c>
      <c r="BS832" t="s">
        <v>15066</v>
      </c>
      <c r="BT832" t="str">
        <f>HYPERLINK("https%3A%2F%2Fwww.webofscience.com%2Fwos%2Fwoscc%2Ffull-record%2FWOS:001063391500001","View Full Record in Web of Science")</f>
        <v>View Full Record in Web of Science</v>
      </c>
    </row>
    <row r="833" spans="1:72" x14ac:dyDescent="0.15">
      <c r="A833" t="s">
        <v>72</v>
      </c>
      <c r="B833" t="s">
        <v>15067</v>
      </c>
      <c r="C833" t="s">
        <v>74</v>
      </c>
      <c r="D833" t="s">
        <v>74</v>
      </c>
      <c r="E833" t="s">
        <v>74</v>
      </c>
      <c r="F833" t="s">
        <v>15068</v>
      </c>
      <c r="G833" t="s">
        <v>74</v>
      </c>
      <c r="H833" t="s">
        <v>74</v>
      </c>
      <c r="I833" t="s">
        <v>15069</v>
      </c>
      <c r="J833" t="s">
        <v>12023</v>
      </c>
      <c r="K833" t="s">
        <v>74</v>
      </c>
      <c r="L833" t="s">
        <v>74</v>
      </c>
      <c r="M833" t="s">
        <v>78</v>
      </c>
      <c r="N833" t="s">
        <v>79</v>
      </c>
      <c r="O833" t="s">
        <v>74</v>
      </c>
      <c r="P833" t="s">
        <v>74</v>
      </c>
      <c r="Q833" t="s">
        <v>74</v>
      </c>
      <c r="R833" t="s">
        <v>74</v>
      </c>
      <c r="S833" t="s">
        <v>74</v>
      </c>
      <c r="T833" t="s">
        <v>15070</v>
      </c>
      <c r="U833" t="s">
        <v>15071</v>
      </c>
      <c r="V833" t="s">
        <v>15072</v>
      </c>
      <c r="W833" t="s">
        <v>15073</v>
      </c>
      <c r="X833" t="s">
        <v>15074</v>
      </c>
      <c r="Y833" t="s">
        <v>15075</v>
      </c>
      <c r="Z833" t="s">
        <v>15076</v>
      </c>
      <c r="AA833" t="s">
        <v>15077</v>
      </c>
      <c r="AB833" t="s">
        <v>15078</v>
      </c>
      <c r="AC833" t="s">
        <v>15079</v>
      </c>
      <c r="AD833" t="s">
        <v>15080</v>
      </c>
      <c r="AE833" t="s">
        <v>15081</v>
      </c>
      <c r="AF833" t="s">
        <v>74</v>
      </c>
      <c r="AG833">
        <v>49</v>
      </c>
      <c r="AH833">
        <v>0</v>
      </c>
      <c r="AI833">
        <v>0</v>
      </c>
      <c r="AJ833">
        <v>2</v>
      </c>
      <c r="AK833">
        <v>2</v>
      </c>
      <c r="AL833" t="s">
        <v>90</v>
      </c>
      <c r="AM833" t="s">
        <v>91</v>
      </c>
      <c r="AN833" t="s">
        <v>92</v>
      </c>
      <c r="AO833" t="s">
        <v>12031</v>
      </c>
      <c r="AP833" t="s">
        <v>12032</v>
      </c>
      <c r="AQ833" t="s">
        <v>74</v>
      </c>
      <c r="AR833" t="s">
        <v>12033</v>
      </c>
      <c r="AS833" t="s">
        <v>12034</v>
      </c>
      <c r="AT833" t="s">
        <v>13778</v>
      </c>
      <c r="AU833">
        <v>2023</v>
      </c>
      <c r="AV833">
        <v>666</v>
      </c>
      <c r="AW833" t="s">
        <v>74</v>
      </c>
      <c r="AX833" t="s">
        <v>74</v>
      </c>
      <c r="AY833" t="s">
        <v>74</v>
      </c>
      <c r="AZ833" t="s">
        <v>74</v>
      </c>
      <c r="BA833" t="s">
        <v>74</v>
      </c>
      <c r="BB833" t="s">
        <v>74</v>
      </c>
      <c r="BC833" t="s">
        <v>74</v>
      </c>
      <c r="BD833">
        <v>415078</v>
      </c>
      <c r="BE833" t="s">
        <v>15082</v>
      </c>
      <c r="BF833" t="str">
        <f>HYPERLINK("http://dx.doi.org/10.1016/j.physb.2023.415078","http://dx.doi.org/10.1016/j.physb.2023.415078")</f>
        <v>http://dx.doi.org/10.1016/j.physb.2023.415078</v>
      </c>
      <c r="BG833" t="s">
        <v>74</v>
      </c>
      <c r="BH833" t="s">
        <v>74</v>
      </c>
      <c r="BI833">
        <v>8</v>
      </c>
      <c r="BJ833" t="s">
        <v>12036</v>
      </c>
      <c r="BK833" t="s">
        <v>100</v>
      </c>
      <c r="BL833" t="s">
        <v>9937</v>
      </c>
      <c r="BM833" t="s">
        <v>15083</v>
      </c>
      <c r="BN833" t="s">
        <v>74</v>
      </c>
      <c r="BO833" t="s">
        <v>74</v>
      </c>
      <c r="BP833" t="s">
        <v>74</v>
      </c>
      <c r="BQ833" t="s">
        <v>74</v>
      </c>
      <c r="BR833" t="s">
        <v>104</v>
      </c>
      <c r="BS833" t="s">
        <v>15084</v>
      </c>
      <c r="BT833" t="str">
        <f>HYPERLINK("https%3A%2F%2Fwww.webofscience.com%2Fwos%2Fwoscc%2Ffull-record%2FWOS:001055388800001","View Full Record in Web of Science")</f>
        <v>View Full Record in Web of Science</v>
      </c>
    </row>
    <row r="834" spans="1:72" x14ac:dyDescent="0.15">
      <c r="A834" t="s">
        <v>72</v>
      </c>
      <c r="B834" t="s">
        <v>15085</v>
      </c>
      <c r="C834" t="s">
        <v>74</v>
      </c>
      <c r="D834" t="s">
        <v>74</v>
      </c>
      <c r="E834" t="s">
        <v>74</v>
      </c>
      <c r="F834" t="s">
        <v>15086</v>
      </c>
      <c r="G834" t="s">
        <v>74</v>
      </c>
      <c r="H834" t="s">
        <v>74</v>
      </c>
      <c r="I834" t="s">
        <v>15087</v>
      </c>
      <c r="J834" t="s">
        <v>15088</v>
      </c>
      <c r="K834" t="s">
        <v>74</v>
      </c>
      <c r="L834" t="s">
        <v>74</v>
      </c>
      <c r="M834" t="s">
        <v>78</v>
      </c>
      <c r="N834" t="s">
        <v>79</v>
      </c>
      <c r="O834" t="s">
        <v>74</v>
      </c>
      <c r="P834" t="s">
        <v>74</v>
      </c>
      <c r="Q834" t="s">
        <v>74</v>
      </c>
      <c r="R834" t="s">
        <v>74</v>
      </c>
      <c r="S834" t="s">
        <v>74</v>
      </c>
      <c r="T834" t="s">
        <v>15089</v>
      </c>
      <c r="U834" t="s">
        <v>15090</v>
      </c>
      <c r="V834" t="s">
        <v>15091</v>
      </c>
      <c r="W834" t="s">
        <v>15092</v>
      </c>
      <c r="X834" t="s">
        <v>15093</v>
      </c>
      <c r="Y834" t="s">
        <v>15094</v>
      </c>
      <c r="Z834" t="s">
        <v>15095</v>
      </c>
      <c r="AA834" t="s">
        <v>74</v>
      </c>
      <c r="AB834" t="s">
        <v>74</v>
      </c>
      <c r="AC834" t="s">
        <v>15096</v>
      </c>
      <c r="AD834" t="s">
        <v>15097</v>
      </c>
      <c r="AE834" t="s">
        <v>15098</v>
      </c>
      <c r="AF834" t="s">
        <v>74</v>
      </c>
      <c r="AG834">
        <v>41</v>
      </c>
      <c r="AH834">
        <v>0</v>
      </c>
      <c r="AI834">
        <v>0</v>
      </c>
      <c r="AJ834">
        <v>0</v>
      </c>
      <c r="AK834">
        <v>0</v>
      </c>
      <c r="AL834" t="s">
        <v>9135</v>
      </c>
      <c r="AM834" t="s">
        <v>476</v>
      </c>
      <c r="AN834" t="s">
        <v>9136</v>
      </c>
      <c r="AO834" t="s">
        <v>74</v>
      </c>
      <c r="AP834" t="s">
        <v>15099</v>
      </c>
      <c r="AQ834" t="s">
        <v>74</v>
      </c>
      <c r="AR834" t="s">
        <v>15100</v>
      </c>
      <c r="AS834" t="s">
        <v>15101</v>
      </c>
      <c r="AT834" t="s">
        <v>13744</v>
      </c>
      <c r="AU834">
        <v>2023</v>
      </c>
      <c r="AV834">
        <v>35</v>
      </c>
      <c r="AW834" t="s">
        <v>74</v>
      </c>
      <c r="AX834" t="s">
        <v>74</v>
      </c>
      <c r="AY834" t="s">
        <v>74</v>
      </c>
      <c r="AZ834" t="s">
        <v>74</v>
      </c>
      <c r="BA834" t="s">
        <v>74</v>
      </c>
      <c r="BB834" t="s">
        <v>74</v>
      </c>
      <c r="BC834" t="s">
        <v>74</v>
      </c>
      <c r="BD834">
        <v>101165</v>
      </c>
      <c r="BE834" t="s">
        <v>15102</v>
      </c>
      <c r="BF834" t="str">
        <f>HYPERLINK("http://dx.doi.org/10.1016/j.conctc.2023.101165","http://dx.doi.org/10.1016/j.conctc.2023.101165")</f>
        <v>http://dx.doi.org/10.1016/j.conctc.2023.101165</v>
      </c>
      <c r="BG834" t="s">
        <v>74</v>
      </c>
      <c r="BH834" t="s">
        <v>74</v>
      </c>
      <c r="BI834">
        <v>7</v>
      </c>
      <c r="BJ834" t="s">
        <v>15103</v>
      </c>
      <c r="BK834" t="s">
        <v>1850</v>
      </c>
      <c r="BL834" t="s">
        <v>15104</v>
      </c>
      <c r="BM834" t="s">
        <v>15105</v>
      </c>
      <c r="BN834">
        <v>37538197</v>
      </c>
      <c r="BO834" t="s">
        <v>2583</v>
      </c>
      <c r="BP834" t="s">
        <v>74</v>
      </c>
      <c r="BQ834" t="s">
        <v>74</v>
      </c>
      <c r="BR834" t="s">
        <v>104</v>
      </c>
      <c r="BS834" t="s">
        <v>15106</v>
      </c>
      <c r="BT834" t="str">
        <f>HYPERLINK("https%3A%2F%2Fwww.webofscience.com%2Fwos%2Fwoscc%2Ffull-record%2FWOS:001047676300001","View Full Record in Web of Science")</f>
        <v>View Full Record in Web of Science</v>
      </c>
    </row>
    <row r="835" spans="1:72" x14ac:dyDescent="0.15">
      <c r="A835" t="s">
        <v>72</v>
      </c>
      <c r="B835" t="s">
        <v>15107</v>
      </c>
      <c r="C835" t="s">
        <v>74</v>
      </c>
      <c r="D835" t="s">
        <v>74</v>
      </c>
      <c r="E835" t="s">
        <v>74</v>
      </c>
      <c r="F835" t="s">
        <v>15108</v>
      </c>
      <c r="G835" t="s">
        <v>74</v>
      </c>
      <c r="H835" t="s">
        <v>74</v>
      </c>
      <c r="I835" t="s">
        <v>15109</v>
      </c>
      <c r="J835" t="s">
        <v>14872</v>
      </c>
      <c r="K835" t="s">
        <v>74</v>
      </c>
      <c r="L835" t="s">
        <v>74</v>
      </c>
      <c r="M835" t="s">
        <v>78</v>
      </c>
      <c r="N835" t="s">
        <v>2947</v>
      </c>
      <c r="O835" t="s">
        <v>74</v>
      </c>
      <c r="P835" t="s">
        <v>74</v>
      </c>
      <c r="Q835" t="s">
        <v>74</v>
      </c>
      <c r="R835" t="s">
        <v>74</v>
      </c>
      <c r="S835" t="s">
        <v>74</v>
      </c>
      <c r="T835" t="s">
        <v>74</v>
      </c>
      <c r="U835" t="s">
        <v>74</v>
      </c>
      <c r="V835" t="s">
        <v>74</v>
      </c>
      <c r="W835" t="s">
        <v>15110</v>
      </c>
      <c r="X835" t="s">
        <v>15111</v>
      </c>
      <c r="Y835" t="s">
        <v>15112</v>
      </c>
      <c r="Z835" t="s">
        <v>15113</v>
      </c>
      <c r="AA835" t="s">
        <v>74</v>
      </c>
      <c r="AB835" t="s">
        <v>74</v>
      </c>
      <c r="AC835" t="s">
        <v>74</v>
      </c>
      <c r="AD835" t="s">
        <v>74</v>
      </c>
      <c r="AE835" t="s">
        <v>74</v>
      </c>
      <c r="AF835" t="s">
        <v>74</v>
      </c>
      <c r="AG835">
        <v>1</v>
      </c>
      <c r="AH835">
        <v>0</v>
      </c>
      <c r="AI835">
        <v>0</v>
      </c>
      <c r="AJ835">
        <v>0</v>
      </c>
      <c r="AK835">
        <v>0</v>
      </c>
      <c r="AL835" t="s">
        <v>90</v>
      </c>
      <c r="AM835" t="s">
        <v>91</v>
      </c>
      <c r="AN835" t="s">
        <v>92</v>
      </c>
      <c r="AO835" t="s">
        <v>14877</v>
      </c>
      <c r="AP835" t="s">
        <v>74</v>
      </c>
      <c r="AQ835" t="s">
        <v>74</v>
      </c>
      <c r="AR835" t="s">
        <v>14878</v>
      </c>
      <c r="AS835" t="s">
        <v>14879</v>
      </c>
      <c r="AT835" t="s">
        <v>13744</v>
      </c>
      <c r="AU835">
        <v>2023</v>
      </c>
      <c r="AV835">
        <v>50</v>
      </c>
      <c r="AW835" t="s">
        <v>74</v>
      </c>
      <c r="AX835" t="s">
        <v>74</v>
      </c>
      <c r="AY835" t="s">
        <v>74</v>
      </c>
      <c r="AZ835" t="s">
        <v>74</v>
      </c>
      <c r="BA835" t="s">
        <v>74</v>
      </c>
      <c r="BB835" t="s">
        <v>74</v>
      </c>
      <c r="BC835" t="s">
        <v>74</v>
      </c>
      <c r="BD835">
        <v>109496</v>
      </c>
      <c r="BE835" t="s">
        <v>15114</v>
      </c>
      <c r="BF835" t="str">
        <f>HYPERLINK("http://dx.doi.org/10.1016/j.dib.2023.109496","http://dx.doi.org/10.1016/j.dib.2023.109496")</f>
        <v>http://dx.doi.org/10.1016/j.dib.2023.109496</v>
      </c>
      <c r="BG835" t="s">
        <v>74</v>
      </c>
      <c r="BH835" t="s">
        <v>74</v>
      </c>
      <c r="BI835">
        <v>1</v>
      </c>
      <c r="BJ835" t="s">
        <v>4002</v>
      </c>
      <c r="BK835" t="s">
        <v>1850</v>
      </c>
      <c r="BL835" t="s">
        <v>4003</v>
      </c>
      <c r="BM835" t="s">
        <v>15115</v>
      </c>
      <c r="BN835">
        <v>37645451</v>
      </c>
      <c r="BO835" t="s">
        <v>4366</v>
      </c>
      <c r="BP835" t="s">
        <v>74</v>
      </c>
      <c r="BQ835" t="s">
        <v>74</v>
      </c>
      <c r="BR835" t="s">
        <v>104</v>
      </c>
      <c r="BS835" t="s">
        <v>15116</v>
      </c>
      <c r="BT835" t="str">
        <f>HYPERLINK("https%3A%2F%2Fwww.webofscience.com%2Fwos%2Fwoscc%2Ffull-record%2FWOS:001062890900001","View Full Record in Web of Science")</f>
        <v>View Full Record in Web of Science</v>
      </c>
    </row>
    <row r="836" spans="1:72" x14ac:dyDescent="0.15">
      <c r="A836" t="s">
        <v>72</v>
      </c>
      <c r="B836" t="s">
        <v>15117</v>
      </c>
      <c r="C836" t="s">
        <v>74</v>
      </c>
      <c r="D836" t="s">
        <v>74</v>
      </c>
      <c r="E836" t="s">
        <v>74</v>
      </c>
      <c r="F836" t="s">
        <v>15118</v>
      </c>
      <c r="G836" t="s">
        <v>74</v>
      </c>
      <c r="H836" t="s">
        <v>74</v>
      </c>
      <c r="I836" t="s">
        <v>15119</v>
      </c>
      <c r="J836" t="s">
        <v>7129</v>
      </c>
      <c r="K836" t="s">
        <v>74</v>
      </c>
      <c r="L836" t="s">
        <v>74</v>
      </c>
      <c r="M836" t="s">
        <v>78</v>
      </c>
      <c r="N836" t="s">
        <v>79</v>
      </c>
      <c r="O836" t="s">
        <v>74</v>
      </c>
      <c r="P836" t="s">
        <v>74</v>
      </c>
      <c r="Q836" t="s">
        <v>74</v>
      </c>
      <c r="R836" t="s">
        <v>74</v>
      </c>
      <c r="S836" t="s">
        <v>74</v>
      </c>
      <c r="T836" t="s">
        <v>15120</v>
      </c>
      <c r="U836" t="s">
        <v>15121</v>
      </c>
      <c r="V836" t="s">
        <v>15122</v>
      </c>
      <c r="W836" t="s">
        <v>15123</v>
      </c>
      <c r="X836" t="s">
        <v>15124</v>
      </c>
      <c r="Y836" t="s">
        <v>15125</v>
      </c>
      <c r="Z836" t="s">
        <v>15126</v>
      </c>
      <c r="AA836" t="s">
        <v>15127</v>
      </c>
      <c r="AB836" t="s">
        <v>15128</v>
      </c>
      <c r="AC836" t="s">
        <v>15129</v>
      </c>
      <c r="AD836" t="s">
        <v>15130</v>
      </c>
      <c r="AE836" t="s">
        <v>15131</v>
      </c>
      <c r="AF836" t="s">
        <v>74</v>
      </c>
      <c r="AG836">
        <v>20</v>
      </c>
      <c r="AH836">
        <v>1</v>
      </c>
      <c r="AI836">
        <v>1</v>
      </c>
      <c r="AJ836">
        <v>1</v>
      </c>
      <c r="AK836">
        <v>1</v>
      </c>
      <c r="AL836" t="s">
        <v>173</v>
      </c>
      <c r="AM836" t="s">
        <v>121</v>
      </c>
      <c r="AN836" t="s">
        <v>174</v>
      </c>
      <c r="AO836" t="s">
        <v>7142</v>
      </c>
      <c r="AP836" t="s">
        <v>74</v>
      </c>
      <c r="AQ836" t="s">
        <v>74</v>
      </c>
      <c r="AR836" t="s">
        <v>7143</v>
      </c>
      <c r="AS836" t="s">
        <v>7144</v>
      </c>
      <c r="AT836" t="s">
        <v>13744</v>
      </c>
      <c r="AU836">
        <v>2023</v>
      </c>
      <c r="AV836">
        <v>201</v>
      </c>
      <c r="AW836" t="s">
        <v>74</v>
      </c>
      <c r="AX836" t="s">
        <v>74</v>
      </c>
      <c r="AY836" t="s">
        <v>74</v>
      </c>
      <c r="AZ836" t="s">
        <v>74</v>
      </c>
      <c r="BA836" t="s">
        <v>74</v>
      </c>
      <c r="BB836" t="s">
        <v>74</v>
      </c>
      <c r="BC836" t="s">
        <v>74</v>
      </c>
      <c r="BD836">
        <v>108164</v>
      </c>
      <c r="BE836" t="s">
        <v>15132</v>
      </c>
      <c r="BF836" t="str">
        <f>HYPERLINK("http://dx.doi.org/10.1016/j.mineng.2023.108164","http://dx.doi.org/10.1016/j.mineng.2023.108164")</f>
        <v>http://dx.doi.org/10.1016/j.mineng.2023.108164</v>
      </c>
      <c r="BG836" t="s">
        <v>74</v>
      </c>
      <c r="BH836" t="s">
        <v>74</v>
      </c>
      <c r="BI836">
        <v>10</v>
      </c>
      <c r="BJ836" t="s">
        <v>7146</v>
      </c>
      <c r="BK836" t="s">
        <v>100</v>
      </c>
      <c r="BL836" t="s">
        <v>7147</v>
      </c>
      <c r="BM836" t="s">
        <v>15133</v>
      </c>
      <c r="BN836" t="s">
        <v>74</v>
      </c>
      <c r="BO836" t="s">
        <v>74</v>
      </c>
      <c r="BP836" t="s">
        <v>74</v>
      </c>
      <c r="BQ836" t="s">
        <v>74</v>
      </c>
      <c r="BR836" t="s">
        <v>104</v>
      </c>
      <c r="BS836" t="s">
        <v>15134</v>
      </c>
      <c r="BT836" t="str">
        <f>HYPERLINK("https%3A%2F%2Fwww.webofscience.com%2Fwos%2Fwoscc%2Ffull-record%2FWOS:001054309600001","View Full Record in Web of Science")</f>
        <v>View Full Record in Web of Science</v>
      </c>
    </row>
    <row r="837" spans="1:72" x14ac:dyDescent="0.15">
      <c r="A837" t="s">
        <v>72</v>
      </c>
      <c r="B837" t="s">
        <v>15135</v>
      </c>
      <c r="C837" t="s">
        <v>74</v>
      </c>
      <c r="D837" t="s">
        <v>74</v>
      </c>
      <c r="E837" t="s">
        <v>74</v>
      </c>
      <c r="F837" t="s">
        <v>15136</v>
      </c>
      <c r="G837" t="s">
        <v>74</v>
      </c>
      <c r="H837" t="s">
        <v>74</v>
      </c>
      <c r="I837" t="s">
        <v>15137</v>
      </c>
      <c r="J837" t="s">
        <v>15138</v>
      </c>
      <c r="K837" t="s">
        <v>74</v>
      </c>
      <c r="L837" t="s">
        <v>74</v>
      </c>
      <c r="M837" t="s">
        <v>78</v>
      </c>
      <c r="N837" t="s">
        <v>241</v>
      </c>
      <c r="O837" t="s">
        <v>74</v>
      </c>
      <c r="P837" t="s">
        <v>74</v>
      </c>
      <c r="Q837" t="s">
        <v>74</v>
      </c>
      <c r="R837" t="s">
        <v>74</v>
      </c>
      <c r="S837" t="s">
        <v>74</v>
      </c>
      <c r="T837" t="s">
        <v>15139</v>
      </c>
      <c r="U837" t="s">
        <v>15140</v>
      </c>
      <c r="V837" t="s">
        <v>15141</v>
      </c>
      <c r="W837" t="s">
        <v>15142</v>
      </c>
      <c r="X837" t="s">
        <v>15143</v>
      </c>
      <c r="Y837" t="s">
        <v>15144</v>
      </c>
      <c r="Z837" t="s">
        <v>15145</v>
      </c>
      <c r="AA837" t="s">
        <v>74</v>
      </c>
      <c r="AB837" t="s">
        <v>74</v>
      </c>
      <c r="AC837" t="s">
        <v>15146</v>
      </c>
      <c r="AD837" t="s">
        <v>15147</v>
      </c>
      <c r="AE837" t="s">
        <v>15148</v>
      </c>
      <c r="AF837" t="s">
        <v>74</v>
      </c>
      <c r="AG837">
        <v>102</v>
      </c>
      <c r="AH837">
        <v>0</v>
      </c>
      <c r="AI837">
        <v>0</v>
      </c>
      <c r="AJ837">
        <v>1</v>
      </c>
      <c r="AK837">
        <v>1</v>
      </c>
      <c r="AL837" t="s">
        <v>120</v>
      </c>
      <c r="AM837" t="s">
        <v>121</v>
      </c>
      <c r="AN837" t="s">
        <v>122</v>
      </c>
      <c r="AO837" t="s">
        <v>15149</v>
      </c>
      <c r="AP837" t="s">
        <v>15150</v>
      </c>
      <c r="AQ837" t="s">
        <v>74</v>
      </c>
      <c r="AR837" t="s">
        <v>15151</v>
      </c>
      <c r="AS837" t="s">
        <v>15152</v>
      </c>
      <c r="AT837" t="s">
        <v>13744</v>
      </c>
      <c r="AU837">
        <v>2023</v>
      </c>
      <c r="AV837">
        <v>28</v>
      </c>
      <c r="AW837">
        <v>10</v>
      </c>
      <c r="AX837" t="s">
        <v>74</v>
      </c>
      <c r="AY837" t="s">
        <v>74</v>
      </c>
      <c r="AZ837" t="s">
        <v>74</v>
      </c>
      <c r="BA837" t="s">
        <v>74</v>
      </c>
      <c r="BB837" t="s">
        <v>74</v>
      </c>
      <c r="BC837" t="s">
        <v>74</v>
      </c>
      <c r="BD837">
        <v>103714</v>
      </c>
      <c r="BE837" t="s">
        <v>15153</v>
      </c>
      <c r="BF837" t="str">
        <f>HYPERLINK("http://dx.doi.org/10.1016/j.drudis.2023.103714","http://dx.doi.org/10.1016/j.drudis.2023.103714")</f>
        <v>http://dx.doi.org/10.1016/j.drudis.2023.103714</v>
      </c>
      <c r="BG837" t="s">
        <v>74</v>
      </c>
      <c r="BH837" t="s">
        <v>74</v>
      </c>
      <c r="BI837">
        <v>18</v>
      </c>
      <c r="BJ837" t="s">
        <v>2605</v>
      </c>
      <c r="BK837" t="s">
        <v>100</v>
      </c>
      <c r="BL837" t="s">
        <v>2605</v>
      </c>
      <c r="BM837" t="s">
        <v>15154</v>
      </c>
      <c r="BN837">
        <v>37467878</v>
      </c>
      <c r="BO837" t="s">
        <v>295</v>
      </c>
      <c r="BP837" t="s">
        <v>74</v>
      </c>
      <c r="BQ837" t="s">
        <v>74</v>
      </c>
      <c r="BR837" t="s">
        <v>104</v>
      </c>
      <c r="BS837" t="s">
        <v>15155</v>
      </c>
      <c r="BT837" t="str">
        <f>HYPERLINK("https%3A%2F%2Fwww.webofscience.com%2Fwos%2Fwoscc%2Ffull-record%2FWOS:001049660400001","View Full Record in Web of Science")</f>
        <v>View Full Record in Web of Science</v>
      </c>
    </row>
    <row r="838" spans="1:72" x14ac:dyDescent="0.15">
      <c r="A838" t="s">
        <v>72</v>
      </c>
      <c r="B838" t="s">
        <v>15156</v>
      </c>
      <c r="C838" t="s">
        <v>74</v>
      </c>
      <c r="D838" t="s">
        <v>74</v>
      </c>
      <c r="E838" t="s">
        <v>74</v>
      </c>
      <c r="F838" t="s">
        <v>15157</v>
      </c>
      <c r="G838" t="s">
        <v>74</v>
      </c>
      <c r="H838" t="s">
        <v>74</v>
      </c>
      <c r="I838" t="s">
        <v>15158</v>
      </c>
      <c r="J838" t="s">
        <v>15159</v>
      </c>
      <c r="K838" t="s">
        <v>74</v>
      </c>
      <c r="L838" t="s">
        <v>74</v>
      </c>
      <c r="M838" t="s">
        <v>78</v>
      </c>
      <c r="N838" t="s">
        <v>79</v>
      </c>
      <c r="O838" t="s">
        <v>74</v>
      </c>
      <c r="P838" t="s">
        <v>74</v>
      </c>
      <c r="Q838" t="s">
        <v>74</v>
      </c>
      <c r="R838" t="s">
        <v>74</v>
      </c>
      <c r="S838" t="s">
        <v>74</v>
      </c>
      <c r="T838" t="s">
        <v>15160</v>
      </c>
      <c r="U838" t="s">
        <v>15161</v>
      </c>
      <c r="V838" t="s">
        <v>15162</v>
      </c>
      <c r="W838" t="s">
        <v>15163</v>
      </c>
      <c r="X838" t="s">
        <v>74</v>
      </c>
      <c r="Y838" t="s">
        <v>15164</v>
      </c>
      <c r="Z838" t="s">
        <v>15165</v>
      </c>
      <c r="AA838" t="s">
        <v>15166</v>
      </c>
      <c r="AB838" t="s">
        <v>15167</v>
      </c>
      <c r="AC838" t="s">
        <v>15168</v>
      </c>
      <c r="AD838" t="s">
        <v>15169</v>
      </c>
      <c r="AE838" t="s">
        <v>15170</v>
      </c>
      <c r="AF838" t="s">
        <v>74</v>
      </c>
      <c r="AG838">
        <v>21</v>
      </c>
      <c r="AH838">
        <v>0</v>
      </c>
      <c r="AI838">
        <v>0</v>
      </c>
      <c r="AJ838">
        <v>1</v>
      </c>
      <c r="AK838">
        <v>1</v>
      </c>
      <c r="AL838" t="s">
        <v>475</v>
      </c>
      <c r="AM838" t="s">
        <v>476</v>
      </c>
      <c r="AN838" t="s">
        <v>477</v>
      </c>
      <c r="AO838" t="s">
        <v>15171</v>
      </c>
      <c r="AP838" t="s">
        <v>15172</v>
      </c>
      <c r="AQ838" t="s">
        <v>74</v>
      </c>
      <c r="AR838" t="s">
        <v>15173</v>
      </c>
      <c r="AS838" t="s">
        <v>15174</v>
      </c>
      <c r="AT838" t="s">
        <v>13778</v>
      </c>
      <c r="AU838">
        <v>2023</v>
      </c>
      <c r="AV838">
        <v>678</v>
      </c>
      <c r="AW838" t="s">
        <v>74</v>
      </c>
      <c r="AX838" t="s">
        <v>74</v>
      </c>
      <c r="AY838" t="s">
        <v>74</v>
      </c>
      <c r="AZ838" t="s">
        <v>74</v>
      </c>
      <c r="BA838" t="s">
        <v>74</v>
      </c>
      <c r="BB838" t="s">
        <v>74</v>
      </c>
      <c r="BC838" t="s">
        <v>74</v>
      </c>
      <c r="BD838">
        <v>115283</v>
      </c>
      <c r="BE838" t="s">
        <v>15175</v>
      </c>
      <c r="BF838" t="str">
        <f>HYPERLINK("http://dx.doi.org/10.1016/j.ab.2023.115283","http://dx.doi.org/10.1016/j.ab.2023.115283")</f>
        <v>http://dx.doi.org/10.1016/j.ab.2023.115283</v>
      </c>
      <c r="BG838" t="s">
        <v>74</v>
      </c>
      <c r="BH838" t="s">
        <v>74</v>
      </c>
      <c r="BI838">
        <v>5</v>
      </c>
      <c r="BJ838" t="s">
        <v>15176</v>
      </c>
      <c r="BK838" t="s">
        <v>100</v>
      </c>
      <c r="BL838" t="s">
        <v>13855</v>
      </c>
      <c r="BM838" t="s">
        <v>15177</v>
      </c>
      <c r="BN838">
        <v>37572840</v>
      </c>
      <c r="BO838" t="s">
        <v>74</v>
      </c>
      <c r="BP838" t="s">
        <v>74</v>
      </c>
      <c r="BQ838" t="s">
        <v>74</v>
      </c>
      <c r="BR838" t="s">
        <v>104</v>
      </c>
      <c r="BS838" t="s">
        <v>15178</v>
      </c>
      <c r="BT838" t="str">
        <f>HYPERLINK("https%3A%2F%2Fwww.webofscience.com%2Fwos%2Fwoscc%2Ffull-record%2FWOS:001062591300001","View Full Record in Web of Science")</f>
        <v>View Full Record in Web of Science</v>
      </c>
    </row>
    <row r="839" spans="1:72" x14ac:dyDescent="0.15">
      <c r="A839" t="s">
        <v>72</v>
      </c>
      <c r="B839" t="s">
        <v>15179</v>
      </c>
      <c r="C839" t="s">
        <v>74</v>
      </c>
      <c r="D839" t="s">
        <v>74</v>
      </c>
      <c r="E839" t="s">
        <v>74</v>
      </c>
      <c r="F839" t="s">
        <v>15180</v>
      </c>
      <c r="G839" t="s">
        <v>74</v>
      </c>
      <c r="H839" t="s">
        <v>74</v>
      </c>
      <c r="I839" t="s">
        <v>15181</v>
      </c>
      <c r="J839" t="s">
        <v>15182</v>
      </c>
      <c r="K839" t="s">
        <v>74</v>
      </c>
      <c r="L839" t="s">
        <v>74</v>
      </c>
      <c r="M839" t="s">
        <v>78</v>
      </c>
      <c r="N839" t="s">
        <v>79</v>
      </c>
      <c r="O839" t="s">
        <v>74</v>
      </c>
      <c r="P839" t="s">
        <v>74</v>
      </c>
      <c r="Q839" t="s">
        <v>74</v>
      </c>
      <c r="R839" t="s">
        <v>74</v>
      </c>
      <c r="S839" t="s">
        <v>74</v>
      </c>
      <c r="T839" t="s">
        <v>15183</v>
      </c>
      <c r="U839" t="s">
        <v>15184</v>
      </c>
      <c r="V839" t="s">
        <v>15185</v>
      </c>
      <c r="W839" t="s">
        <v>15186</v>
      </c>
      <c r="X839" t="s">
        <v>15187</v>
      </c>
      <c r="Y839" t="s">
        <v>15188</v>
      </c>
      <c r="Z839" t="s">
        <v>15189</v>
      </c>
      <c r="AA839" t="s">
        <v>74</v>
      </c>
      <c r="AB839" t="s">
        <v>74</v>
      </c>
      <c r="AC839" t="s">
        <v>74</v>
      </c>
      <c r="AD839" t="s">
        <v>74</v>
      </c>
      <c r="AE839" t="s">
        <v>74</v>
      </c>
      <c r="AF839" t="s">
        <v>74</v>
      </c>
      <c r="AG839">
        <v>59</v>
      </c>
      <c r="AH839">
        <v>0</v>
      </c>
      <c r="AI839">
        <v>0</v>
      </c>
      <c r="AJ839">
        <v>3</v>
      </c>
      <c r="AK839">
        <v>3</v>
      </c>
      <c r="AL839" t="s">
        <v>147</v>
      </c>
      <c r="AM839" t="s">
        <v>148</v>
      </c>
      <c r="AN839" t="s">
        <v>149</v>
      </c>
      <c r="AO839" t="s">
        <v>15190</v>
      </c>
      <c r="AP839" t="s">
        <v>15191</v>
      </c>
      <c r="AQ839" t="s">
        <v>74</v>
      </c>
      <c r="AR839" t="s">
        <v>15192</v>
      </c>
      <c r="AS839" t="s">
        <v>15193</v>
      </c>
      <c r="AT839" t="s">
        <v>13744</v>
      </c>
      <c r="AU839">
        <v>2023</v>
      </c>
      <c r="AV839">
        <v>91</v>
      </c>
      <c r="AW839" t="s">
        <v>74</v>
      </c>
      <c r="AX839" t="s">
        <v>74</v>
      </c>
      <c r="AY839" t="s">
        <v>74</v>
      </c>
      <c r="AZ839" t="s">
        <v>74</v>
      </c>
      <c r="BA839" t="s">
        <v>74</v>
      </c>
      <c r="BB839">
        <v>84</v>
      </c>
      <c r="BC839">
        <v>93</v>
      </c>
      <c r="BD839" t="s">
        <v>74</v>
      </c>
      <c r="BE839" t="s">
        <v>15194</v>
      </c>
      <c r="BF839" t="str">
        <f>HYPERLINK("http://dx.doi.org/10.1016/j.qref.2023.07.005","http://dx.doi.org/10.1016/j.qref.2023.07.005")</f>
        <v>http://dx.doi.org/10.1016/j.qref.2023.07.005</v>
      </c>
      <c r="BG839" t="s">
        <v>74</v>
      </c>
      <c r="BH839" t="s">
        <v>74</v>
      </c>
      <c r="BI839">
        <v>10</v>
      </c>
      <c r="BJ839" t="s">
        <v>2789</v>
      </c>
      <c r="BK839" t="s">
        <v>627</v>
      </c>
      <c r="BL839" t="s">
        <v>628</v>
      </c>
      <c r="BM839" t="s">
        <v>15195</v>
      </c>
      <c r="BN839" t="s">
        <v>74</v>
      </c>
      <c r="BO839" t="s">
        <v>74</v>
      </c>
      <c r="BP839" t="s">
        <v>74</v>
      </c>
      <c r="BQ839" t="s">
        <v>74</v>
      </c>
      <c r="BR839" t="s">
        <v>104</v>
      </c>
      <c r="BS839" t="s">
        <v>15196</v>
      </c>
      <c r="BT839" t="str">
        <f>HYPERLINK("https%3A%2F%2Fwww.webofscience.com%2Fwos%2Fwoscc%2Ffull-record%2FWOS:001053559100001","View Full Record in Web of Science")</f>
        <v>View Full Record in Web of Science</v>
      </c>
    </row>
    <row r="840" spans="1:72" x14ac:dyDescent="0.15">
      <c r="A840" t="s">
        <v>72</v>
      </c>
      <c r="B840" t="s">
        <v>15197</v>
      </c>
      <c r="C840" t="s">
        <v>74</v>
      </c>
      <c r="D840" t="s">
        <v>74</v>
      </c>
      <c r="E840" t="s">
        <v>74</v>
      </c>
      <c r="F840" t="s">
        <v>15198</v>
      </c>
      <c r="G840" t="s">
        <v>74</v>
      </c>
      <c r="H840" t="s">
        <v>74</v>
      </c>
      <c r="I840" t="s">
        <v>15199</v>
      </c>
      <c r="J840" t="s">
        <v>15200</v>
      </c>
      <c r="K840" t="s">
        <v>74</v>
      </c>
      <c r="L840" t="s">
        <v>74</v>
      </c>
      <c r="M840" t="s">
        <v>78</v>
      </c>
      <c r="N840" t="s">
        <v>79</v>
      </c>
      <c r="O840" t="s">
        <v>74</v>
      </c>
      <c r="P840" t="s">
        <v>74</v>
      </c>
      <c r="Q840" t="s">
        <v>74</v>
      </c>
      <c r="R840" t="s">
        <v>74</v>
      </c>
      <c r="S840" t="s">
        <v>74</v>
      </c>
      <c r="T840" t="s">
        <v>15201</v>
      </c>
      <c r="U840" t="s">
        <v>15202</v>
      </c>
      <c r="V840" t="s">
        <v>15203</v>
      </c>
      <c r="W840" t="s">
        <v>15204</v>
      </c>
      <c r="X840" t="s">
        <v>15205</v>
      </c>
      <c r="Y840" t="s">
        <v>15206</v>
      </c>
      <c r="Z840" t="s">
        <v>15207</v>
      </c>
      <c r="AA840" t="s">
        <v>74</v>
      </c>
      <c r="AB840" t="s">
        <v>15208</v>
      </c>
      <c r="AC840" t="s">
        <v>15209</v>
      </c>
      <c r="AD840" t="s">
        <v>15209</v>
      </c>
      <c r="AE840" t="s">
        <v>15210</v>
      </c>
      <c r="AF840" t="s">
        <v>74</v>
      </c>
      <c r="AG840">
        <v>72</v>
      </c>
      <c r="AH840">
        <v>0</v>
      </c>
      <c r="AI840">
        <v>0</v>
      </c>
      <c r="AJ840">
        <v>1</v>
      </c>
      <c r="AK840">
        <v>1</v>
      </c>
      <c r="AL840" t="s">
        <v>120</v>
      </c>
      <c r="AM840" t="s">
        <v>121</v>
      </c>
      <c r="AN840" t="s">
        <v>122</v>
      </c>
      <c r="AO840" t="s">
        <v>15211</v>
      </c>
      <c r="AP840" t="s">
        <v>15212</v>
      </c>
      <c r="AQ840" t="s">
        <v>74</v>
      </c>
      <c r="AR840" t="s">
        <v>15213</v>
      </c>
      <c r="AS840" t="s">
        <v>15214</v>
      </c>
      <c r="AT840" t="s">
        <v>13744</v>
      </c>
      <c r="AU840">
        <v>2023</v>
      </c>
      <c r="AV840">
        <v>140</v>
      </c>
      <c r="AW840" t="s">
        <v>74</v>
      </c>
      <c r="AX840" t="s">
        <v>74</v>
      </c>
      <c r="AY840" t="s">
        <v>74</v>
      </c>
      <c r="AZ840" t="s">
        <v>74</v>
      </c>
      <c r="BA840" t="s">
        <v>74</v>
      </c>
      <c r="BB840" t="s">
        <v>74</v>
      </c>
      <c r="BC840" t="s">
        <v>74</v>
      </c>
      <c r="BD840">
        <v>103882</v>
      </c>
      <c r="BE840" t="s">
        <v>15215</v>
      </c>
      <c r="BF840" t="str">
        <f>HYPERLINK("http://dx.doi.org/10.1016/j.firesaf.2023.103882","http://dx.doi.org/10.1016/j.firesaf.2023.103882")</f>
        <v>http://dx.doi.org/10.1016/j.firesaf.2023.103882</v>
      </c>
      <c r="BG840" t="s">
        <v>74</v>
      </c>
      <c r="BH840" t="s">
        <v>74</v>
      </c>
      <c r="BI840">
        <v>12</v>
      </c>
      <c r="BJ840" t="s">
        <v>15216</v>
      </c>
      <c r="BK840" t="s">
        <v>100</v>
      </c>
      <c r="BL840" t="s">
        <v>156</v>
      </c>
      <c r="BM840" t="s">
        <v>15217</v>
      </c>
      <c r="BN840" t="s">
        <v>74</v>
      </c>
      <c r="BO840" t="s">
        <v>74</v>
      </c>
      <c r="BP840" t="s">
        <v>74</v>
      </c>
      <c r="BQ840" t="s">
        <v>74</v>
      </c>
      <c r="BR840" t="s">
        <v>104</v>
      </c>
      <c r="BS840" t="s">
        <v>15218</v>
      </c>
      <c r="BT840" t="str">
        <f>HYPERLINK("https%3A%2F%2Fwww.webofscience.com%2Fwos%2Fwoscc%2Ffull-record%2FWOS:001059429200001","View Full Record in Web of Science")</f>
        <v>View Full Record in Web of Science</v>
      </c>
    </row>
    <row r="841" spans="1:72" x14ac:dyDescent="0.15">
      <c r="A841" t="s">
        <v>72</v>
      </c>
      <c r="B841" t="s">
        <v>15219</v>
      </c>
      <c r="C841" t="s">
        <v>74</v>
      </c>
      <c r="D841" t="s">
        <v>74</v>
      </c>
      <c r="E841" t="s">
        <v>74</v>
      </c>
      <c r="F841" t="s">
        <v>15220</v>
      </c>
      <c r="G841" t="s">
        <v>74</v>
      </c>
      <c r="H841" t="s">
        <v>74</v>
      </c>
      <c r="I841" t="s">
        <v>15221</v>
      </c>
      <c r="J841" t="s">
        <v>15222</v>
      </c>
      <c r="K841" t="s">
        <v>74</v>
      </c>
      <c r="L841" t="s">
        <v>74</v>
      </c>
      <c r="M841" t="s">
        <v>78</v>
      </c>
      <c r="N841" t="s">
        <v>79</v>
      </c>
      <c r="O841" t="s">
        <v>74</v>
      </c>
      <c r="P841" t="s">
        <v>74</v>
      </c>
      <c r="Q841" t="s">
        <v>74</v>
      </c>
      <c r="R841" t="s">
        <v>74</v>
      </c>
      <c r="S841" t="s">
        <v>74</v>
      </c>
      <c r="T841" t="s">
        <v>15223</v>
      </c>
      <c r="U841" t="s">
        <v>15224</v>
      </c>
      <c r="V841" t="s">
        <v>15225</v>
      </c>
      <c r="W841" t="s">
        <v>15226</v>
      </c>
      <c r="X841" t="s">
        <v>15227</v>
      </c>
      <c r="Y841" t="s">
        <v>15228</v>
      </c>
      <c r="Z841" t="s">
        <v>15229</v>
      </c>
      <c r="AA841" t="s">
        <v>15230</v>
      </c>
      <c r="AB841" t="s">
        <v>74</v>
      </c>
      <c r="AC841" t="s">
        <v>15231</v>
      </c>
      <c r="AD841" t="s">
        <v>15232</v>
      </c>
      <c r="AE841" t="s">
        <v>15233</v>
      </c>
      <c r="AF841" t="s">
        <v>74</v>
      </c>
      <c r="AG841">
        <v>26</v>
      </c>
      <c r="AH841">
        <v>0</v>
      </c>
      <c r="AI841">
        <v>0</v>
      </c>
      <c r="AJ841">
        <v>2</v>
      </c>
      <c r="AK841">
        <v>2</v>
      </c>
      <c r="AL841" t="s">
        <v>120</v>
      </c>
      <c r="AM841" t="s">
        <v>121</v>
      </c>
      <c r="AN841" t="s">
        <v>122</v>
      </c>
      <c r="AO841" t="s">
        <v>15234</v>
      </c>
      <c r="AP841" t="s">
        <v>15235</v>
      </c>
      <c r="AQ841" t="s">
        <v>74</v>
      </c>
      <c r="AR841" t="s">
        <v>15236</v>
      </c>
      <c r="AS841" t="s">
        <v>15237</v>
      </c>
      <c r="AT841" t="s">
        <v>13744</v>
      </c>
      <c r="AU841">
        <v>2023</v>
      </c>
      <c r="AV841">
        <v>185</v>
      </c>
      <c r="AW841" t="s">
        <v>74</v>
      </c>
      <c r="AX841" t="s">
        <v>74</v>
      </c>
      <c r="AY841" t="s">
        <v>74</v>
      </c>
      <c r="AZ841" t="s">
        <v>74</v>
      </c>
      <c r="BA841" t="s">
        <v>74</v>
      </c>
      <c r="BB841" t="s">
        <v>74</v>
      </c>
      <c r="BC841" t="s">
        <v>74</v>
      </c>
      <c r="BD841">
        <v>102238</v>
      </c>
      <c r="BE841" t="s">
        <v>15238</v>
      </c>
      <c r="BF841" t="str">
        <f>HYPERLINK("http://dx.doi.org/10.1016/j.ocemod.2023.102238","http://dx.doi.org/10.1016/j.ocemod.2023.102238")</f>
        <v>http://dx.doi.org/10.1016/j.ocemod.2023.102238</v>
      </c>
      <c r="BG841" t="s">
        <v>74</v>
      </c>
      <c r="BH841" t="s">
        <v>74</v>
      </c>
      <c r="BI841">
        <v>10</v>
      </c>
      <c r="BJ841" t="s">
        <v>15239</v>
      </c>
      <c r="BK841" t="s">
        <v>100</v>
      </c>
      <c r="BL841" t="s">
        <v>15239</v>
      </c>
      <c r="BM841" t="s">
        <v>15240</v>
      </c>
      <c r="BN841" t="s">
        <v>74</v>
      </c>
      <c r="BO841" t="s">
        <v>74</v>
      </c>
      <c r="BP841" t="s">
        <v>74</v>
      </c>
      <c r="BQ841" t="s">
        <v>74</v>
      </c>
      <c r="BR841" t="s">
        <v>104</v>
      </c>
      <c r="BS841" t="s">
        <v>15241</v>
      </c>
      <c r="BT841" t="str">
        <f>HYPERLINK("https%3A%2F%2Fwww.webofscience.com%2Fwos%2Fwoscc%2Ffull-record%2FWOS:001050647700001","View Full Record in Web of Science")</f>
        <v>View Full Record in Web of Science</v>
      </c>
    </row>
    <row r="842" spans="1:72" x14ac:dyDescent="0.15">
      <c r="A842" t="s">
        <v>72</v>
      </c>
      <c r="B842" t="s">
        <v>15242</v>
      </c>
      <c r="C842" t="s">
        <v>74</v>
      </c>
      <c r="D842" t="s">
        <v>74</v>
      </c>
      <c r="E842" t="s">
        <v>74</v>
      </c>
      <c r="F842" t="s">
        <v>15243</v>
      </c>
      <c r="G842" t="s">
        <v>74</v>
      </c>
      <c r="H842" t="s">
        <v>74</v>
      </c>
      <c r="I842" t="s">
        <v>15244</v>
      </c>
      <c r="J842" t="s">
        <v>5534</v>
      </c>
      <c r="K842" t="s">
        <v>74</v>
      </c>
      <c r="L842" t="s">
        <v>74</v>
      </c>
      <c r="M842" t="s">
        <v>78</v>
      </c>
      <c r="N842" t="s">
        <v>79</v>
      </c>
      <c r="O842" t="s">
        <v>74</v>
      </c>
      <c r="P842" t="s">
        <v>74</v>
      </c>
      <c r="Q842" t="s">
        <v>74</v>
      </c>
      <c r="R842" t="s">
        <v>74</v>
      </c>
      <c r="S842" t="s">
        <v>74</v>
      </c>
      <c r="T842" t="s">
        <v>15245</v>
      </c>
      <c r="U842" t="s">
        <v>15246</v>
      </c>
      <c r="V842" t="s">
        <v>15247</v>
      </c>
      <c r="W842" t="s">
        <v>15248</v>
      </c>
      <c r="X842" t="s">
        <v>15249</v>
      </c>
      <c r="Y842" t="s">
        <v>15250</v>
      </c>
      <c r="Z842" t="s">
        <v>15251</v>
      </c>
      <c r="AA842" t="s">
        <v>74</v>
      </c>
      <c r="AB842" t="s">
        <v>74</v>
      </c>
      <c r="AC842" t="s">
        <v>74</v>
      </c>
      <c r="AD842" t="s">
        <v>74</v>
      </c>
      <c r="AE842" t="s">
        <v>74</v>
      </c>
      <c r="AF842" t="s">
        <v>74</v>
      </c>
      <c r="AG842">
        <v>51</v>
      </c>
      <c r="AH842">
        <v>0</v>
      </c>
      <c r="AI842">
        <v>0</v>
      </c>
      <c r="AJ842">
        <v>3</v>
      </c>
      <c r="AK842">
        <v>3</v>
      </c>
      <c r="AL842" t="s">
        <v>120</v>
      </c>
      <c r="AM842" t="s">
        <v>121</v>
      </c>
      <c r="AN842" t="s">
        <v>122</v>
      </c>
      <c r="AO842" t="s">
        <v>5542</v>
      </c>
      <c r="AP842" t="s">
        <v>5543</v>
      </c>
      <c r="AQ842" t="s">
        <v>74</v>
      </c>
      <c r="AR842" t="s">
        <v>5544</v>
      </c>
      <c r="AS842" t="s">
        <v>5545</v>
      </c>
      <c r="AT842" t="s">
        <v>13778</v>
      </c>
      <c r="AU842">
        <v>2023</v>
      </c>
      <c r="AV842">
        <v>292</v>
      </c>
      <c r="AW842" t="s">
        <v>74</v>
      </c>
      <c r="AX842" t="s">
        <v>74</v>
      </c>
      <c r="AY842" t="s">
        <v>74</v>
      </c>
      <c r="AZ842" t="s">
        <v>74</v>
      </c>
      <c r="BA842" t="s">
        <v>74</v>
      </c>
      <c r="BB842" t="s">
        <v>74</v>
      </c>
      <c r="BC842" t="s">
        <v>74</v>
      </c>
      <c r="BD842">
        <v>116534</v>
      </c>
      <c r="BE842" t="s">
        <v>15252</v>
      </c>
      <c r="BF842" t="str">
        <f>HYPERLINK("http://dx.doi.org/10.1016/j.engstruct.2023.116534","http://dx.doi.org/10.1016/j.engstruct.2023.116534")</f>
        <v>http://dx.doi.org/10.1016/j.engstruct.2023.116534</v>
      </c>
      <c r="BG842" t="s">
        <v>74</v>
      </c>
      <c r="BH842" t="s">
        <v>74</v>
      </c>
      <c r="BI842">
        <v>22</v>
      </c>
      <c r="BJ842" t="s">
        <v>5547</v>
      </c>
      <c r="BK842" t="s">
        <v>100</v>
      </c>
      <c r="BL842" t="s">
        <v>873</v>
      </c>
      <c r="BM842" t="s">
        <v>15253</v>
      </c>
      <c r="BN842" t="s">
        <v>74</v>
      </c>
      <c r="BO842" t="s">
        <v>295</v>
      </c>
      <c r="BP842" t="s">
        <v>74</v>
      </c>
      <c r="BQ842" t="s">
        <v>74</v>
      </c>
      <c r="BR842" t="s">
        <v>104</v>
      </c>
      <c r="BS842" t="s">
        <v>15254</v>
      </c>
      <c r="BT842" t="str">
        <f>HYPERLINK("https%3A%2F%2Fwww.webofscience.com%2Fwos%2Fwoscc%2Ffull-record%2FWOS:001041081500001","View Full Record in Web of Science")</f>
        <v>View Full Record in Web of Science</v>
      </c>
    </row>
    <row r="843" spans="1:72" x14ac:dyDescent="0.15">
      <c r="A843" t="s">
        <v>72</v>
      </c>
      <c r="B843" t="s">
        <v>15255</v>
      </c>
      <c r="C843" t="s">
        <v>74</v>
      </c>
      <c r="D843" t="s">
        <v>74</v>
      </c>
      <c r="E843" t="s">
        <v>74</v>
      </c>
      <c r="F843" t="s">
        <v>15256</v>
      </c>
      <c r="G843" t="s">
        <v>74</v>
      </c>
      <c r="H843" t="s">
        <v>74</v>
      </c>
      <c r="I843" t="s">
        <v>15257</v>
      </c>
      <c r="J843" t="s">
        <v>15088</v>
      </c>
      <c r="K843" t="s">
        <v>74</v>
      </c>
      <c r="L843" t="s">
        <v>74</v>
      </c>
      <c r="M843" t="s">
        <v>78</v>
      </c>
      <c r="N843" t="s">
        <v>79</v>
      </c>
      <c r="O843" t="s">
        <v>74</v>
      </c>
      <c r="P843" t="s">
        <v>74</v>
      </c>
      <c r="Q843" t="s">
        <v>74</v>
      </c>
      <c r="R843" t="s">
        <v>74</v>
      </c>
      <c r="S843" t="s">
        <v>74</v>
      </c>
      <c r="T843" t="s">
        <v>15258</v>
      </c>
      <c r="U843" t="s">
        <v>15259</v>
      </c>
      <c r="V843" t="s">
        <v>15260</v>
      </c>
      <c r="W843" t="s">
        <v>15261</v>
      </c>
      <c r="X843" t="s">
        <v>15262</v>
      </c>
      <c r="Y843" t="s">
        <v>15263</v>
      </c>
      <c r="Z843" t="s">
        <v>15264</v>
      </c>
      <c r="AA843" t="s">
        <v>74</v>
      </c>
      <c r="AB843" t="s">
        <v>74</v>
      </c>
      <c r="AC843" t="s">
        <v>15265</v>
      </c>
      <c r="AD843" t="s">
        <v>15266</v>
      </c>
      <c r="AE843" t="s">
        <v>15267</v>
      </c>
      <c r="AF843" t="s">
        <v>74</v>
      </c>
      <c r="AG843">
        <v>45</v>
      </c>
      <c r="AH843">
        <v>0</v>
      </c>
      <c r="AI843">
        <v>0</v>
      </c>
      <c r="AJ843">
        <v>0</v>
      </c>
      <c r="AK843">
        <v>0</v>
      </c>
      <c r="AL843" t="s">
        <v>9135</v>
      </c>
      <c r="AM843" t="s">
        <v>476</v>
      </c>
      <c r="AN843" t="s">
        <v>9136</v>
      </c>
      <c r="AO843" t="s">
        <v>74</v>
      </c>
      <c r="AP843" t="s">
        <v>15099</v>
      </c>
      <c r="AQ843" t="s">
        <v>74</v>
      </c>
      <c r="AR843" t="s">
        <v>15100</v>
      </c>
      <c r="AS843" t="s">
        <v>15101</v>
      </c>
      <c r="AT843" t="s">
        <v>13744</v>
      </c>
      <c r="AU843">
        <v>2023</v>
      </c>
      <c r="AV843">
        <v>35</v>
      </c>
      <c r="AW843" t="s">
        <v>74</v>
      </c>
      <c r="AX843" t="s">
        <v>74</v>
      </c>
      <c r="AY843" t="s">
        <v>74</v>
      </c>
      <c r="AZ843" t="s">
        <v>74</v>
      </c>
      <c r="BA843" t="s">
        <v>74</v>
      </c>
      <c r="BB843" t="s">
        <v>74</v>
      </c>
      <c r="BC843" t="s">
        <v>74</v>
      </c>
      <c r="BD843">
        <v>101185</v>
      </c>
      <c r="BE843" t="s">
        <v>15268</v>
      </c>
      <c r="BF843" t="str">
        <f>HYPERLINK("http://dx.doi.org/10.1016/j.conctc.2023.101185","http://dx.doi.org/10.1016/j.conctc.2023.101185")</f>
        <v>http://dx.doi.org/10.1016/j.conctc.2023.101185</v>
      </c>
      <c r="BG843" t="s">
        <v>74</v>
      </c>
      <c r="BH843" t="s">
        <v>74</v>
      </c>
      <c r="BI843">
        <v>9</v>
      </c>
      <c r="BJ843" t="s">
        <v>15103</v>
      </c>
      <c r="BK843" t="s">
        <v>1850</v>
      </c>
      <c r="BL843" t="s">
        <v>15104</v>
      </c>
      <c r="BM843" t="s">
        <v>15269</v>
      </c>
      <c r="BN843">
        <v>37529067</v>
      </c>
      <c r="BO843" t="s">
        <v>2583</v>
      </c>
      <c r="BP843" t="s">
        <v>74</v>
      </c>
      <c r="BQ843" t="s">
        <v>74</v>
      </c>
      <c r="BR843" t="s">
        <v>104</v>
      </c>
      <c r="BS843" t="s">
        <v>15270</v>
      </c>
      <c r="BT843" t="str">
        <f>HYPERLINK("https%3A%2F%2Fwww.webofscience.com%2Fwos%2Fwoscc%2Ffull-record%2FWOS:001046983600001","View Full Record in Web of Science")</f>
        <v>View Full Record in Web of Science</v>
      </c>
    </row>
    <row r="844" spans="1:72" x14ac:dyDescent="0.15">
      <c r="A844" t="s">
        <v>72</v>
      </c>
      <c r="B844" t="s">
        <v>15271</v>
      </c>
      <c r="C844" t="s">
        <v>74</v>
      </c>
      <c r="D844" t="s">
        <v>74</v>
      </c>
      <c r="E844" t="s">
        <v>74</v>
      </c>
      <c r="F844" t="s">
        <v>15272</v>
      </c>
      <c r="G844" t="s">
        <v>74</v>
      </c>
      <c r="H844" t="s">
        <v>74</v>
      </c>
      <c r="I844" t="s">
        <v>15273</v>
      </c>
      <c r="J844" t="s">
        <v>15274</v>
      </c>
      <c r="K844" t="s">
        <v>74</v>
      </c>
      <c r="L844" t="s">
        <v>74</v>
      </c>
      <c r="M844" t="s">
        <v>78</v>
      </c>
      <c r="N844" t="s">
        <v>79</v>
      </c>
      <c r="O844" t="s">
        <v>74</v>
      </c>
      <c r="P844" t="s">
        <v>74</v>
      </c>
      <c r="Q844" t="s">
        <v>74</v>
      </c>
      <c r="R844" t="s">
        <v>74</v>
      </c>
      <c r="S844" t="s">
        <v>74</v>
      </c>
      <c r="T844" t="s">
        <v>15275</v>
      </c>
      <c r="U844" t="s">
        <v>15276</v>
      </c>
      <c r="V844" t="s">
        <v>15277</v>
      </c>
      <c r="W844" t="s">
        <v>15278</v>
      </c>
      <c r="X844" t="s">
        <v>15279</v>
      </c>
      <c r="Y844" t="s">
        <v>15280</v>
      </c>
      <c r="Z844" t="s">
        <v>15281</v>
      </c>
      <c r="AA844" t="s">
        <v>74</v>
      </c>
      <c r="AB844" t="s">
        <v>74</v>
      </c>
      <c r="AC844" t="s">
        <v>74</v>
      </c>
      <c r="AD844" t="s">
        <v>74</v>
      </c>
      <c r="AE844" t="s">
        <v>74</v>
      </c>
      <c r="AF844" t="s">
        <v>74</v>
      </c>
      <c r="AG844">
        <v>18</v>
      </c>
      <c r="AH844">
        <v>0</v>
      </c>
      <c r="AI844">
        <v>0</v>
      </c>
      <c r="AJ844">
        <v>0</v>
      </c>
      <c r="AK844">
        <v>0</v>
      </c>
      <c r="AL844" t="s">
        <v>90</v>
      </c>
      <c r="AM844" t="s">
        <v>91</v>
      </c>
      <c r="AN844" t="s">
        <v>92</v>
      </c>
      <c r="AO844" t="s">
        <v>15282</v>
      </c>
      <c r="AP844" t="s">
        <v>15283</v>
      </c>
      <c r="AQ844" t="s">
        <v>74</v>
      </c>
      <c r="AR844" t="s">
        <v>15284</v>
      </c>
      <c r="AS844" t="s">
        <v>15285</v>
      </c>
      <c r="AT844" t="s">
        <v>13744</v>
      </c>
      <c r="AU844">
        <v>2023</v>
      </c>
      <c r="AV844">
        <v>227</v>
      </c>
      <c r="AW844" t="s">
        <v>74</v>
      </c>
      <c r="AX844" t="s">
        <v>74</v>
      </c>
      <c r="AY844" t="s">
        <v>74</v>
      </c>
      <c r="AZ844" t="s">
        <v>74</v>
      </c>
      <c r="BA844" t="s">
        <v>74</v>
      </c>
      <c r="BB844" t="s">
        <v>74</v>
      </c>
      <c r="BC844" t="s">
        <v>74</v>
      </c>
      <c r="BD844">
        <v>107044</v>
      </c>
      <c r="BE844" t="s">
        <v>15286</v>
      </c>
      <c r="BF844" t="str">
        <f>HYPERLINK("http://dx.doi.org/10.1016/j.smallrumres.2023.107044","http://dx.doi.org/10.1016/j.smallrumres.2023.107044")</f>
        <v>http://dx.doi.org/10.1016/j.smallrumres.2023.107044</v>
      </c>
      <c r="BG844" t="s">
        <v>74</v>
      </c>
      <c r="BH844" t="s">
        <v>74</v>
      </c>
      <c r="BI844">
        <v>3</v>
      </c>
      <c r="BJ844" t="s">
        <v>14085</v>
      </c>
      <c r="BK844" t="s">
        <v>100</v>
      </c>
      <c r="BL844" t="s">
        <v>3447</v>
      </c>
      <c r="BM844" t="s">
        <v>15287</v>
      </c>
      <c r="BN844" t="s">
        <v>74</v>
      </c>
      <c r="BO844" t="s">
        <v>74</v>
      </c>
      <c r="BP844" t="s">
        <v>74</v>
      </c>
      <c r="BQ844" t="s">
        <v>74</v>
      </c>
      <c r="BR844" t="s">
        <v>104</v>
      </c>
      <c r="BS844" t="s">
        <v>15288</v>
      </c>
      <c r="BT844" t="str">
        <f>HYPERLINK("https%3A%2F%2Fwww.webofscience.com%2Fwos%2Fwoscc%2Ffull-record%2FWOS:001053041500001","View Full Record in Web of Science")</f>
        <v>View Full Record in Web of Science</v>
      </c>
    </row>
    <row r="845" spans="1:72" x14ac:dyDescent="0.15">
      <c r="A845" t="s">
        <v>72</v>
      </c>
      <c r="B845" t="s">
        <v>15289</v>
      </c>
      <c r="C845" t="s">
        <v>74</v>
      </c>
      <c r="D845" t="s">
        <v>74</v>
      </c>
      <c r="E845" t="s">
        <v>74</v>
      </c>
      <c r="F845" t="s">
        <v>15290</v>
      </c>
      <c r="G845" t="s">
        <v>74</v>
      </c>
      <c r="H845" t="s">
        <v>74</v>
      </c>
      <c r="I845" t="s">
        <v>15291</v>
      </c>
      <c r="J845" t="s">
        <v>11084</v>
      </c>
      <c r="K845" t="s">
        <v>74</v>
      </c>
      <c r="L845" t="s">
        <v>74</v>
      </c>
      <c r="M845" t="s">
        <v>78</v>
      </c>
      <c r="N845" t="s">
        <v>79</v>
      </c>
      <c r="O845" t="s">
        <v>74</v>
      </c>
      <c r="P845" t="s">
        <v>74</v>
      </c>
      <c r="Q845" t="s">
        <v>74</v>
      </c>
      <c r="R845" t="s">
        <v>74</v>
      </c>
      <c r="S845" t="s">
        <v>74</v>
      </c>
      <c r="T845" t="s">
        <v>15292</v>
      </c>
      <c r="U845" t="s">
        <v>15293</v>
      </c>
      <c r="V845" t="s">
        <v>15294</v>
      </c>
      <c r="W845" t="s">
        <v>15295</v>
      </c>
      <c r="X845" t="s">
        <v>3010</v>
      </c>
      <c r="Y845" t="s">
        <v>15296</v>
      </c>
      <c r="Z845" t="s">
        <v>15297</v>
      </c>
      <c r="AA845" t="s">
        <v>74</v>
      </c>
      <c r="AB845" t="s">
        <v>74</v>
      </c>
      <c r="AC845" t="s">
        <v>15298</v>
      </c>
      <c r="AD845" t="s">
        <v>15299</v>
      </c>
      <c r="AE845" t="s">
        <v>15300</v>
      </c>
      <c r="AF845" t="s">
        <v>74</v>
      </c>
      <c r="AG845">
        <v>50</v>
      </c>
      <c r="AH845">
        <v>0</v>
      </c>
      <c r="AI845">
        <v>0</v>
      </c>
      <c r="AJ845">
        <v>5</v>
      </c>
      <c r="AK845">
        <v>5</v>
      </c>
      <c r="AL845" t="s">
        <v>173</v>
      </c>
      <c r="AM845" t="s">
        <v>121</v>
      </c>
      <c r="AN845" t="s">
        <v>174</v>
      </c>
      <c r="AO845" t="s">
        <v>11092</v>
      </c>
      <c r="AP845" t="s">
        <v>11093</v>
      </c>
      <c r="AQ845" t="s">
        <v>74</v>
      </c>
      <c r="AR845" t="s">
        <v>11094</v>
      </c>
      <c r="AS845" t="s">
        <v>11095</v>
      </c>
      <c r="AT845" t="s">
        <v>13744</v>
      </c>
      <c r="AU845">
        <v>2023</v>
      </c>
      <c r="AV845">
        <v>147</v>
      </c>
      <c r="AW845" t="s">
        <v>74</v>
      </c>
      <c r="AX845" t="s">
        <v>74</v>
      </c>
      <c r="AY845" t="s">
        <v>74</v>
      </c>
      <c r="AZ845" t="s">
        <v>74</v>
      </c>
      <c r="BA845" t="s">
        <v>74</v>
      </c>
      <c r="BB845" t="s">
        <v>74</v>
      </c>
      <c r="BC845" t="s">
        <v>74</v>
      </c>
      <c r="BD845">
        <v>106941</v>
      </c>
      <c r="BE845" t="s">
        <v>15301</v>
      </c>
      <c r="BF845" t="str">
        <f>HYPERLINK("http://dx.doi.org/10.1016/j.icheatmasstransfer.2023.106941","http://dx.doi.org/10.1016/j.icheatmasstransfer.2023.106941")</f>
        <v>http://dx.doi.org/10.1016/j.icheatmasstransfer.2023.106941</v>
      </c>
      <c r="BG845" t="s">
        <v>74</v>
      </c>
      <c r="BH845" t="s">
        <v>74</v>
      </c>
      <c r="BI845">
        <v>23</v>
      </c>
      <c r="BJ845" t="s">
        <v>11097</v>
      </c>
      <c r="BK845" t="s">
        <v>100</v>
      </c>
      <c r="BL845" t="s">
        <v>11097</v>
      </c>
      <c r="BM845" t="s">
        <v>15302</v>
      </c>
      <c r="BN845" t="s">
        <v>74</v>
      </c>
      <c r="BO845" t="s">
        <v>74</v>
      </c>
      <c r="BP845" t="s">
        <v>74</v>
      </c>
      <c r="BQ845" t="s">
        <v>74</v>
      </c>
      <c r="BR845" t="s">
        <v>104</v>
      </c>
      <c r="BS845" t="s">
        <v>15303</v>
      </c>
      <c r="BT845" t="str">
        <f>HYPERLINK("https%3A%2F%2Fwww.webofscience.com%2Fwos%2Fwoscc%2Ffull-record%2FWOS:001055496400001","View Full Record in Web of Science")</f>
        <v>View Full Record in Web of Science</v>
      </c>
    </row>
    <row r="846" spans="1:72" x14ac:dyDescent="0.15">
      <c r="A846" t="s">
        <v>72</v>
      </c>
      <c r="B846" t="s">
        <v>15304</v>
      </c>
      <c r="C846" t="s">
        <v>74</v>
      </c>
      <c r="D846" t="s">
        <v>74</v>
      </c>
      <c r="E846" t="s">
        <v>74</v>
      </c>
      <c r="F846" t="s">
        <v>15305</v>
      </c>
      <c r="G846" t="s">
        <v>74</v>
      </c>
      <c r="H846" t="s">
        <v>74</v>
      </c>
      <c r="I846" t="s">
        <v>15306</v>
      </c>
      <c r="J846" t="s">
        <v>5514</v>
      </c>
      <c r="K846" t="s">
        <v>74</v>
      </c>
      <c r="L846" t="s">
        <v>74</v>
      </c>
      <c r="M846" t="s">
        <v>78</v>
      </c>
      <c r="N846" t="s">
        <v>79</v>
      </c>
      <c r="O846" t="s">
        <v>74</v>
      </c>
      <c r="P846" t="s">
        <v>74</v>
      </c>
      <c r="Q846" t="s">
        <v>74</v>
      </c>
      <c r="R846" t="s">
        <v>74</v>
      </c>
      <c r="S846" t="s">
        <v>74</v>
      </c>
      <c r="T846" t="s">
        <v>15307</v>
      </c>
      <c r="U846" t="s">
        <v>15308</v>
      </c>
      <c r="V846" t="s">
        <v>15309</v>
      </c>
      <c r="W846" t="s">
        <v>15310</v>
      </c>
      <c r="X846" t="s">
        <v>15311</v>
      </c>
      <c r="Y846" t="s">
        <v>15312</v>
      </c>
      <c r="Z846" t="s">
        <v>15313</v>
      </c>
      <c r="AA846" t="s">
        <v>74</v>
      </c>
      <c r="AB846" t="s">
        <v>74</v>
      </c>
      <c r="AC846" t="s">
        <v>15314</v>
      </c>
      <c r="AD846" t="s">
        <v>15315</v>
      </c>
      <c r="AE846" t="s">
        <v>15316</v>
      </c>
      <c r="AF846" t="s">
        <v>74</v>
      </c>
      <c r="AG846">
        <v>81</v>
      </c>
      <c r="AH846">
        <v>0</v>
      </c>
      <c r="AI846">
        <v>0</v>
      </c>
      <c r="AJ846">
        <v>2</v>
      </c>
      <c r="AK846">
        <v>2</v>
      </c>
      <c r="AL846" t="s">
        <v>90</v>
      </c>
      <c r="AM846" t="s">
        <v>91</v>
      </c>
      <c r="AN846" t="s">
        <v>92</v>
      </c>
      <c r="AO846" t="s">
        <v>5524</v>
      </c>
      <c r="AP846" t="s">
        <v>5525</v>
      </c>
      <c r="AQ846" t="s">
        <v>74</v>
      </c>
      <c r="AR846" t="s">
        <v>5514</v>
      </c>
      <c r="AS846" t="s">
        <v>5526</v>
      </c>
      <c r="AT846" t="s">
        <v>13744</v>
      </c>
      <c r="AU846">
        <v>2023</v>
      </c>
      <c r="AV846">
        <v>454</v>
      </c>
      <c r="AW846" t="s">
        <v>74</v>
      </c>
      <c r="AX846" t="s">
        <v>74</v>
      </c>
      <c r="AY846" t="s">
        <v>74</v>
      </c>
      <c r="AZ846" t="s">
        <v>74</v>
      </c>
      <c r="BA846" t="s">
        <v>74</v>
      </c>
      <c r="BB846" t="s">
        <v>74</v>
      </c>
      <c r="BC846" t="s">
        <v>74</v>
      </c>
      <c r="BD846">
        <v>107283</v>
      </c>
      <c r="BE846" t="s">
        <v>15317</v>
      </c>
      <c r="BF846" t="str">
        <f>HYPERLINK("http://dx.doi.org/10.1016/j.lithos.2023.107283","http://dx.doi.org/10.1016/j.lithos.2023.107283")</f>
        <v>http://dx.doi.org/10.1016/j.lithos.2023.107283</v>
      </c>
      <c r="BG846" t="s">
        <v>74</v>
      </c>
      <c r="BH846" t="s">
        <v>74</v>
      </c>
      <c r="BI846">
        <v>14</v>
      </c>
      <c r="BJ846" t="s">
        <v>5528</v>
      </c>
      <c r="BK846" t="s">
        <v>100</v>
      </c>
      <c r="BL846" t="s">
        <v>5528</v>
      </c>
      <c r="BM846" t="s">
        <v>15318</v>
      </c>
      <c r="BN846" t="s">
        <v>74</v>
      </c>
      <c r="BO846" t="s">
        <v>74</v>
      </c>
      <c r="BP846" t="s">
        <v>74</v>
      </c>
      <c r="BQ846" t="s">
        <v>74</v>
      </c>
      <c r="BR846" t="s">
        <v>104</v>
      </c>
      <c r="BS846" t="s">
        <v>15319</v>
      </c>
      <c r="BT846" t="str">
        <f>HYPERLINK("https%3A%2F%2Fwww.webofscience.com%2Fwos%2Fwoscc%2Ffull-record%2FWOS:001045762200001","View Full Record in Web of Science")</f>
        <v>View Full Record in Web of Science</v>
      </c>
    </row>
    <row r="847" spans="1:72" x14ac:dyDescent="0.15">
      <c r="A847" t="s">
        <v>72</v>
      </c>
      <c r="B847" t="s">
        <v>15320</v>
      </c>
      <c r="C847" t="s">
        <v>74</v>
      </c>
      <c r="D847" t="s">
        <v>74</v>
      </c>
      <c r="E847" t="s">
        <v>74</v>
      </c>
      <c r="F847" t="s">
        <v>15321</v>
      </c>
      <c r="G847" t="s">
        <v>74</v>
      </c>
      <c r="H847" t="s">
        <v>74</v>
      </c>
      <c r="I847" t="s">
        <v>15322</v>
      </c>
      <c r="J847" t="s">
        <v>15323</v>
      </c>
      <c r="K847" t="s">
        <v>74</v>
      </c>
      <c r="L847" t="s">
        <v>74</v>
      </c>
      <c r="M847" t="s">
        <v>78</v>
      </c>
      <c r="N847" t="s">
        <v>79</v>
      </c>
      <c r="O847" t="s">
        <v>74</v>
      </c>
      <c r="P847" t="s">
        <v>74</v>
      </c>
      <c r="Q847" t="s">
        <v>74</v>
      </c>
      <c r="R847" t="s">
        <v>74</v>
      </c>
      <c r="S847" t="s">
        <v>74</v>
      </c>
      <c r="T847" t="s">
        <v>15324</v>
      </c>
      <c r="U847" t="s">
        <v>15325</v>
      </c>
      <c r="V847" t="s">
        <v>15326</v>
      </c>
      <c r="W847" t="s">
        <v>15327</v>
      </c>
      <c r="X847" t="s">
        <v>15328</v>
      </c>
      <c r="Y847" t="s">
        <v>15329</v>
      </c>
      <c r="Z847" t="s">
        <v>15330</v>
      </c>
      <c r="AA847" t="s">
        <v>74</v>
      </c>
      <c r="AB847" t="s">
        <v>74</v>
      </c>
      <c r="AC847" t="s">
        <v>15331</v>
      </c>
      <c r="AD847" t="s">
        <v>15332</v>
      </c>
      <c r="AE847" t="s">
        <v>15333</v>
      </c>
      <c r="AF847" t="s">
        <v>74</v>
      </c>
      <c r="AG847">
        <v>57</v>
      </c>
      <c r="AH847">
        <v>0</v>
      </c>
      <c r="AI847">
        <v>0</v>
      </c>
      <c r="AJ847">
        <v>14</v>
      </c>
      <c r="AK847">
        <v>14</v>
      </c>
      <c r="AL847" t="s">
        <v>120</v>
      </c>
      <c r="AM847" t="s">
        <v>121</v>
      </c>
      <c r="AN847" t="s">
        <v>122</v>
      </c>
      <c r="AO847" t="s">
        <v>15334</v>
      </c>
      <c r="AP847" t="s">
        <v>15335</v>
      </c>
      <c r="AQ847" t="s">
        <v>74</v>
      </c>
      <c r="AR847" t="s">
        <v>15323</v>
      </c>
      <c r="AS847" t="s">
        <v>15336</v>
      </c>
      <c r="AT847" t="s">
        <v>13744</v>
      </c>
      <c r="AU847">
        <v>2023</v>
      </c>
      <c r="AV847">
        <v>141</v>
      </c>
      <c r="AW847" t="s">
        <v>74</v>
      </c>
      <c r="AX847" t="s">
        <v>74</v>
      </c>
      <c r="AY847" t="s">
        <v>74</v>
      </c>
      <c r="AZ847" t="s">
        <v>74</v>
      </c>
      <c r="BA847" t="s">
        <v>74</v>
      </c>
      <c r="BB847" t="s">
        <v>74</v>
      </c>
      <c r="BC847" t="s">
        <v>74</v>
      </c>
      <c r="BD847">
        <v>104506</v>
      </c>
      <c r="BE847" t="s">
        <v>15337</v>
      </c>
      <c r="BF847" t="str">
        <f>HYPERLINK("http://dx.doi.org/10.1016/j.cities.2023.104506","http://dx.doi.org/10.1016/j.cities.2023.104506")</f>
        <v>http://dx.doi.org/10.1016/j.cities.2023.104506</v>
      </c>
      <c r="BG847" t="s">
        <v>74</v>
      </c>
      <c r="BH847" t="s">
        <v>74</v>
      </c>
      <c r="BI847">
        <v>14</v>
      </c>
      <c r="BJ847" t="s">
        <v>15338</v>
      </c>
      <c r="BK847" t="s">
        <v>627</v>
      </c>
      <c r="BL847" t="s">
        <v>15338</v>
      </c>
      <c r="BM847" t="s">
        <v>15339</v>
      </c>
      <c r="BN847" t="s">
        <v>74</v>
      </c>
      <c r="BO847" t="s">
        <v>74</v>
      </c>
      <c r="BP847" t="s">
        <v>74</v>
      </c>
      <c r="BQ847" t="s">
        <v>74</v>
      </c>
      <c r="BR847" t="s">
        <v>104</v>
      </c>
      <c r="BS847" t="s">
        <v>15340</v>
      </c>
      <c r="BT847" t="str">
        <f>HYPERLINK("https%3A%2F%2Fwww.webofscience.com%2Fwos%2Fwoscc%2Ffull-record%2FWOS:001047496200001","View Full Record in Web of Science")</f>
        <v>View Full Record in Web of Science</v>
      </c>
    </row>
    <row r="848" spans="1:72" x14ac:dyDescent="0.15">
      <c r="A848" t="s">
        <v>72</v>
      </c>
      <c r="B848" t="s">
        <v>15341</v>
      </c>
      <c r="C848" t="s">
        <v>74</v>
      </c>
      <c r="D848" t="s">
        <v>74</v>
      </c>
      <c r="E848" t="s">
        <v>74</v>
      </c>
      <c r="F848" t="s">
        <v>15342</v>
      </c>
      <c r="G848" t="s">
        <v>74</v>
      </c>
      <c r="H848" t="s">
        <v>74</v>
      </c>
      <c r="I848" t="s">
        <v>15343</v>
      </c>
      <c r="J848" t="s">
        <v>15344</v>
      </c>
      <c r="K848" t="s">
        <v>74</v>
      </c>
      <c r="L848" t="s">
        <v>74</v>
      </c>
      <c r="M848" t="s">
        <v>78</v>
      </c>
      <c r="N848" t="s">
        <v>79</v>
      </c>
      <c r="O848" t="s">
        <v>74</v>
      </c>
      <c r="P848" t="s">
        <v>74</v>
      </c>
      <c r="Q848" t="s">
        <v>74</v>
      </c>
      <c r="R848" t="s">
        <v>74</v>
      </c>
      <c r="S848" t="s">
        <v>74</v>
      </c>
      <c r="T848" t="s">
        <v>15345</v>
      </c>
      <c r="U848" t="s">
        <v>15346</v>
      </c>
      <c r="V848" t="s">
        <v>15347</v>
      </c>
      <c r="W848" t="s">
        <v>15348</v>
      </c>
      <c r="X848" t="s">
        <v>15349</v>
      </c>
      <c r="Y848" t="s">
        <v>15350</v>
      </c>
      <c r="Z848" t="s">
        <v>15351</v>
      </c>
      <c r="AA848" t="s">
        <v>15352</v>
      </c>
      <c r="AB848" t="s">
        <v>15353</v>
      </c>
      <c r="AC848" t="s">
        <v>15354</v>
      </c>
      <c r="AD848" t="s">
        <v>11000</v>
      </c>
      <c r="AE848" t="s">
        <v>15355</v>
      </c>
      <c r="AF848" t="s">
        <v>74</v>
      </c>
      <c r="AG848">
        <v>61</v>
      </c>
      <c r="AH848">
        <v>0</v>
      </c>
      <c r="AI848">
        <v>0</v>
      </c>
      <c r="AJ848">
        <v>8</v>
      </c>
      <c r="AK848">
        <v>8</v>
      </c>
      <c r="AL848" t="s">
        <v>120</v>
      </c>
      <c r="AM848" t="s">
        <v>121</v>
      </c>
      <c r="AN848" t="s">
        <v>122</v>
      </c>
      <c r="AO848" t="s">
        <v>15356</v>
      </c>
      <c r="AP848" t="s">
        <v>15357</v>
      </c>
      <c r="AQ848" t="s">
        <v>74</v>
      </c>
      <c r="AR848" t="s">
        <v>15358</v>
      </c>
      <c r="AS848" t="s">
        <v>15359</v>
      </c>
      <c r="AT848" t="s">
        <v>13744</v>
      </c>
      <c r="AU848">
        <v>2023</v>
      </c>
      <c r="AV848">
        <v>173</v>
      </c>
      <c r="AW848" t="s">
        <v>74</v>
      </c>
      <c r="AX848" t="s">
        <v>74</v>
      </c>
      <c r="AY848" t="s">
        <v>74</v>
      </c>
      <c r="AZ848" t="s">
        <v>74</v>
      </c>
      <c r="BA848" t="s">
        <v>74</v>
      </c>
      <c r="BB848" t="s">
        <v>74</v>
      </c>
      <c r="BC848" t="s">
        <v>74</v>
      </c>
      <c r="BD848">
        <v>107694</v>
      </c>
      <c r="BE848" t="s">
        <v>15360</v>
      </c>
      <c r="BF848" t="str">
        <f>HYPERLINK("http://dx.doi.org/10.1016/j.compositesa.2023.107694","http://dx.doi.org/10.1016/j.compositesa.2023.107694")</f>
        <v>http://dx.doi.org/10.1016/j.compositesa.2023.107694</v>
      </c>
      <c r="BG848" t="s">
        <v>74</v>
      </c>
      <c r="BH848" t="s">
        <v>74</v>
      </c>
      <c r="BI848">
        <v>11</v>
      </c>
      <c r="BJ848" t="s">
        <v>15361</v>
      </c>
      <c r="BK848" t="s">
        <v>100</v>
      </c>
      <c r="BL848" t="s">
        <v>156</v>
      </c>
      <c r="BM848" t="s">
        <v>15362</v>
      </c>
      <c r="BN848" t="s">
        <v>74</v>
      </c>
      <c r="BO848" t="s">
        <v>74</v>
      </c>
      <c r="BP848" t="s">
        <v>74</v>
      </c>
      <c r="BQ848" t="s">
        <v>74</v>
      </c>
      <c r="BR848" t="s">
        <v>104</v>
      </c>
      <c r="BS848" t="s">
        <v>15363</v>
      </c>
      <c r="BT848" t="str">
        <f>HYPERLINK("https%3A%2F%2Fwww.webofscience.com%2Fwos%2Fwoscc%2Ffull-record%2FWOS:001058527500001","View Full Record in Web of Science")</f>
        <v>View Full Record in Web of Science</v>
      </c>
    </row>
    <row r="849" spans="1:72" x14ac:dyDescent="0.15">
      <c r="A849" t="s">
        <v>72</v>
      </c>
      <c r="B849" t="s">
        <v>15364</v>
      </c>
      <c r="C849" t="s">
        <v>74</v>
      </c>
      <c r="D849" t="s">
        <v>74</v>
      </c>
      <c r="E849" t="s">
        <v>74</v>
      </c>
      <c r="F849" t="s">
        <v>15365</v>
      </c>
      <c r="G849" t="s">
        <v>74</v>
      </c>
      <c r="H849" t="s">
        <v>74</v>
      </c>
      <c r="I849" t="s">
        <v>15366</v>
      </c>
      <c r="J849" t="s">
        <v>15367</v>
      </c>
      <c r="K849" t="s">
        <v>74</v>
      </c>
      <c r="L849" t="s">
        <v>74</v>
      </c>
      <c r="M849" t="s">
        <v>78</v>
      </c>
      <c r="N849" t="s">
        <v>79</v>
      </c>
      <c r="O849" t="s">
        <v>74</v>
      </c>
      <c r="P849" t="s">
        <v>74</v>
      </c>
      <c r="Q849" t="s">
        <v>74</v>
      </c>
      <c r="R849" t="s">
        <v>74</v>
      </c>
      <c r="S849" t="s">
        <v>74</v>
      </c>
      <c r="T849" t="s">
        <v>15368</v>
      </c>
      <c r="U849" t="s">
        <v>74</v>
      </c>
      <c r="V849" t="s">
        <v>15369</v>
      </c>
      <c r="W849" t="s">
        <v>15370</v>
      </c>
      <c r="X849" t="s">
        <v>15371</v>
      </c>
      <c r="Y849" t="s">
        <v>15372</v>
      </c>
      <c r="Z849" t="s">
        <v>15373</v>
      </c>
      <c r="AA849" t="s">
        <v>74</v>
      </c>
      <c r="AB849" t="s">
        <v>74</v>
      </c>
      <c r="AC849" t="s">
        <v>74</v>
      </c>
      <c r="AD849" t="s">
        <v>74</v>
      </c>
      <c r="AE849" t="s">
        <v>74</v>
      </c>
      <c r="AF849" t="s">
        <v>74</v>
      </c>
      <c r="AG849">
        <v>18</v>
      </c>
      <c r="AH849">
        <v>0</v>
      </c>
      <c r="AI849">
        <v>0</v>
      </c>
      <c r="AJ849">
        <v>0</v>
      </c>
      <c r="AK849">
        <v>0</v>
      </c>
      <c r="AL849" t="s">
        <v>90</v>
      </c>
      <c r="AM849" t="s">
        <v>91</v>
      </c>
      <c r="AN849" t="s">
        <v>92</v>
      </c>
      <c r="AO849" t="s">
        <v>15374</v>
      </c>
      <c r="AP849" t="s">
        <v>15375</v>
      </c>
      <c r="AQ849" t="s">
        <v>74</v>
      </c>
      <c r="AR849" t="s">
        <v>15376</v>
      </c>
      <c r="AS849" t="s">
        <v>15377</v>
      </c>
      <c r="AT849" t="s">
        <v>15378</v>
      </c>
      <c r="AU849">
        <v>2023</v>
      </c>
      <c r="AV849">
        <v>174</v>
      </c>
      <c r="AW849">
        <v>9</v>
      </c>
      <c r="AX849" t="s">
        <v>74</v>
      </c>
      <c r="AY849" t="s">
        <v>74</v>
      </c>
      <c r="AZ849" t="s">
        <v>74</v>
      </c>
      <c r="BA849" t="s">
        <v>74</v>
      </c>
      <c r="BB849" t="s">
        <v>74</v>
      </c>
      <c r="BC849" t="s">
        <v>74</v>
      </c>
      <c r="BD849">
        <v>103302</v>
      </c>
      <c r="BE849" t="s">
        <v>15379</v>
      </c>
      <c r="BF849" t="str">
        <f>HYPERLINK("http://dx.doi.org/10.1016/j.apal.2023.103302","http://dx.doi.org/10.1016/j.apal.2023.103302")</f>
        <v>http://dx.doi.org/10.1016/j.apal.2023.103302</v>
      </c>
      <c r="BG849" t="s">
        <v>74</v>
      </c>
      <c r="BH849" t="s">
        <v>74</v>
      </c>
      <c r="BI849">
        <v>19</v>
      </c>
      <c r="BJ849" t="s">
        <v>15380</v>
      </c>
      <c r="BK849" t="s">
        <v>100</v>
      </c>
      <c r="BL849" t="s">
        <v>15381</v>
      </c>
      <c r="BM849" t="s">
        <v>15382</v>
      </c>
      <c r="BN849" t="s">
        <v>74</v>
      </c>
      <c r="BO849" t="s">
        <v>103</v>
      </c>
      <c r="BP849" t="s">
        <v>74</v>
      </c>
      <c r="BQ849" t="s">
        <v>74</v>
      </c>
      <c r="BR849" t="s">
        <v>104</v>
      </c>
      <c r="BS849" t="s">
        <v>15383</v>
      </c>
      <c r="BT849" t="str">
        <f>HYPERLINK("https%3A%2F%2Fwww.webofscience.com%2Fwos%2Fwoscc%2Ffull-record%2FWOS:001053509400001","View Full Record in Web of Science")</f>
        <v>View Full Record in Web of Science</v>
      </c>
    </row>
    <row r="850" spans="1:72" x14ac:dyDescent="0.15">
      <c r="A850" t="s">
        <v>72</v>
      </c>
      <c r="B850" t="s">
        <v>15384</v>
      </c>
      <c r="C850" t="s">
        <v>74</v>
      </c>
      <c r="D850" t="s">
        <v>74</v>
      </c>
      <c r="E850" t="s">
        <v>74</v>
      </c>
      <c r="F850" t="s">
        <v>15385</v>
      </c>
      <c r="G850" t="s">
        <v>74</v>
      </c>
      <c r="H850" t="s">
        <v>74</v>
      </c>
      <c r="I850" t="s">
        <v>15386</v>
      </c>
      <c r="J850" t="s">
        <v>15387</v>
      </c>
      <c r="K850" t="s">
        <v>74</v>
      </c>
      <c r="L850" t="s">
        <v>74</v>
      </c>
      <c r="M850" t="s">
        <v>78</v>
      </c>
      <c r="N850" t="s">
        <v>79</v>
      </c>
      <c r="O850" t="s">
        <v>74</v>
      </c>
      <c r="P850" t="s">
        <v>74</v>
      </c>
      <c r="Q850" t="s">
        <v>74</v>
      </c>
      <c r="R850" t="s">
        <v>74</v>
      </c>
      <c r="S850" t="s">
        <v>74</v>
      </c>
      <c r="T850" t="s">
        <v>15388</v>
      </c>
      <c r="U850" t="s">
        <v>15389</v>
      </c>
      <c r="V850" t="s">
        <v>15390</v>
      </c>
      <c r="W850" t="s">
        <v>15391</v>
      </c>
      <c r="X850" t="s">
        <v>15392</v>
      </c>
      <c r="Y850" t="s">
        <v>15393</v>
      </c>
      <c r="Z850" t="s">
        <v>15394</v>
      </c>
      <c r="AA850" t="s">
        <v>74</v>
      </c>
      <c r="AB850" t="s">
        <v>74</v>
      </c>
      <c r="AC850" t="s">
        <v>74</v>
      </c>
      <c r="AD850" t="s">
        <v>74</v>
      </c>
      <c r="AE850" t="s">
        <v>74</v>
      </c>
      <c r="AF850" t="s">
        <v>74</v>
      </c>
      <c r="AG850">
        <v>60</v>
      </c>
      <c r="AH850">
        <v>0</v>
      </c>
      <c r="AI850">
        <v>0</v>
      </c>
      <c r="AJ850">
        <v>0</v>
      </c>
      <c r="AK850">
        <v>0</v>
      </c>
      <c r="AL850" t="s">
        <v>90</v>
      </c>
      <c r="AM850" t="s">
        <v>91</v>
      </c>
      <c r="AN850" t="s">
        <v>92</v>
      </c>
      <c r="AO850" t="s">
        <v>15395</v>
      </c>
      <c r="AP850" t="s">
        <v>74</v>
      </c>
      <c r="AQ850" t="s">
        <v>74</v>
      </c>
      <c r="AR850" t="s">
        <v>15396</v>
      </c>
      <c r="AS850" t="s">
        <v>15397</v>
      </c>
      <c r="AT850" t="s">
        <v>13744</v>
      </c>
      <c r="AU850">
        <v>2023</v>
      </c>
      <c r="AV850">
        <v>12</v>
      </c>
      <c r="AW850" t="s">
        <v>74</v>
      </c>
      <c r="AX850" t="s">
        <v>74</v>
      </c>
      <c r="AY850" t="s">
        <v>74</v>
      </c>
      <c r="AZ850" t="s">
        <v>74</v>
      </c>
      <c r="BA850" t="s">
        <v>74</v>
      </c>
      <c r="BB850" t="s">
        <v>74</v>
      </c>
      <c r="BC850" t="s">
        <v>74</v>
      </c>
      <c r="BD850">
        <v>100114</v>
      </c>
      <c r="BE850" t="s">
        <v>15398</v>
      </c>
      <c r="BF850" t="str">
        <f>HYPERLINK("http://dx.doi.org/10.1016/j.qsa.2023.100114","http://dx.doi.org/10.1016/j.qsa.2023.100114")</f>
        <v>http://dx.doi.org/10.1016/j.qsa.2023.100114</v>
      </c>
      <c r="BG850" t="s">
        <v>74</v>
      </c>
      <c r="BH850" t="s">
        <v>74</v>
      </c>
      <c r="BI850">
        <v>10</v>
      </c>
      <c r="BJ850" t="s">
        <v>15399</v>
      </c>
      <c r="BK850" t="s">
        <v>1850</v>
      </c>
      <c r="BL850" t="s">
        <v>15400</v>
      </c>
      <c r="BM850" t="s">
        <v>15401</v>
      </c>
      <c r="BN850" t="s">
        <v>74</v>
      </c>
      <c r="BO850" t="s">
        <v>295</v>
      </c>
      <c r="BP850" t="s">
        <v>74</v>
      </c>
      <c r="BQ850" t="s">
        <v>74</v>
      </c>
      <c r="BR850" t="s">
        <v>104</v>
      </c>
      <c r="BS850" t="s">
        <v>15402</v>
      </c>
      <c r="BT850" t="str">
        <f>HYPERLINK("https%3A%2F%2Fwww.webofscience.com%2Fwos%2Fwoscc%2Ffull-record%2FWOS:001065569000001","View Full Record in Web of Science")</f>
        <v>View Full Record in Web of Science</v>
      </c>
    </row>
    <row r="851" spans="1:72" x14ac:dyDescent="0.15">
      <c r="A851" t="s">
        <v>72</v>
      </c>
      <c r="B851" t="s">
        <v>15403</v>
      </c>
      <c r="C851" t="s">
        <v>74</v>
      </c>
      <c r="D851" t="s">
        <v>74</v>
      </c>
      <c r="E851" t="s">
        <v>74</v>
      </c>
      <c r="F851" t="s">
        <v>15404</v>
      </c>
      <c r="G851" t="s">
        <v>74</v>
      </c>
      <c r="H851" t="s">
        <v>74</v>
      </c>
      <c r="I851" t="s">
        <v>15405</v>
      </c>
      <c r="J851" t="s">
        <v>15406</v>
      </c>
      <c r="K851" t="s">
        <v>74</v>
      </c>
      <c r="L851" t="s">
        <v>74</v>
      </c>
      <c r="M851" t="s">
        <v>78</v>
      </c>
      <c r="N851" t="s">
        <v>79</v>
      </c>
      <c r="O851" t="s">
        <v>74</v>
      </c>
      <c r="P851" t="s">
        <v>74</v>
      </c>
      <c r="Q851" t="s">
        <v>74</v>
      </c>
      <c r="R851" t="s">
        <v>74</v>
      </c>
      <c r="S851" t="s">
        <v>74</v>
      </c>
      <c r="T851" t="s">
        <v>15407</v>
      </c>
      <c r="U851" t="s">
        <v>15408</v>
      </c>
      <c r="V851" t="s">
        <v>15409</v>
      </c>
      <c r="W851" t="s">
        <v>15410</v>
      </c>
      <c r="X851" t="s">
        <v>15411</v>
      </c>
      <c r="Y851" t="s">
        <v>15412</v>
      </c>
      <c r="Z851" t="s">
        <v>15413</v>
      </c>
      <c r="AA851" t="s">
        <v>74</v>
      </c>
      <c r="AB851" t="s">
        <v>15414</v>
      </c>
      <c r="AC851" t="s">
        <v>15415</v>
      </c>
      <c r="AD851" t="s">
        <v>15416</v>
      </c>
      <c r="AE851" t="s">
        <v>15417</v>
      </c>
      <c r="AF851" t="s">
        <v>74</v>
      </c>
      <c r="AG851">
        <v>73</v>
      </c>
      <c r="AH851">
        <v>0</v>
      </c>
      <c r="AI851">
        <v>0</v>
      </c>
      <c r="AJ851">
        <v>0</v>
      </c>
      <c r="AK851">
        <v>0</v>
      </c>
      <c r="AL851" t="s">
        <v>329</v>
      </c>
      <c r="AM851" t="s">
        <v>330</v>
      </c>
      <c r="AN851" t="s">
        <v>331</v>
      </c>
      <c r="AO851" t="s">
        <v>15418</v>
      </c>
      <c r="AP851" t="s">
        <v>15419</v>
      </c>
      <c r="AQ851" t="s">
        <v>74</v>
      </c>
      <c r="AR851" t="s">
        <v>15420</v>
      </c>
      <c r="AS851" t="s">
        <v>15421</v>
      </c>
      <c r="AT851" t="s">
        <v>13778</v>
      </c>
      <c r="AU851">
        <v>2023</v>
      </c>
      <c r="AV851">
        <v>251</v>
      </c>
      <c r="AW851" t="s">
        <v>74</v>
      </c>
      <c r="AX851" t="s">
        <v>74</v>
      </c>
      <c r="AY851" t="s">
        <v>74</v>
      </c>
      <c r="AZ851" t="s">
        <v>74</v>
      </c>
      <c r="BA851" t="s">
        <v>74</v>
      </c>
      <c r="BB851" t="s">
        <v>74</v>
      </c>
      <c r="BC851" t="s">
        <v>74</v>
      </c>
      <c r="BD851">
        <v>110918</v>
      </c>
      <c r="BE851" t="s">
        <v>15422</v>
      </c>
      <c r="BF851" t="str">
        <f>HYPERLINK("http://dx.doi.org/10.1016/j.drugalcdep.2023.110918","http://dx.doi.org/10.1016/j.drugalcdep.2023.110918")</f>
        <v>http://dx.doi.org/10.1016/j.drugalcdep.2023.110918</v>
      </c>
      <c r="BG851" t="s">
        <v>74</v>
      </c>
      <c r="BH851" t="s">
        <v>74</v>
      </c>
      <c r="BI851">
        <v>9</v>
      </c>
      <c r="BJ851" t="s">
        <v>15423</v>
      </c>
      <c r="BK851" t="s">
        <v>666</v>
      </c>
      <c r="BL851" t="s">
        <v>15423</v>
      </c>
      <c r="BM851" t="s">
        <v>15424</v>
      </c>
      <c r="BN851">
        <v>37611482</v>
      </c>
      <c r="BO851" t="s">
        <v>74</v>
      </c>
      <c r="BP851" t="s">
        <v>74</v>
      </c>
      <c r="BQ851" t="s">
        <v>74</v>
      </c>
      <c r="BR851" t="s">
        <v>104</v>
      </c>
      <c r="BS851" t="s">
        <v>15425</v>
      </c>
      <c r="BT851" t="str">
        <f>HYPERLINK("https%3A%2F%2Fwww.webofscience.com%2Fwos%2Fwoscc%2Ffull-record%2FWOS:001062981900001","View Full Record in Web of Science")</f>
        <v>View Full Record in Web of Science</v>
      </c>
    </row>
    <row r="852" spans="1:72" x14ac:dyDescent="0.15">
      <c r="A852" t="s">
        <v>72</v>
      </c>
      <c r="B852" t="s">
        <v>15426</v>
      </c>
      <c r="C852" t="s">
        <v>74</v>
      </c>
      <c r="D852" t="s">
        <v>74</v>
      </c>
      <c r="E852" t="s">
        <v>74</v>
      </c>
      <c r="F852" t="s">
        <v>15427</v>
      </c>
      <c r="G852" t="s">
        <v>74</v>
      </c>
      <c r="H852" t="s">
        <v>74</v>
      </c>
      <c r="I852" t="s">
        <v>15428</v>
      </c>
      <c r="J852" t="s">
        <v>15088</v>
      </c>
      <c r="K852" t="s">
        <v>74</v>
      </c>
      <c r="L852" t="s">
        <v>74</v>
      </c>
      <c r="M852" t="s">
        <v>78</v>
      </c>
      <c r="N852" t="s">
        <v>79</v>
      </c>
      <c r="O852" t="s">
        <v>74</v>
      </c>
      <c r="P852" t="s">
        <v>74</v>
      </c>
      <c r="Q852" t="s">
        <v>74</v>
      </c>
      <c r="R852" t="s">
        <v>74</v>
      </c>
      <c r="S852" t="s">
        <v>74</v>
      </c>
      <c r="T852" t="s">
        <v>15429</v>
      </c>
      <c r="U852" t="s">
        <v>15430</v>
      </c>
      <c r="V852" t="s">
        <v>15431</v>
      </c>
      <c r="W852" t="s">
        <v>15432</v>
      </c>
      <c r="X852" t="s">
        <v>15433</v>
      </c>
      <c r="Y852" t="s">
        <v>15434</v>
      </c>
      <c r="Z852" t="s">
        <v>15435</v>
      </c>
      <c r="AA852" t="s">
        <v>74</v>
      </c>
      <c r="AB852" t="s">
        <v>15436</v>
      </c>
      <c r="AC852" t="s">
        <v>15437</v>
      </c>
      <c r="AD852" t="s">
        <v>15438</v>
      </c>
      <c r="AE852" t="s">
        <v>15439</v>
      </c>
      <c r="AF852" t="s">
        <v>74</v>
      </c>
      <c r="AG852">
        <v>102</v>
      </c>
      <c r="AH852">
        <v>0</v>
      </c>
      <c r="AI852">
        <v>0</v>
      </c>
      <c r="AJ852">
        <v>2</v>
      </c>
      <c r="AK852">
        <v>2</v>
      </c>
      <c r="AL852" t="s">
        <v>9135</v>
      </c>
      <c r="AM852" t="s">
        <v>476</v>
      </c>
      <c r="AN852" t="s">
        <v>9136</v>
      </c>
      <c r="AO852" t="s">
        <v>74</v>
      </c>
      <c r="AP852" t="s">
        <v>15099</v>
      </c>
      <c r="AQ852" t="s">
        <v>74</v>
      </c>
      <c r="AR852" t="s">
        <v>15100</v>
      </c>
      <c r="AS852" t="s">
        <v>15101</v>
      </c>
      <c r="AT852" t="s">
        <v>13744</v>
      </c>
      <c r="AU852">
        <v>2023</v>
      </c>
      <c r="AV852">
        <v>35</v>
      </c>
      <c r="AW852" t="s">
        <v>74</v>
      </c>
      <c r="AX852" t="s">
        <v>74</v>
      </c>
      <c r="AY852" t="s">
        <v>74</v>
      </c>
      <c r="AZ852" t="s">
        <v>74</v>
      </c>
      <c r="BA852" t="s">
        <v>74</v>
      </c>
      <c r="BB852" t="s">
        <v>74</v>
      </c>
      <c r="BC852" t="s">
        <v>74</v>
      </c>
      <c r="BD852">
        <v>101167</v>
      </c>
      <c r="BE852" t="s">
        <v>15440</v>
      </c>
      <c r="BF852" t="str">
        <f>HYPERLINK("http://dx.doi.org/10.1016/j.conctc.2023.101167","http://dx.doi.org/10.1016/j.conctc.2023.101167")</f>
        <v>http://dx.doi.org/10.1016/j.conctc.2023.101167</v>
      </c>
      <c r="BG852" t="s">
        <v>74</v>
      </c>
      <c r="BH852" t="s">
        <v>74</v>
      </c>
      <c r="BI852">
        <v>9</v>
      </c>
      <c r="BJ852" t="s">
        <v>15103</v>
      </c>
      <c r="BK852" t="s">
        <v>1850</v>
      </c>
      <c r="BL852" t="s">
        <v>15104</v>
      </c>
      <c r="BM852" t="s">
        <v>15441</v>
      </c>
      <c r="BN852">
        <v>37538196</v>
      </c>
      <c r="BO852" t="s">
        <v>2583</v>
      </c>
      <c r="BP852" t="s">
        <v>74</v>
      </c>
      <c r="BQ852" t="s">
        <v>74</v>
      </c>
      <c r="BR852" t="s">
        <v>104</v>
      </c>
      <c r="BS852" t="s">
        <v>15442</v>
      </c>
      <c r="BT852" t="str">
        <f>HYPERLINK("https%3A%2F%2Fwww.webofscience.com%2Fwos%2Fwoscc%2Ffull-record%2FWOS:001048097900001","View Full Record in Web of Science")</f>
        <v>View Full Record in Web of Science</v>
      </c>
    </row>
    <row r="853" spans="1:72" x14ac:dyDescent="0.15">
      <c r="A853" t="s">
        <v>72</v>
      </c>
      <c r="B853" t="s">
        <v>15443</v>
      </c>
      <c r="C853" t="s">
        <v>74</v>
      </c>
      <c r="D853" t="s">
        <v>74</v>
      </c>
      <c r="E853" t="s">
        <v>74</v>
      </c>
      <c r="F853" t="s">
        <v>15444</v>
      </c>
      <c r="G853" t="s">
        <v>74</v>
      </c>
      <c r="H853" t="s">
        <v>74</v>
      </c>
      <c r="I853" t="s">
        <v>15445</v>
      </c>
      <c r="J853" t="s">
        <v>15446</v>
      </c>
      <c r="K853" t="s">
        <v>74</v>
      </c>
      <c r="L853" t="s">
        <v>74</v>
      </c>
      <c r="M853" t="s">
        <v>78</v>
      </c>
      <c r="N853" t="s">
        <v>79</v>
      </c>
      <c r="O853" t="s">
        <v>74</v>
      </c>
      <c r="P853" t="s">
        <v>74</v>
      </c>
      <c r="Q853" t="s">
        <v>74</v>
      </c>
      <c r="R853" t="s">
        <v>74</v>
      </c>
      <c r="S853" t="s">
        <v>74</v>
      </c>
      <c r="T853" t="s">
        <v>15447</v>
      </c>
      <c r="U853" t="s">
        <v>15448</v>
      </c>
      <c r="V853" t="s">
        <v>15449</v>
      </c>
      <c r="W853" t="s">
        <v>15450</v>
      </c>
      <c r="X853" t="s">
        <v>15451</v>
      </c>
      <c r="Y853" t="s">
        <v>15452</v>
      </c>
      <c r="Z853" t="s">
        <v>15453</v>
      </c>
      <c r="AA853" t="s">
        <v>74</v>
      </c>
      <c r="AB853" t="s">
        <v>74</v>
      </c>
      <c r="AC853" t="s">
        <v>74</v>
      </c>
      <c r="AD853" t="s">
        <v>74</v>
      </c>
      <c r="AE853" t="s">
        <v>74</v>
      </c>
      <c r="AF853" t="s">
        <v>74</v>
      </c>
      <c r="AG853">
        <v>46</v>
      </c>
      <c r="AH853">
        <v>0</v>
      </c>
      <c r="AI853">
        <v>0</v>
      </c>
      <c r="AJ853">
        <v>2</v>
      </c>
      <c r="AK853">
        <v>2</v>
      </c>
      <c r="AL853" t="s">
        <v>90</v>
      </c>
      <c r="AM853" t="s">
        <v>91</v>
      </c>
      <c r="AN853" t="s">
        <v>92</v>
      </c>
      <c r="AO853" t="s">
        <v>74</v>
      </c>
      <c r="AP853" t="s">
        <v>15454</v>
      </c>
      <c r="AQ853" t="s">
        <v>74</v>
      </c>
      <c r="AR853" t="s">
        <v>15455</v>
      </c>
      <c r="AS853" t="s">
        <v>15456</v>
      </c>
      <c r="AT853" t="s">
        <v>13744</v>
      </c>
      <c r="AU853">
        <v>2023</v>
      </c>
      <c r="AV853">
        <v>35</v>
      </c>
      <c r="AW853" t="s">
        <v>74</v>
      </c>
      <c r="AX853" t="s">
        <v>74</v>
      </c>
      <c r="AY853" t="s">
        <v>74</v>
      </c>
      <c r="AZ853" t="s">
        <v>74</v>
      </c>
      <c r="BA853" t="s">
        <v>74</v>
      </c>
      <c r="BB853" t="s">
        <v>74</v>
      </c>
      <c r="BC853" t="s">
        <v>74</v>
      </c>
      <c r="BD853">
        <v>101215</v>
      </c>
      <c r="BE853" t="s">
        <v>15457</v>
      </c>
      <c r="BF853" t="str">
        <f>HYPERLINK("http://dx.doi.org/10.1016/j.scp.2023.101215","http://dx.doi.org/10.1016/j.scp.2023.101215")</f>
        <v>http://dx.doi.org/10.1016/j.scp.2023.101215</v>
      </c>
      <c r="BG853" t="s">
        <v>74</v>
      </c>
      <c r="BH853" t="s">
        <v>74</v>
      </c>
      <c r="BI853">
        <v>13</v>
      </c>
      <c r="BJ853" t="s">
        <v>15458</v>
      </c>
      <c r="BK853" t="s">
        <v>100</v>
      </c>
      <c r="BL853" t="s">
        <v>15459</v>
      </c>
      <c r="BM853" t="s">
        <v>15460</v>
      </c>
      <c r="BN853" t="s">
        <v>74</v>
      </c>
      <c r="BO853" t="s">
        <v>74</v>
      </c>
      <c r="BP853" t="s">
        <v>74</v>
      </c>
      <c r="BQ853" t="s">
        <v>74</v>
      </c>
      <c r="BR853" t="s">
        <v>104</v>
      </c>
      <c r="BS853" t="s">
        <v>15461</v>
      </c>
      <c r="BT853" t="str">
        <f>HYPERLINK("https%3A%2F%2Fwww.webofscience.com%2Fwos%2Fwoscc%2Ffull-record%2FWOS:001053405100001","View Full Record in Web of Science")</f>
        <v>View Full Record in Web of Science</v>
      </c>
    </row>
    <row r="854" spans="1:72" x14ac:dyDescent="0.15">
      <c r="A854" t="s">
        <v>72</v>
      </c>
      <c r="B854" t="s">
        <v>15462</v>
      </c>
      <c r="C854" t="s">
        <v>74</v>
      </c>
      <c r="D854" t="s">
        <v>74</v>
      </c>
      <c r="E854" t="s">
        <v>74</v>
      </c>
      <c r="F854" t="s">
        <v>15463</v>
      </c>
      <c r="G854" t="s">
        <v>74</v>
      </c>
      <c r="H854" t="s">
        <v>74</v>
      </c>
      <c r="I854" t="s">
        <v>15464</v>
      </c>
      <c r="J854" t="s">
        <v>7551</v>
      </c>
      <c r="K854" t="s">
        <v>74</v>
      </c>
      <c r="L854" t="s">
        <v>74</v>
      </c>
      <c r="M854" t="s">
        <v>78</v>
      </c>
      <c r="N854" t="s">
        <v>79</v>
      </c>
      <c r="O854" t="s">
        <v>74</v>
      </c>
      <c r="P854" t="s">
        <v>74</v>
      </c>
      <c r="Q854" t="s">
        <v>74</v>
      </c>
      <c r="R854" t="s">
        <v>74</v>
      </c>
      <c r="S854" t="s">
        <v>74</v>
      </c>
      <c r="T854" t="s">
        <v>15465</v>
      </c>
      <c r="U854" t="s">
        <v>15466</v>
      </c>
      <c r="V854" t="s">
        <v>15467</v>
      </c>
      <c r="W854" t="s">
        <v>15468</v>
      </c>
      <c r="X854" t="s">
        <v>15469</v>
      </c>
      <c r="Y854" t="s">
        <v>15470</v>
      </c>
      <c r="Z854" t="s">
        <v>15471</v>
      </c>
      <c r="AA854" t="s">
        <v>74</v>
      </c>
      <c r="AB854" t="s">
        <v>74</v>
      </c>
      <c r="AC854" t="s">
        <v>15472</v>
      </c>
      <c r="AD854" t="s">
        <v>15473</v>
      </c>
      <c r="AE854" t="s">
        <v>15474</v>
      </c>
      <c r="AF854" t="s">
        <v>74</v>
      </c>
      <c r="AG854">
        <v>113</v>
      </c>
      <c r="AH854">
        <v>0</v>
      </c>
      <c r="AI854">
        <v>0</v>
      </c>
      <c r="AJ854">
        <v>1</v>
      </c>
      <c r="AK854">
        <v>1</v>
      </c>
      <c r="AL854" t="s">
        <v>173</v>
      </c>
      <c r="AM854" t="s">
        <v>121</v>
      </c>
      <c r="AN854" t="s">
        <v>174</v>
      </c>
      <c r="AO854" t="s">
        <v>7562</v>
      </c>
      <c r="AP854" t="s">
        <v>7563</v>
      </c>
      <c r="AQ854" t="s">
        <v>74</v>
      </c>
      <c r="AR854" t="s">
        <v>7564</v>
      </c>
      <c r="AS854" t="s">
        <v>7565</v>
      </c>
      <c r="AT854" t="s">
        <v>13744</v>
      </c>
      <c r="AU854">
        <v>2023</v>
      </c>
      <c r="AV854">
        <v>211</v>
      </c>
      <c r="AW854" t="s">
        <v>74</v>
      </c>
      <c r="AX854" t="s">
        <v>74</v>
      </c>
      <c r="AY854" t="s">
        <v>74</v>
      </c>
      <c r="AZ854" t="s">
        <v>74</v>
      </c>
      <c r="BA854" t="s">
        <v>74</v>
      </c>
      <c r="BB854" t="s">
        <v>74</v>
      </c>
      <c r="BC854" t="s">
        <v>74</v>
      </c>
      <c r="BD854">
        <v>108281</v>
      </c>
      <c r="BE854" t="s">
        <v>15475</v>
      </c>
      <c r="BF854" t="str">
        <f>HYPERLINK("http://dx.doi.org/10.1016/j.visres.2023.108281","http://dx.doi.org/10.1016/j.visres.2023.108281")</f>
        <v>http://dx.doi.org/10.1016/j.visres.2023.108281</v>
      </c>
      <c r="BG854" t="s">
        <v>74</v>
      </c>
      <c r="BH854" t="s">
        <v>74</v>
      </c>
      <c r="BI854">
        <v>17</v>
      </c>
      <c r="BJ854" t="s">
        <v>7567</v>
      </c>
      <c r="BK854" t="s">
        <v>100</v>
      </c>
      <c r="BL854" t="s">
        <v>7568</v>
      </c>
      <c r="BM854" t="s">
        <v>15476</v>
      </c>
      <c r="BN854">
        <v>37421829</v>
      </c>
      <c r="BO854" t="s">
        <v>103</v>
      </c>
      <c r="BP854" t="s">
        <v>74</v>
      </c>
      <c r="BQ854" t="s">
        <v>74</v>
      </c>
      <c r="BR854" t="s">
        <v>104</v>
      </c>
      <c r="BS854" t="s">
        <v>15477</v>
      </c>
      <c r="BT854" t="str">
        <f>HYPERLINK("https%3A%2F%2Fwww.webofscience.com%2Fwos%2Fwoscc%2Ffull-record%2FWOS:001058657200001","View Full Record in Web of Science")</f>
        <v>View Full Record in Web of Science</v>
      </c>
    </row>
    <row r="855" spans="1:72" x14ac:dyDescent="0.15">
      <c r="A855" t="s">
        <v>72</v>
      </c>
      <c r="B855" t="s">
        <v>15478</v>
      </c>
      <c r="C855" t="s">
        <v>74</v>
      </c>
      <c r="D855" t="s">
        <v>74</v>
      </c>
      <c r="E855" t="s">
        <v>74</v>
      </c>
      <c r="F855" t="s">
        <v>15479</v>
      </c>
      <c r="G855" t="s">
        <v>74</v>
      </c>
      <c r="H855" t="s">
        <v>74</v>
      </c>
      <c r="I855" t="s">
        <v>15480</v>
      </c>
      <c r="J855" t="s">
        <v>6645</v>
      </c>
      <c r="K855" t="s">
        <v>74</v>
      </c>
      <c r="L855" t="s">
        <v>74</v>
      </c>
      <c r="M855" t="s">
        <v>78</v>
      </c>
      <c r="N855" t="s">
        <v>79</v>
      </c>
      <c r="O855" t="s">
        <v>74</v>
      </c>
      <c r="P855" t="s">
        <v>74</v>
      </c>
      <c r="Q855" t="s">
        <v>74</v>
      </c>
      <c r="R855" t="s">
        <v>74</v>
      </c>
      <c r="S855" t="s">
        <v>74</v>
      </c>
      <c r="T855" t="s">
        <v>15481</v>
      </c>
      <c r="U855" t="s">
        <v>15482</v>
      </c>
      <c r="V855" t="s">
        <v>15483</v>
      </c>
      <c r="W855" t="s">
        <v>15484</v>
      </c>
      <c r="X855" t="s">
        <v>6650</v>
      </c>
      <c r="Y855" t="s">
        <v>15485</v>
      </c>
      <c r="Z855" t="s">
        <v>15486</v>
      </c>
      <c r="AA855" t="s">
        <v>74</v>
      </c>
      <c r="AB855" t="s">
        <v>74</v>
      </c>
      <c r="AC855" t="s">
        <v>15487</v>
      </c>
      <c r="AD855" t="s">
        <v>15488</v>
      </c>
      <c r="AE855" t="s">
        <v>15489</v>
      </c>
      <c r="AF855" t="s">
        <v>74</v>
      </c>
      <c r="AG855">
        <v>55</v>
      </c>
      <c r="AH855">
        <v>0</v>
      </c>
      <c r="AI855">
        <v>0</v>
      </c>
      <c r="AJ855">
        <v>5</v>
      </c>
      <c r="AK855">
        <v>5</v>
      </c>
      <c r="AL855" t="s">
        <v>90</v>
      </c>
      <c r="AM855" t="s">
        <v>91</v>
      </c>
      <c r="AN855" t="s">
        <v>92</v>
      </c>
      <c r="AO855" t="s">
        <v>74</v>
      </c>
      <c r="AP855" t="s">
        <v>6656</v>
      </c>
      <c r="AQ855" t="s">
        <v>74</v>
      </c>
      <c r="AR855" t="s">
        <v>6657</v>
      </c>
      <c r="AS855" t="s">
        <v>6658</v>
      </c>
      <c r="AT855" t="s">
        <v>13778</v>
      </c>
      <c r="AU855">
        <v>2023</v>
      </c>
      <c r="AV855">
        <v>76</v>
      </c>
      <c r="AW855" t="s">
        <v>74</v>
      </c>
      <c r="AX855" t="s">
        <v>74</v>
      </c>
      <c r="AY855" t="s">
        <v>74</v>
      </c>
      <c r="AZ855" t="s">
        <v>74</v>
      </c>
      <c r="BA855" t="s">
        <v>74</v>
      </c>
      <c r="BB855" t="s">
        <v>74</v>
      </c>
      <c r="BC855" t="s">
        <v>74</v>
      </c>
      <c r="BD855">
        <v>107334</v>
      </c>
      <c r="BE855" t="s">
        <v>15490</v>
      </c>
      <c r="BF855" t="str">
        <f>HYPERLINK("http://dx.doi.org/10.1016/j.jobe.2023.107334","http://dx.doi.org/10.1016/j.jobe.2023.107334")</f>
        <v>http://dx.doi.org/10.1016/j.jobe.2023.107334</v>
      </c>
      <c r="BG855" t="s">
        <v>74</v>
      </c>
      <c r="BH855" t="s">
        <v>74</v>
      </c>
      <c r="BI855">
        <v>19</v>
      </c>
      <c r="BJ855" t="s">
        <v>3898</v>
      </c>
      <c r="BK855" t="s">
        <v>100</v>
      </c>
      <c r="BL855" t="s">
        <v>3899</v>
      </c>
      <c r="BM855" t="s">
        <v>15491</v>
      </c>
      <c r="BN855" t="s">
        <v>74</v>
      </c>
      <c r="BO855" t="s">
        <v>74</v>
      </c>
      <c r="BP855" t="s">
        <v>74</v>
      </c>
      <c r="BQ855" t="s">
        <v>74</v>
      </c>
      <c r="BR855" t="s">
        <v>104</v>
      </c>
      <c r="BS855" t="s">
        <v>15492</v>
      </c>
      <c r="BT855" t="str">
        <f>HYPERLINK("https%3A%2F%2Fwww.webofscience.com%2Fwos%2Fwoscc%2Ffull-record%2FWOS:001045772400001","View Full Record in Web of Science")</f>
        <v>View Full Record in Web of Science</v>
      </c>
    </row>
    <row r="856" spans="1:72" x14ac:dyDescent="0.15">
      <c r="A856" t="s">
        <v>72</v>
      </c>
      <c r="B856" t="s">
        <v>15493</v>
      </c>
      <c r="C856" t="s">
        <v>74</v>
      </c>
      <c r="D856" t="s">
        <v>74</v>
      </c>
      <c r="E856" t="s">
        <v>74</v>
      </c>
      <c r="F856" t="s">
        <v>15494</v>
      </c>
      <c r="G856" t="s">
        <v>74</v>
      </c>
      <c r="H856" t="s">
        <v>74</v>
      </c>
      <c r="I856" t="s">
        <v>15495</v>
      </c>
      <c r="J856" t="s">
        <v>3763</v>
      </c>
      <c r="K856" t="s">
        <v>74</v>
      </c>
      <c r="L856" t="s">
        <v>74</v>
      </c>
      <c r="M856" t="s">
        <v>78</v>
      </c>
      <c r="N856" t="s">
        <v>79</v>
      </c>
      <c r="O856" t="s">
        <v>74</v>
      </c>
      <c r="P856" t="s">
        <v>74</v>
      </c>
      <c r="Q856" t="s">
        <v>74</v>
      </c>
      <c r="R856" t="s">
        <v>74</v>
      </c>
      <c r="S856" t="s">
        <v>74</v>
      </c>
      <c r="T856" t="s">
        <v>15496</v>
      </c>
      <c r="U856" t="s">
        <v>15497</v>
      </c>
      <c r="V856" t="s">
        <v>15498</v>
      </c>
      <c r="W856" t="s">
        <v>15499</v>
      </c>
      <c r="X856" t="s">
        <v>15500</v>
      </c>
      <c r="Y856" t="s">
        <v>15501</v>
      </c>
      <c r="Z856" t="s">
        <v>15502</v>
      </c>
      <c r="AA856" t="s">
        <v>74</v>
      </c>
      <c r="AB856" t="s">
        <v>74</v>
      </c>
      <c r="AC856" t="s">
        <v>15503</v>
      </c>
      <c r="AD856" t="s">
        <v>15504</v>
      </c>
      <c r="AE856" t="s">
        <v>15505</v>
      </c>
      <c r="AF856" t="s">
        <v>74</v>
      </c>
      <c r="AG856">
        <v>44</v>
      </c>
      <c r="AH856">
        <v>0</v>
      </c>
      <c r="AI856">
        <v>0</v>
      </c>
      <c r="AJ856">
        <v>3</v>
      </c>
      <c r="AK856">
        <v>3</v>
      </c>
      <c r="AL856" t="s">
        <v>90</v>
      </c>
      <c r="AM856" t="s">
        <v>91</v>
      </c>
      <c r="AN856" t="s">
        <v>92</v>
      </c>
      <c r="AO856" t="s">
        <v>3774</v>
      </c>
      <c r="AP856" t="s">
        <v>3775</v>
      </c>
      <c r="AQ856" t="s">
        <v>74</v>
      </c>
      <c r="AR856" t="s">
        <v>3776</v>
      </c>
      <c r="AS856" t="s">
        <v>3777</v>
      </c>
      <c r="AT856" t="s">
        <v>13744</v>
      </c>
      <c r="AU856">
        <v>2023</v>
      </c>
      <c r="AV856">
        <v>360</v>
      </c>
      <c r="AW856" t="s">
        <v>74</v>
      </c>
      <c r="AX856" t="s">
        <v>74</v>
      </c>
      <c r="AY856" t="s">
        <v>74</v>
      </c>
      <c r="AZ856" t="s">
        <v>74</v>
      </c>
      <c r="BA856" t="s">
        <v>74</v>
      </c>
      <c r="BB856" t="s">
        <v>74</v>
      </c>
      <c r="BC856" t="s">
        <v>74</v>
      </c>
      <c r="BD856">
        <v>112728</v>
      </c>
      <c r="BE856" t="s">
        <v>15506</v>
      </c>
      <c r="BF856" t="str">
        <f>HYPERLINK("http://dx.doi.org/10.1016/j.micromeso.2023.112728","http://dx.doi.org/10.1016/j.micromeso.2023.112728")</f>
        <v>http://dx.doi.org/10.1016/j.micromeso.2023.112728</v>
      </c>
      <c r="BG856" t="s">
        <v>74</v>
      </c>
      <c r="BH856" t="s">
        <v>74</v>
      </c>
      <c r="BI856">
        <v>9</v>
      </c>
      <c r="BJ856" t="s">
        <v>3779</v>
      </c>
      <c r="BK856" t="s">
        <v>100</v>
      </c>
      <c r="BL856" t="s">
        <v>3780</v>
      </c>
      <c r="BM856" t="s">
        <v>15507</v>
      </c>
      <c r="BN856" t="s">
        <v>74</v>
      </c>
      <c r="BO856" t="s">
        <v>74</v>
      </c>
      <c r="BP856" t="s">
        <v>74</v>
      </c>
      <c r="BQ856" t="s">
        <v>74</v>
      </c>
      <c r="BR856" t="s">
        <v>104</v>
      </c>
      <c r="BS856" t="s">
        <v>15508</v>
      </c>
      <c r="BT856" t="str">
        <f>HYPERLINK("https%3A%2F%2Fwww.webofscience.com%2Fwos%2Fwoscc%2Ffull-record%2FWOS:001042976100001","View Full Record in Web of Science")</f>
        <v>View Full Record in Web of Science</v>
      </c>
    </row>
    <row r="857" spans="1:72" x14ac:dyDescent="0.15">
      <c r="A857" t="s">
        <v>72</v>
      </c>
      <c r="B857" t="s">
        <v>15509</v>
      </c>
      <c r="C857" t="s">
        <v>74</v>
      </c>
      <c r="D857" t="s">
        <v>74</v>
      </c>
      <c r="E857" t="s">
        <v>74</v>
      </c>
      <c r="F857" t="s">
        <v>15510</v>
      </c>
      <c r="G857" t="s">
        <v>74</v>
      </c>
      <c r="H857" t="s">
        <v>74</v>
      </c>
      <c r="I857" t="s">
        <v>15511</v>
      </c>
      <c r="J857" t="s">
        <v>15512</v>
      </c>
      <c r="K857" t="s">
        <v>74</v>
      </c>
      <c r="L857" t="s">
        <v>74</v>
      </c>
      <c r="M857" t="s">
        <v>78</v>
      </c>
      <c r="N857" t="s">
        <v>79</v>
      </c>
      <c r="O857" t="s">
        <v>74</v>
      </c>
      <c r="P857" t="s">
        <v>74</v>
      </c>
      <c r="Q857" t="s">
        <v>74</v>
      </c>
      <c r="R857" t="s">
        <v>74</v>
      </c>
      <c r="S857" t="s">
        <v>74</v>
      </c>
      <c r="T857" t="s">
        <v>15513</v>
      </c>
      <c r="U857" t="s">
        <v>15514</v>
      </c>
      <c r="V857" t="s">
        <v>15515</v>
      </c>
      <c r="W857" t="s">
        <v>15516</v>
      </c>
      <c r="X857" t="s">
        <v>15517</v>
      </c>
      <c r="Y857" t="s">
        <v>15518</v>
      </c>
      <c r="Z857" t="s">
        <v>15519</v>
      </c>
      <c r="AA857" t="s">
        <v>74</v>
      </c>
      <c r="AB857" t="s">
        <v>74</v>
      </c>
      <c r="AC857" t="s">
        <v>15520</v>
      </c>
      <c r="AD857" t="s">
        <v>15521</v>
      </c>
      <c r="AE857" t="s">
        <v>15522</v>
      </c>
      <c r="AF857" t="s">
        <v>74</v>
      </c>
      <c r="AG857">
        <v>47</v>
      </c>
      <c r="AH857">
        <v>0</v>
      </c>
      <c r="AI857">
        <v>0</v>
      </c>
      <c r="AJ857">
        <v>0</v>
      </c>
      <c r="AK857">
        <v>0</v>
      </c>
      <c r="AL857" t="s">
        <v>90</v>
      </c>
      <c r="AM857" t="s">
        <v>91</v>
      </c>
      <c r="AN857" t="s">
        <v>92</v>
      </c>
      <c r="AO857" t="s">
        <v>15523</v>
      </c>
      <c r="AP857" t="s">
        <v>15524</v>
      </c>
      <c r="AQ857" t="s">
        <v>74</v>
      </c>
      <c r="AR857" t="s">
        <v>15525</v>
      </c>
      <c r="AS857" t="s">
        <v>15526</v>
      </c>
      <c r="AT857" t="s">
        <v>13744</v>
      </c>
      <c r="AU857">
        <v>2023</v>
      </c>
      <c r="AV857">
        <v>625</v>
      </c>
      <c r="AW857" t="s">
        <v>74</v>
      </c>
      <c r="AX857" t="s">
        <v>337</v>
      </c>
      <c r="AY857" t="s">
        <v>74</v>
      </c>
      <c r="AZ857" t="s">
        <v>74</v>
      </c>
      <c r="BA857" t="s">
        <v>74</v>
      </c>
      <c r="BB857" t="s">
        <v>74</v>
      </c>
      <c r="BC857" t="s">
        <v>74</v>
      </c>
      <c r="BD857">
        <v>130018</v>
      </c>
      <c r="BE857" t="s">
        <v>15527</v>
      </c>
      <c r="BF857" t="str">
        <f>HYPERLINK("http://dx.doi.org/10.1016/j.jhydrol.2023.130018","http://dx.doi.org/10.1016/j.jhydrol.2023.130018")</f>
        <v>http://dx.doi.org/10.1016/j.jhydrol.2023.130018</v>
      </c>
      <c r="BG857" t="s">
        <v>74</v>
      </c>
      <c r="BH857" t="s">
        <v>74</v>
      </c>
      <c r="BI857">
        <v>14</v>
      </c>
      <c r="BJ857" t="s">
        <v>15528</v>
      </c>
      <c r="BK857" t="s">
        <v>100</v>
      </c>
      <c r="BL857" t="s">
        <v>15529</v>
      </c>
      <c r="BM857" t="s">
        <v>15530</v>
      </c>
      <c r="BN857" t="s">
        <v>74</v>
      </c>
      <c r="BO857" t="s">
        <v>74</v>
      </c>
      <c r="BP857" t="s">
        <v>74</v>
      </c>
      <c r="BQ857" t="s">
        <v>74</v>
      </c>
      <c r="BR857" t="s">
        <v>104</v>
      </c>
      <c r="BS857" t="s">
        <v>15531</v>
      </c>
      <c r="BT857" t="str">
        <f>HYPERLINK("https%3A%2F%2Fwww.webofscience.com%2Fwos%2Fwoscc%2Ffull-record%2FWOS:001062643000001","View Full Record in Web of Science")</f>
        <v>View Full Record in Web of Science</v>
      </c>
    </row>
    <row r="858" spans="1:72" x14ac:dyDescent="0.15">
      <c r="A858" t="s">
        <v>72</v>
      </c>
      <c r="B858" t="s">
        <v>15532</v>
      </c>
      <c r="C858" t="s">
        <v>74</v>
      </c>
      <c r="D858" t="s">
        <v>74</v>
      </c>
      <c r="E858" t="s">
        <v>74</v>
      </c>
      <c r="F858" t="s">
        <v>15533</v>
      </c>
      <c r="G858" t="s">
        <v>74</v>
      </c>
      <c r="H858" t="s">
        <v>74</v>
      </c>
      <c r="I858" t="s">
        <v>15534</v>
      </c>
      <c r="J858" t="s">
        <v>14472</v>
      </c>
      <c r="K858" t="s">
        <v>74</v>
      </c>
      <c r="L858" t="s">
        <v>74</v>
      </c>
      <c r="M858" t="s">
        <v>78</v>
      </c>
      <c r="N858" t="s">
        <v>79</v>
      </c>
      <c r="O858" t="s">
        <v>74</v>
      </c>
      <c r="P858" t="s">
        <v>74</v>
      </c>
      <c r="Q858" t="s">
        <v>74</v>
      </c>
      <c r="R858" t="s">
        <v>74</v>
      </c>
      <c r="S858" t="s">
        <v>74</v>
      </c>
      <c r="T858" t="s">
        <v>15535</v>
      </c>
      <c r="U858" t="s">
        <v>15536</v>
      </c>
      <c r="V858" t="s">
        <v>15537</v>
      </c>
      <c r="W858" t="s">
        <v>15538</v>
      </c>
      <c r="X858" t="s">
        <v>15539</v>
      </c>
      <c r="Y858" t="s">
        <v>15540</v>
      </c>
      <c r="Z858" t="s">
        <v>15541</v>
      </c>
      <c r="AA858" t="s">
        <v>15542</v>
      </c>
      <c r="AB858" t="s">
        <v>15543</v>
      </c>
      <c r="AC858" t="s">
        <v>74</v>
      </c>
      <c r="AD858" t="s">
        <v>74</v>
      </c>
      <c r="AE858" t="s">
        <v>74</v>
      </c>
      <c r="AF858" t="s">
        <v>74</v>
      </c>
      <c r="AG858">
        <v>121</v>
      </c>
      <c r="AH858">
        <v>0</v>
      </c>
      <c r="AI858">
        <v>0</v>
      </c>
      <c r="AJ858">
        <v>1</v>
      </c>
      <c r="AK858">
        <v>1</v>
      </c>
      <c r="AL858" t="s">
        <v>514</v>
      </c>
      <c r="AM858" t="s">
        <v>515</v>
      </c>
      <c r="AN858" t="s">
        <v>516</v>
      </c>
      <c r="AO858" t="s">
        <v>14483</v>
      </c>
      <c r="AP858" t="s">
        <v>14484</v>
      </c>
      <c r="AQ858" t="s">
        <v>74</v>
      </c>
      <c r="AR858" t="s">
        <v>14485</v>
      </c>
      <c r="AS858" t="s">
        <v>14486</v>
      </c>
      <c r="AT858" t="s">
        <v>13744</v>
      </c>
      <c r="AU858">
        <v>2023</v>
      </c>
      <c r="AV858">
        <v>166</v>
      </c>
      <c r="AW858" t="s">
        <v>74</v>
      </c>
      <c r="AX858" t="s">
        <v>74</v>
      </c>
      <c r="AY858" t="s">
        <v>74</v>
      </c>
      <c r="AZ858" t="s">
        <v>74</v>
      </c>
      <c r="BA858" t="s">
        <v>74</v>
      </c>
      <c r="BB858" t="s">
        <v>74</v>
      </c>
      <c r="BC858" t="s">
        <v>74</v>
      </c>
      <c r="BD858">
        <v>115249</v>
      </c>
      <c r="BE858" t="s">
        <v>15544</v>
      </c>
      <c r="BF858" t="str">
        <f>HYPERLINK("http://dx.doi.org/10.1016/j.biopha.2023.115249","http://dx.doi.org/10.1016/j.biopha.2023.115249")</f>
        <v>http://dx.doi.org/10.1016/j.biopha.2023.115249</v>
      </c>
      <c r="BG858" t="s">
        <v>74</v>
      </c>
      <c r="BH858" t="s">
        <v>74</v>
      </c>
      <c r="BI858">
        <v>11</v>
      </c>
      <c r="BJ858" t="s">
        <v>12923</v>
      </c>
      <c r="BK858" t="s">
        <v>100</v>
      </c>
      <c r="BL858" t="s">
        <v>12924</v>
      </c>
      <c r="BM858" t="s">
        <v>15545</v>
      </c>
      <c r="BN858">
        <v>37597323</v>
      </c>
      <c r="BO858" t="s">
        <v>3613</v>
      </c>
      <c r="BP858" t="s">
        <v>74</v>
      </c>
      <c r="BQ858" t="s">
        <v>74</v>
      </c>
      <c r="BR858" t="s">
        <v>104</v>
      </c>
      <c r="BS858" t="s">
        <v>15546</v>
      </c>
      <c r="BT858" t="str">
        <f>HYPERLINK("https%3A%2F%2Fwww.webofscience.com%2Fwos%2Fwoscc%2Ffull-record%2FWOS:001064449900001","View Full Record in Web of Science")</f>
        <v>View Full Record in Web of Science</v>
      </c>
    </row>
    <row r="859" spans="1:72" x14ac:dyDescent="0.15">
      <c r="A859" t="s">
        <v>72</v>
      </c>
      <c r="B859" t="s">
        <v>15547</v>
      </c>
      <c r="C859" t="s">
        <v>74</v>
      </c>
      <c r="D859" t="s">
        <v>74</v>
      </c>
      <c r="E859" t="s">
        <v>74</v>
      </c>
      <c r="F859" t="s">
        <v>15548</v>
      </c>
      <c r="G859" t="s">
        <v>74</v>
      </c>
      <c r="H859" t="s">
        <v>74</v>
      </c>
      <c r="I859" t="s">
        <v>15549</v>
      </c>
      <c r="J859" t="s">
        <v>6880</v>
      </c>
      <c r="K859" t="s">
        <v>74</v>
      </c>
      <c r="L859" t="s">
        <v>74</v>
      </c>
      <c r="M859" t="s">
        <v>78</v>
      </c>
      <c r="N859" t="s">
        <v>79</v>
      </c>
      <c r="O859" t="s">
        <v>74</v>
      </c>
      <c r="P859" t="s">
        <v>74</v>
      </c>
      <c r="Q859" t="s">
        <v>74</v>
      </c>
      <c r="R859" t="s">
        <v>74</v>
      </c>
      <c r="S859" t="s">
        <v>74</v>
      </c>
      <c r="T859" t="s">
        <v>15550</v>
      </c>
      <c r="U859" t="s">
        <v>74</v>
      </c>
      <c r="V859" t="s">
        <v>15551</v>
      </c>
      <c r="W859" t="s">
        <v>15552</v>
      </c>
      <c r="X859" t="s">
        <v>15553</v>
      </c>
      <c r="Y859" t="s">
        <v>15554</v>
      </c>
      <c r="Z859" t="s">
        <v>15555</v>
      </c>
      <c r="AA859" t="s">
        <v>74</v>
      </c>
      <c r="AB859" t="s">
        <v>74</v>
      </c>
      <c r="AC859" t="s">
        <v>15556</v>
      </c>
      <c r="AD859" t="s">
        <v>15557</v>
      </c>
      <c r="AE859" t="s">
        <v>15558</v>
      </c>
      <c r="AF859" t="s">
        <v>74</v>
      </c>
      <c r="AG859">
        <v>38</v>
      </c>
      <c r="AH859">
        <v>0</v>
      </c>
      <c r="AI859">
        <v>0</v>
      </c>
      <c r="AJ859">
        <v>5</v>
      </c>
      <c r="AK859">
        <v>5</v>
      </c>
      <c r="AL859" t="s">
        <v>173</v>
      </c>
      <c r="AM859" t="s">
        <v>121</v>
      </c>
      <c r="AN859" t="s">
        <v>174</v>
      </c>
      <c r="AO859" t="s">
        <v>6891</v>
      </c>
      <c r="AP859" t="s">
        <v>6892</v>
      </c>
      <c r="AQ859" t="s">
        <v>74</v>
      </c>
      <c r="AR859" t="s">
        <v>6893</v>
      </c>
      <c r="AS859" t="s">
        <v>6894</v>
      </c>
      <c r="AT859" t="s">
        <v>13778</v>
      </c>
      <c r="AU859">
        <v>2023</v>
      </c>
      <c r="AV859">
        <v>464</v>
      </c>
      <c r="AW859" t="s">
        <v>74</v>
      </c>
      <c r="AX859" t="s">
        <v>74</v>
      </c>
      <c r="AY859" t="s">
        <v>74</v>
      </c>
      <c r="AZ859" t="s">
        <v>74</v>
      </c>
      <c r="BA859" t="s">
        <v>74</v>
      </c>
      <c r="BB859" t="s">
        <v>74</v>
      </c>
      <c r="BC859" t="s">
        <v>74</v>
      </c>
      <c r="BD859">
        <v>142951</v>
      </c>
      <c r="BE859" t="s">
        <v>15559</v>
      </c>
      <c r="BF859" t="str">
        <f>HYPERLINK("http://dx.doi.org/10.1016/j.electacta.2023.142951","http://dx.doi.org/10.1016/j.electacta.2023.142951")</f>
        <v>http://dx.doi.org/10.1016/j.electacta.2023.142951</v>
      </c>
      <c r="BG859" t="s">
        <v>74</v>
      </c>
      <c r="BH859" t="s">
        <v>74</v>
      </c>
      <c r="BI859">
        <v>9</v>
      </c>
      <c r="BJ859" t="s">
        <v>6896</v>
      </c>
      <c r="BK859" t="s">
        <v>100</v>
      </c>
      <c r="BL859" t="s">
        <v>6896</v>
      </c>
      <c r="BM859" t="s">
        <v>15560</v>
      </c>
      <c r="BN859" t="s">
        <v>74</v>
      </c>
      <c r="BO859" t="s">
        <v>74</v>
      </c>
      <c r="BP859" t="s">
        <v>74</v>
      </c>
      <c r="BQ859" t="s">
        <v>74</v>
      </c>
      <c r="BR859" t="s">
        <v>104</v>
      </c>
      <c r="BS859" t="s">
        <v>15561</v>
      </c>
      <c r="BT859" t="str">
        <f>HYPERLINK("https%3A%2F%2Fwww.webofscience.com%2Fwos%2Fwoscc%2Ffull-record%2FWOS:001051773700001","View Full Record in Web of Science")</f>
        <v>View Full Record in Web of Science</v>
      </c>
    </row>
    <row r="860" spans="1:72" x14ac:dyDescent="0.15">
      <c r="A860" t="s">
        <v>72</v>
      </c>
      <c r="B860" t="s">
        <v>15562</v>
      </c>
      <c r="C860" t="s">
        <v>74</v>
      </c>
      <c r="D860" t="s">
        <v>74</v>
      </c>
      <c r="E860" t="s">
        <v>74</v>
      </c>
      <c r="F860" t="s">
        <v>15563</v>
      </c>
      <c r="G860" t="s">
        <v>74</v>
      </c>
      <c r="H860" t="s">
        <v>74</v>
      </c>
      <c r="I860" t="s">
        <v>15564</v>
      </c>
      <c r="J860" t="s">
        <v>6604</v>
      </c>
      <c r="K860" t="s">
        <v>74</v>
      </c>
      <c r="L860" t="s">
        <v>74</v>
      </c>
      <c r="M860" t="s">
        <v>78</v>
      </c>
      <c r="N860" t="s">
        <v>79</v>
      </c>
      <c r="O860" t="s">
        <v>74</v>
      </c>
      <c r="P860" t="s">
        <v>74</v>
      </c>
      <c r="Q860" t="s">
        <v>74</v>
      </c>
      <c r="R860" t="s">
        <v>74</v>
      </c>
      <c r="S860" t="s">
        <v>74</v>
      </c>
      <c r="T860" t="s">
        <v>15565</v>
      </c>
      <c r="U860" t="s">
        <v>15566</v>
      </c>
      <c r="V860" t="s">
        <v>15567</v>
      </c>
      <c r="W860" t="s">
        <v>15568</v>
      </c>
      <c r="X860" t="s">
        <v>74</v>
      </c>
      <c r="Y860" t="s">
        <v>15569</v>
      </c>
      <c r="Z860" t="s">
        <v>15570</v>
      </c>
      <c r="AA860" t="s">
        <v>15571</v>
      </c>
      <c r="AB860" t="s">
        <v>15572</v>
      </c>
      <c r="AC860" t="s">
        <v>15573</v>
      </c>
      <c r="AD860" t="s">
        <v>15573</v>
      </c>
      <c r="AE860" t="s">
        <v>15574</v>
      </c>
      <c r="AF860" t="s">
        <v>74</v>
      </c>
      <c r="AG860">
        <v>59</v>
      </c>
      <c r="AH860">
        <v>0</v>
      </c>
      <c r="AI860">
        <v>0</v>
      </c>
      <c r="AJ860">
        <v>5</v>
      </c>
      <c r="AK860">
        <v>5</v>
      </c>
      <c r="AL860" t="s">
        <v>147</v>
      </c>
      <c r="AM860" t="s">
        <v>148</v>
      </c>
      <c r="AN860" t="s">
        <v>149</v>
      </c>
      <c r="AO860" t="s">
        <v>6614</v>
      </c>
      <c r="AP860" t="s">
        <v>6615</v>
      </c>
      <c r="AQ860" t="s">
        <v>74</v>
      </c>
      <c r="AR860" t="s">
        <v>6616</v>
      </c>
      <c r="AS860" t="s">
        <v>6617</v>
      </c>
      <c r="AT860" t="s">
        <v>13744</v>
      </c>
      <c r="AU860">
        <v>2023</v>
      </c>
      <c r="AV860">
        <v>89</v>
      </c>
      <c r="AW860" t="s">
        <v>74</v>
      </c>
      <c r="AX860" t="s">
        <v>74</v>
      </c>
      <c r="AY860" t="s">
        <v>74</v>
      </c>
      <c r="AZ860" t="s">
        <v>74</v>
      </c>
      <c r="BA860" t="s">
        <v>74</v>
      </c>
      <c r="BB860" t="s">
        <v>74</v>
      </c>
      <c r="BC860" t="s">
        <v>74</v>
      </c>
      <c r="BD860">
        <v>102808</v>
      </c>
      <c r="BE860" t="s">
        <v>15575</v>
      </c>
      <c r="BF860" t="str">
        <f>HYPERLINK("http://dx.doi.org/10.1016/j.irfa.2023.102808","http://dx.doi.org/10.1016/j.irfa.2023.102808")</f>
        <v>http://dx.doi.org/10.1016/j.irfa.2023.102808</v>
      </c>
      <c r="BG860" t="s">
        <v>74</v>
      </c>
      <c r="BH860" t="s">
        <v>74</v>
      </c>
      <c r="BI860">
        <v>22</v>
      </c>
      <c r="BJ860" t="s">
        <v>2824</v>
      </c>
      <c r="BK860" t="s">
        <v>627</v>
      </c>
      <c r="BL860" t="s">
        <v>628</v>
      </c>
      <c r="BM860" t="s">
        <v>15576</v>
      </c>
      <c r="BN860" t="s">
        <v>74</v>
      </c>
      <c r="BO860" t="s">
        <v>74</v>
      </c>
      <c r="BP860" t="s">
        <v>74</v>
      </c>
      <c r="BQ860" t="s">
        <v>74</v>
      </c>
      <c r="BR860" t="s">
        <v>104</v>
      </c>
      <c r="BS860" t="s">
        <v>15577</v>
      </c>
      <c r="BT860" t="str">
        <f>HYPERLINK("https%3A%2F%2Fwww.webofscience.com%2Fwos%2Fwoscc%2Ffull-record%2FWOS:001049251900001","View Full Record in Web of Science")</f>
        <v>View Full Record in Web of Science</v>
      </c>
    </row>
    <row r="861" spans="1:72" x14ac:dyDescent="0.15">
      <c r="A861" t="s">
        <v>72</v>
      </c>
      <c r="B861" t="s">
        <v>15578</v>
      </c>
      <c r="C861" t="s">
        <v>74</v>
      </c>
      <c r="D861" t="s">
        <v>74</v>
      </c>
      <c r="E861" t="s">
        <v>74</v>
      </c>
      <c r="F861" t="s">
        <v>15579</v>
      </c>
      <c r="G861" t="s">
        <v>74</v>
      </c>
      <c r="H861" t="s">
        <v>74</v>
      </c>
      <c r="I861" t="s">
        <v>15580</v>
      </c>
      <c r="J861" t="s">
        <v>15581</v>
      </c>
      <c r="K861" t="s">
        <v>74</v>
      </c>
      <c r="L861" t="s">
        <v>74</v>
      </c>
      <c r="M861" t="s">
        <v>78</v>
      </c>
      <c r="N861" t="s">
        <v>241</v>
      </c>
      <c r="O861" t="s">
        <v>74</v>
      </c>
      <c r="P861" t="s">
        <v>74</v>
      </c>
      <c r="Q861" t="s">
        <v>74</v>
      </c>
      <c r="R861" t="s">
        <v>74</v>
      </c>
      <c r="S861" t="s">
        <v>74</v>
      </c>
      <c r="T861" t="s">
        <v>74</v>
      </c>
      <c r="U861" t="s">
        <v>15582</v>
      </c>
      <c r="V861" t="s">
        <v>15583</v>
      </c>
      <c r="W861" t="s">
        <v>15584</v>
      </c>
      <c r="X861" t="s">
        <v>15585</v>
      </c>
      <c r="Y861" t="s">
        <v>15586</v>
      </c>
      <c r="Z861" t="s">
        <v>15587</v>
      </c>
      <c r="AA861" t="s">
        <v>74</v>
      </c>
      <c r="AB861" t="s">
        <v>15588</v>
      </c>
      <c r="AC861" t="s">
        <v>74</v>
      </c>
      <c r="AD861" t="s">
        <v>74</v>
      </c>
      <c r="AE861" t="s">
        <v>74</v>
      </c>
      <c r="AF861" t="s">
        <v>74</v>
      </c>
      <c r="AG861">
        <v>80</v>
      </c>
      <c r="AH861">
        <v>0</v>
      </c>
      <c r="AI861">
        <v>0</v>
      </c>
      <c r="AJ861">
        <v>5</v>
      </c>
      <c r="AK861">
        <v>5</v>
      </c>
      <c r="AL861" t="s">
        <v>120</v>
      </c>
      <c r="AM861" t="s">
        <v>121</v>
      </c>
      <c r="AN861" t="s">
        <v>122</v>
      </c>
      <c r="AO861" t="s">
        <v>15589</v>
      </c>
      <c r="AP861" t="s">
        <v>15590</v>
      </c>
      <c r="AQ861" t="s">
        <v>74</v>
      </c>
      <c r="AR861" t="s">
        <v>15591</v>
      </c>
      <c r="AS861" t="s">
        <v>15592</v>
      </c>
      <c r="AT861" t="s">
        <v>13744</v>
      </c>
      <c r="AU861">
        <v>2023</v>
      </c>
      <c r="AV861">
        <v>83</v>
      </c>
      <c r="AW861" t="s">
        <v>74</v>
      </c>
      <c r="AX861" t="s">
        <v>74</v>
      </c>
      <c r="AY861" t="s">
        <v>74</v>
      </c>
      <c r="AZ861" t="s">
        <v>74</v>
      </c>
      <c r="BA861" t="s">
        <v>74</v>
      </c>
      <c r="BB861" t="s">
        <v>74</v>
      </c>
      <c r="BC861" t="s">
        <v>74</v>
      </c>
      <c r="BD861">
        <v>102968</v>
      </c>
      <c r="BE861" t="s">
        <v>15593</v>
      </c>
      <c r="BF861" t="str">
        <f>HYPERLINK("http://dx.doi.org/10.1016/j.copbio.2023.102968","http://dx.doi.org/10.1016/j.copbio.2023.102968")</f>
        <v>http://dx.doi.org/10.1016/j.copbio.2023.102968</v>
      </c>
      <c r="BG861" t="s">
        <v>74</v>
      </c>
      <c r="BH861" t="s">
        <v>74</v>
      </c>
      <c r="BI861">
        <v>8</v>
      </c>
      <c r="BJ861" t="s">
        <v>5089</v>
      </c>
      <c r="BK861" t="s">
        <v>100</v>
      </c>
      <c r="BL861" t="s">
        <v>5090</v>
      </c>
      <c r="BM861" t="s">
        <v>15594</v>
      </c>
      <c r="BN861">
        <v>37515935</v>
      </c>
      <c r="BO861" t="s">
        <v>74</v>
      </c>
      <c r="BP861" t="s">
        <v>74</v>
      </c>
      <c r="BQ861" t="s">
        <v>74</v>
      </c>
      <c r="BR861" t="s">
        <v>104</v>
      </c>
      <c r="BS861" t="s">
        <v>15595</v>
      </c>
      <c r="BT861" t="str">
        <f>HYPERLINK("https%3A%2F%2Fwww.webofscience.com%2Fwos%2Fwoscc%2Ffull-record%2FWOS:001054435400001","View Full Record in Web of Science")</f>
        <v>View Full Record in Web of Science</v>
      </c>
    </row>
    <row r="862" spans="1:72" x14ac:dyDescent="0.15">
      <c r="A862" t="s">
        <v>72</v>
      </c>
      <c r="B862" t="s">
        <v>15596</v>
      </c>
      <c r="C862" t="s">
        <v>74</v>
      </c>
      <c r="D862" t="s">
        <v>74</v>
      </c>
      <c r="E862" t="s">
        <v>74</v>
      </c>
      <c r="F862" t="s">
        <v>15597</v>
      </c>
      <c r="G862" t="s">
        <v>74</v>
      </c>
      <c r="H862" t="s">
        <v>74</v>
      </c>
      <c r="I862" t="s">
        <v>15598</v>
      </c>
      <c r="J862" t="s">
        <v>12254</v>
      </c>
      <c r="K862" t="s">
        <v>74</v>
      </c>
      <c r="L862" t="s">
        <v>74</v>
      </c>
      <c r="M862" t="s">
        <v>78</v>
      </c>
      <c r="N862" t="s">
        <v>241</v>
      </c>
      <c r="O862" t="s">
        <v>74</v>
      </c>
      <c r="P862" t="s">
        <v>74</v>
      </c>
      <c r="Q862" t="s">
        <v>74</v>
      </c>
      <c r="R862" t="s">
        <v>74</v>
      </c>
      <c r="S862" t="s">
        <v>74</v>
      </c>
      <c r="T862" t="s">
        <v>74</v>
      </c>
      <c r="U862" t="s">
        <v>74</v>
      </c>
      <c r="V862" t="s">
        <v>74</v>
      </c>
      <c r="W862" t="s">
        <v>15599</v>
      </c>
      <c r="X862" t="s">
        <v>15600</v>
      </c>
      <c r="Y862" t="s">
        <v>15601</v>
      </c>
      <c r="Z862" t="s">
        <v>15602</v>
      </c>
      <c r="AA862" t="s">
        <v>74</v>
      </c>
      <c r="AB862" t="s">
        <v>15603</v>
      </c>
      <c r="AC862" t="s">
        <v>74</v>
      </c>
      <c r="AD862" t="s">
        <v>74</v>
      </c>
      <c r="AE862" t="s">
        <v>74</v>
      </c>
      <c r="AF862" t="s">
        <v>74</v>
      </c>
      <c r="AG862">
        <v>13</v>
      </c>
      <c r="AH862">
        <v>0</v>
      </c>
      <c r="AI862">
        <v>0</v>
      </c>
      <c r="AJ862">
        <v>1</v>
      </c>
      <c r="AK862">
        <v>1</v>
      </c>
      <c r="AL862" t="s">
        <v>12265</v>
      </c>
      <c r="AM862" t="s">
        <v>12266</v>
      </c>
      <c r="AN862" t="s">
        <v>12267</v>
      </c>
      <c r="AO862" t="s">
        <v>12268</v>
      </c>
      <c r="AP862" t="s">
        <v>12269</v>
      </c>
      <c r="AQ862" t="s">
        <v>74</v>
      </c>
      <c r="AR862" t="s">
        <v>12270</v>
      </c>
      <c r="AS862" t="s">
        <v>12271</v>
      </c>
      <c r="AT862" t="s">
        <v>13778</v>
      </c>
      <c r="AU862">
        <v>2023</v>
      </c>
      <c r="AV862">
        <v>204</v>
      </c>
      <c r="AW862" t="s">
        <v>74</v>
      </c>
      <c r="AX862" t="s">
        <v>74</v>
      </c>
      <c r="AY862" t="s">
        <v>74</v>
      </c>
      <c r="AZ862" t="s">
        <v>74</v>
      </c>
      <c r="BA862" t="s">
        <v>74</v>
      </c>
      <c r="BB862">
        <v>22</v>
      </c>
      <c r="BC862">
        <v>25</v>
      </c>
      <c r="BD862" t="s">
        <v>74</v>
      </c>
      <c r="BE862" t="s">
        <v>15604</v>
      </c>
      <c r="BF862" t="str">
        <f>HYPERLINK("http://dx.doi.org/10.1016/j.amjcard.2023.07.033","http://dx.doi.org/10.1016/j.amjcard.2023.07.033")</f>
        <v>http://dx.doi.org/10.1016/j.amjcard.2023.07.033</v>
      </c>
      <c r="BG862" t="s">
        <v>74</v>
      </c>
      <c r="BH862" t="s">
        <v>74</v>
      </c>
      <c r="BI862">
        <v>4</v>
      </c>
      <c r="BJ862" t="s">
        <v>8079</v>
      </c>
      <c r="BK862" t="s">
        <v>100</v>
      </c>
      <c r="BL862" t="s">
        <v>8080</v>
      </c>
      <c r="BM862" t="s">
        <v>15605</v>
      </c>
      <c r="BN862">
        <v>37536199</v>
      </c>
      <c r="BO862" t="s">
        <v>74</v>
      </c>
      <c r="BP862" t="s">
        <v>74</v>
      </c>
      <c r="BQ862" t="s">
        <v>74</v>
      </c>
      <c r="BR862" t="s">
        <v>104</v>
      </c>
      <c r="BS862" t="s">
        <v>15606</v>
      </c>
      <c r="BT862" t="str">
        <f>HYPERLINK("https%3A%2F%2Fwww.webofscience.com%2Fwos%2Fwoscc%2Ffull-record%2FWOS:001052107000001","View Full Record in Web of Science")</f>
        <v>View Full Record in Web of Science</v>
      </c>
    </row>
    <row r="863" spans="1:72" x14ac:dyDescent="0.15">
      <c r="A863" t="s">
        <v>72</v>
      </c>
      <c r="B863" t="s">
        <v>15607</v>
      </c>
      <c r="C863" t="s">
        <v>74</v>
      </c>
      <c r="D863" t="s">
        <v>74</v>
      </c>
      <c r="E863" t="s">
        <v>74</v>
      </c>
      <c r="F863" t="s">
        <v>15608</v>
      </c>
      <c r="G863" t="s">
        <v>74</v>
      </c>
      <c r="H863" t="s">
        <v>74</v>
      </c>
      <c r="I863" t="s">
        <v>15609</v>
      </c>
      <c r="J863" t="s">
        <v>8487</v>
      </c>
      <c r="K863" t="s">
        <v>74</v>
      </c>
      <c r="L863" t="s">
        <v>74</v>
      </c>
      <c r="M863" t="s">
        <v>78</v>
      </c>
      <c r="N863" t="s">
        <v>79</v>
      </c>
      <c r="O863" t="s">
        <v>74</v>
      </c>
      <c r="P863" t="s">
        <v>74</v>
      </c>
      <c r="Q863" t="s">
        <v>74</v>
      </c>
      <c r="R863" t="s">
        <v>74</v>
      </c>
      <c r="S863" t="s">
        <v>74</v>
      </c>
      <c r="T863" t="s">
        <v>15610</v>
      </c>
      <c r="U863" t="s">
        <v>15611</v>
      </c>
      <c r="V863" t="s">
        <v>15612</v>
      </c>
      <c r="W863" t="s">
        <v>15613</v>
      </c>
      <c r="X863" t="s">
        <v>15614</v>
      </c>
      <c r="Y863" t="s">
        <v>15615</v>
      </c>
      <c r="Z863" t="s">
        <v>15616</v>
      </c>
      <c r="AA863" t="s">
        <v>74</v>
      </c>
      <c r="AB863" t="s">
        <v>74</v>
      </c>
      <c r="AC863" t="s">
        <v>15617</v>
      </c>
      <c r="AD863" t="s">
        <v>15618</v>
      </c>
      <c r="AE863" t="s">
        <v>15619</v>
      </c>
      <c r="AF863" t="s">
        <v>74</v>
      </c>
      <c r="AG863">
        <v>21</v>
      </c>
      <c r="AH863">
        <v>0</v>
      </c>
      <c r="AI863">
        <v>0</v>
      </c>
      <c r="AJ863">
        <v>1</v>
      </c>
      <c r="AK863">
        <v>1</v>
      </c>
      <c r="AL863" t="s">
        <v>955</v>
      </c>
      <c r="AM863" t="s">
        <v>956</v>
      </c>
      <c r="AN863" t="s">
        <v>957</v>
      </c>
      <c r="AO863" t="s">
        <v>8496</v>
      </c>
      <c r="AP863" t="s">
        <v>8497</v>
      </c>
      <c r="AQ863" t="s">
        <v>74</v>
      </c>
      <c r="AR863" t="s">
        <v>8498</v>
      </c>
      <c r="AS863" t="s">
        <v>8499</v>
      </c>
      <c r="AT863" t="s">
        <v>13744</v>
      </c>
      <c r="AU863">
        <v>2023</v>
      </c>
      <c r="AV863">
        <v>223</v>
      </c>
      <c r="AW863" t="s">
        <v>74</v>
      </c>
      <c r="AX863" t="s">
        <v>74</v>
      </c>
      <c r="AY863" t="s">
        <v>74</v>
      </c>
      <c r="AZ863" t="s">
        <v>74</v>
      </c>
      <c r="BA863" t="s">
        <v>74</v>
      </c>
      <c r="BB863" t="s">
        <v>74</v>
      </c>
      <c r="BC863" t="s">
        <v>74</v>
      </c>
      <c r="BD863">
        <v>109650</v>
      </c>
      <c r="BE863" t="s">
        <v>15620</v>
      </c>
      <c r="BF863" t="str">
        <f>HYPERLINK("http://dx.doi.org/10.1016/j.epsr.2023.109650","http://dx.doi.org/10.1016/j.epsr.2023.109650")</f>
        <v>http://dx.doi.org/10.1016/j.epsr.2023.109650</v>
      </c>
      <c r="BG863" t="s">
        <v>74</v>
      </c>
      <c r="BH863" t="s">
        <v>74</v>
      </c>
      <c r="BI863">
        <v>8</v>
      </c>
      <c r="BJ863" t="s">
        <v>4594</v>
      </c>
      <c r="BK863" t="s">
        <v>100</v>
      </c>
      <c r="BL863" t="s">
        <v>873</v>
      </c>
      <c r="BM863" t="s">
        <v>15621</v>
      </c>
      <c r="BN863" t="s">
        <v>74</v>
      </c>
      <c r="BO863" t="s">
        <v>74</v>
      </c>
      <c r="BP863" t="s">
        <v>74</v>
      </c>
      <c r="BQ863" t="s">
        <v>74</v>
      </c>
      <c r="BR863" t="s">
        <v>104</v>
      </c>
      <c r="BS863" t="s">
        <v>15622</v>
      </c>
      <c r="BT863" t="str">
        <f>HYPERLINK("https%3A%2F%2Fwww.webofscience.com%2Fwos%2Fwoscc%2Ffull-record%2FWOS:001043481000001","View Full Record in Web of Science")</f>
        <v>View Full Record in Web of Science</v>
      </c>
    </row>
    <row r="864" spans="1:72" x14ac:dyDescent="0.15">
      <c r="A864" t="s">
        <v>72</v>
      </c>
      <c r="B864" t="s">
        <v>15623</v>
      </c>
      <c r="C864" t="s">
        <v>74</v>
      </c>
      <c r="D864" t="s">
        <v>74</v>
      </c>
      <c r="E864" t="s">
        <v>74</v>
      </c>
      <c r="F864" t="s">
        <v>15624</v>
      </c>
      <c r="G864" t="s">
        <v>74</v>
      </c>
      <c r="H864" t="s">
        <v>74</v>
      </c>
      <c r="I864" t="s">
        <v>15625</v>
      </c>
      <c r="J864" t="s">
        <v>15626</v>
      </c>
      <c r="K864" t="s">
        <v>74</v>
      </c>
      <c r="L864" t="s">
        <v>74</v>
      </c>
      <c r="M864" t="s">
        <v>78</v>
      </c>
      <c r="N864" t="s">
        <v>79</v>
      </c>
      <c r="O864" t="s">
        <v>74</v>
      </c>
      <c r="P864" t="s">
        <v>74</v>
      </c>
      <c r="Q864" t="s">
        <v>74</v>
      </c>
      <c r="R864" t="s">
        <v>74</v>
      </c>
      <c r="S864" t="s">
        <v>74</v>
      </c>
      <c r="T864" t="s">
        <v>15627</v>
      </c>
      <c r="U864" t="s">
        <v>15628</v>
      </c>
      <c r="V864" t="s">
        <v>15629</v>
      </c>
      <c r="W864" t="s">
        <v>15630</v>
      </c>
      <c r="X864" t="s">
        <v>15631</v>
      </c>
      <c r="Y864" t="s">
        <v>15632</v>
      </c>
      <c r="Z864" t="s">
        <v>15633</v>
      </c>
      <c r="AA864" t="s">
        <v>15634</v>
      </c>
      <c r="AB864" t="s">
        <v>15635</v>
      </c>
      <c r="AC864" t="s">
        <v>15636</v>
      </c>
      <c r="AD864" t="s">
        <v>15637</v>
      </c>
      <c r="AE864" t="s">
        <v>15638</v>
      </c>
      <c r="AF864" t="s">
        <v>74</v>
      </c>
      <c r="AG864">
        <v>71</v>
      </c>
      <c r="AH864">
        <v>0</v>
      </c>
      <c r="AI864">
        <v>0</v>
      </c>
      <c r="AJ864">
        <v>7</v>
      </c>
      <c r="AK864">
        <v>7</v>
      </c>
      <c r="AL864" t="s">
        <v>173</v>
      </c>
      <c r="AM864" t="s">
        <v>121</v>
      </c>
      <c r="AN864" t="s">
        <v>174</v>
      </c>
      <c r="AO864" t="s">
        <v>15639</v>
      </c>
      <c r="AP864" t="s">
        <v>15640</v>
      </c>
      <c r="AQ864" t="s">
        <v>74</v>
      </c>
      <c r="AR864" t="s">
        <v>15641</v>
      </c>
      <c r="AS864" t="s">
        <v>15642</v>
      </c>
      <c r="AT864" t="s">
        <v>13778</v>
      </c>
      <c r="AU864">
        <v>2023</v>
      </c>
      <c r="AV864">
        <v>310</v>
      </c>
      <c r="AW864" t="s">
        <v>74</v>
      </c>
      <c r="AX864" t="s">
        <v>74</v>
      </c>
      <c r="AY864" t="s">
        <v>74</v>
      </c>
      <c r="AZ864" t="s">
        <v>74</v>
      </c>
      <c r="BA864" t="s">
        <v>74</v>
      </c>
      <c r="BB864" t="s">
        <v>74</v>
      </c>
      <c r="BC864" t="s">
        <v>74</v>
      </c>
      <c r="BD864">
        <v>119953</v>
      </c>
      <c r="BE864" t="s">
        <v>15643</v>
      </c>
      <c r="BF864" t="str">
        <f>HYPERLINK("http://dx.doi.org/10.1016/j.atmosenv.2023.119953","http://dx.doi.org/10.1016/j.atmosenv.2023.119953")</f>
        <v>http://dx.doi.org/10.1016/j.atmosenv.2023.119953</v>
      </c>
      <c r="BG864" t="s">
        <v>74</v>
      </c>
      <c r="BH864" t="s">
        <v>74</v>
      </c>
      <c r="BI864">
        <v>13</v>
      </c>
      <c r="BJ864" t="s">
        <v>15644</v>
      </c>
      <c r="BK864" t="s">
        <v>100</v>
      </c>
      <c r="BL864" t="s">
        <v>15645</v>
      </c>
      <c r="BM864" t="s">
        <v>15646</v>
      </c>
      <c r="BN864" t="s">
        <v>74</v>
      </c>
      <c r="BO864" t="s">
        <v>295</v>
      </c>
      <c r="BP864" t="s">
        <v>74</v>
      </c>
      <c r="BQ864" t="s">
        <v>74</v>
      </c>
      <c r="BR864" t="s">
        <v>104</v>
      </c>
      <c r="BS864" t="s">
        <v>15647</v>
      </c>
      <c r="BT864" t="str">
        <f>HYPERLINK("https%3A%2F%2Fwww.webofscience.com%2Fwos%2Fwoscc%2Ffull-record%2FWOS:001048968700001","View Full Record in Web of Science")</f>
        <v>View Full Record in Web of Science</v>
      </c>
    </row>
    <row r="865" spans="1:72" x14ac:dyDescent="0.15">
      <c r="A865" t="s">
        <v>72</v>
      </c>
      <c r="B865" t="s">
        <v>15648</v>
      </c>
      <c r="C865" t="s">
        <v>74</v>
      </c>
      <c r="D865" t="s">
        <v>74</v>
      </c>
      <c r="E865" t="s">
        <v>74</v>
      </c>
      <c r="F865" t="s">
        <v>15649</v>
      </c>
      <c r="G865" t="s">
        <v>74</v>
      </c>
      <c r="H865" t="s">
        <v>74</v>
      </c>
      <c r="I865" t="s">
        <v>15650</v>
      </c>
      <c r="J865" t="s">
        <v>14586</v>
      </c>
      <c r="K865" t="s">
        <v>74</v>
      </c>
      <c r="L865" t="s">
        <v>74</v>
      </c>
      <c r="M865" t="s">
        <v>78</v>
      </c>
      <c r="N865" t="s">
        <v>79</v>
      </c>
      <c r="O865" t="s">
        <v>74</v>
      </c>
      <c r="P865" t="s">
        <v>74</v>
      </c>
      <c r="Q865" t="s">
        <v>74</v>
      </c>
      <c r="R865" t="s">
        <v>74</v>
      </c>
      <c r="S865" t="s">
        <v>74</v>
      </c>
      <c r="T865" t="s">
        <v>15651</v>
      </c>
      <c r="U865" t="s">
        <v>15652</v>
      </c>
      <c r="V865" t="s">
        <v>15653</v>
      </c>
      <c r="W865" t="s">
        <v>15654</v>
      </c>
      <c r="X865" t="s">
        <v>15655</v>
      </c>
      <c r="Y865" t="s">
        <v>15656</v>
      </c>
      <c r="Z865" t="s">
        <v>15657</v>
      </c>
      <c r="AA865" t="s">
        <v>74</v>
      </c>
      <c r="AB865" t="s">
        <v>74</v>
      </c>
      <c r="AC865" t="s">
        <v>15658</v>
      </c>
      <c r="AD865" t="s">
        <v>15659</v>
      </c>
      <c r="AE865" t="s">
        <v>15660</v>
      </c>
      <c r="AF865" t="s">
        <v>74</v>
      </c>
      <c r="AG865">
        <v>92</v>
      </c>
      <c r="AH865">
        <v>0</v>
      </c>
      <c r="AI865">
        <v>0</v>
      </c>
      <c r="AJ865">
        <v>13</v>
      </c>
      <c r="AK865">
        <v>13</v>
      </c>
      <c r="AL865" t="s">
        <v>120</v>
      </c>
      <c r="AM865" t="s">
        <v>121</v>
      </c>
      <c r="AN865" t="s">
        <v>122</v>
      </c>
      <c r="AO865" t="s">
        <v>14599</v>
      </c>
      <c r="AP865" t="s">
        <v>14600</v>
      </c>
      <c r="AQ865" t="s">
        <v>74</v>
      </c>
      <c r="AR865" t="s">
        <v>14601</v>
      </c>
      <c r="AS865" t="s">
        <v>14602</v>
      </c>
      <c r="AT865" t="s">
        <v>13744</v>
      </c>
      <c r="AU865">
        <v>2023</v>
      </c>
      <c r="AV865">
        <v>11</v>
      </c>
      <c r="AW865">
        <v>5</v>
      </c>
      <c r="AX865" t="s">
        <v>74</v>
      </c>
      <c r="AY865" t="s">
        <v>74</v>
      </c>
      <c r="AZ865" t="s">
        <v>74</v>
      </c>
      <c r="BA865" t="s">
        <v>74</v>
      </c>
      <c r="BB865" t="s">
        <v>74</v>
      </c>
      <c r="BC865" t="s">
        <v>74</v>
      </c>
      <c r="BD865">
        <v>110650</v>
      </c>
      <c r="BE865" t="s">
        <v>15661</v>
      </c>
      <c r="BF865" t="str">
        <f>HYPERLINK("http://dx.doi.org/10.1016/j.jece.2023.110650","http://dx.doi.org/10.1016/j.jece.2023.110650")</f>
        <v>http://dx.doi.org/10.1016/j.jece.2023.110650</v>
      </c>
      <c r="BG865" t="s">
        <v>74</v>
      </c>
      <c r="BH865" t="s">
        <v>74</v>
      </c>
      <c r="BI865">
        <v>18</v>
      </c>
      <c r="BJ865" t="s">
        <v>14604</v>
      </c>
      <c r="BK865" t="s">
        <v>100</v>
      </c>
      <c r="BL865" t="s">
        <v>873</v>
      </c>
      <c r="BM865" t="s">
        <v>15662</v>
      </c>
      <c r="BN865" t="s">
        <v>74</v>
      </c>
      <c r="BO865" t="s">
        <v>74</v>
      </c>
      <c r="BP865" t="s">
        <v>74</v>
      </c>
      <c r="BQ865" t="s">
        <v>74</v>
      </c>
      <c r="BR865" t="s">
        <v>104</v>
      </c>
      <c r="BS865" t="s">
        <v>15663</v>
      </c>
      <c r="BT865" t="str">
        <f>HYPERLINK("https%3A%2F%2Fwww.webofscience.com%2Fwos%2Fwoscc%2Ffull-record%2FWOS:001049541600001","View Full Record in Web of Science")</f>
        <v>View Full Record in Web of Science</v>
      </c>
    </row>
    <row r="866" spans="1:72" x14ac:dyDescent="0.15">
      <c r="A866" t="s">
        <v>72</v>
      </c>
      <c r="B866" t="s">
        <v>15664</v>
      </c>
      <c r="C866" t="s">
        <v>74</v>
      </c>
      <c r="D866" t="s">
        <v>74</v>
      </c>
      <c r="E866" t="s">
        <v>74</v>
      </c>
      <c r="F866" t="s">
        <v>15665</v>
      </c>
      <c r="G866" t="s">
        <v>74</v>
      </c>
      <c r="H866" t="s">
        <v>74</v>
      </c>
      <c r="I866" t="s">
        <v>15666</v>
      </c>
      <c r="J866" t="s">
        <v>15667</v>
      </c>
      <c r="K866" t="s">
        <v>74</v>
      </c>
      <c r="L866" t="s">
        <v>74</v>
      </c>
      <c r="M866" t="s">
        <v>78</v>
      </c>
      <c r="N866" t="s">
        <v>79</v>
      </c>
      <c r="O866" t="s">
        <v>74</v>
      </c>
      <c r="P866" t="s">
        <v>74</v>
      </c>
      <c r="Q866" t="s">
        <v>74</v>
      </c>
      <c r="R866" t="s">
        <v>74</v>
      </c>
      <c r="S866" t="s">
        <v>74</v>
      </c>
      <c r="T866" t="s">
        <v>15668</v>
      </c>
      <c r="U866" t="s">
        <v>15669</v>
      </c>
      <c r="V866" t="s">
        <v>15670</v>
      </c>
      <c r="W866" t="s">
        <v>15671</v>
      </c>
      <c r="X866" t="s">
        <v>15672</v>
      </c>
      <c r="Y866" t="s">
        <v>15673</v>
      </c>
      <c r="Z866" t="s">
        <v>15674</v>
      </c>
      <c r="AA866" t="s">
        <v>74</v>
      </c>
      <c r="AB866" t="s">
        <v>15675</v>
      </c>
      <c r="AC866" t="s">
        <v>15676</v>
      </c>
      <c r="AD866" t="s">
        <v>15677</v>
      </c>
      <c r="AE866" t="s">
        <v>15678</v>
      </c>
      <c r="AF866" t="s">
        <v>74</v>
      </c>
      <c r="AG866">
        <v>42</v>
      </c>
      <c r="AH866">
        <v>0</v>
      </c>
      <c r="AI866">
        <v>0</v>
      </c>
      <c r="AJ866">
        <v>0</v>
      </c>
      <c r="AK866">
        <v>0</v>
      </c>
      <c r="AL866" t="s">
        <v>475</v>
      </c>
      <c r="AM866" t="s">
        <v>476</v>
      </c>
      <c r="AN866" t="s">
        <v>477</v>
      </c>
      <c r="AO866" t="s">
        <v>15679</v>
      </c>
      <c r="AP866" t="s">
        <v>15680</v>
      </c>
      <c r="AQ866" t="s">
        <v>74</v>
      </c>
      <c r="AR866" t="s">
        <v>15681</v>
      </c>
      <c r="AS866" t="s">
        <v>15682</v>
      </c>
      <c r="AT866" t="s">
        <v>13744</v>
      </c>
      <c r="AU866">
        <v>2023</v>
      </c>
      <c r="AV866">
        <v>253</v>
      </c>
      <c r="AW866" t="s">
        <v>74</v>
      </c>
      <c r="AX866" t="s">
        <v>74</v>
      </c>
      <c r="AY866" t="s">
        <v>74</v>
      </c>
      <c r="AZ866" t="s">
        <v>74</v>
      </c>
      <c r="BA866" t="s">
        <v>74</v>
      </c>
      <c r="BB866" t="s">
        <v>74</v>
      </c>
      <c r="BC866" t="s">
        <v>74</v>
      </c>
      <c r="BD866">
        <v>108590</v>
      </c>
      <c r="BE866" t="s">
        <v>15683</v>
      </c>
      <c r="BF866" t="str">
        <f>HYPERLINK("http://dx.doi.org/10.1016/j.exppara.2023.108590","http://dx.doi.org/10.1016/j.exppara.2023.108590")</f>
        <v>http://dx.doi.org/10.1016/j.exppara.2023.108590</v>
      </c>
      <c r="BG866" t="s">
        <v>74</v>
      </c>
      <c r="BH866" t="s">
        <v>74</v>
      </c>
      <c r="BI866">
        <v>9</v>
      </c>
      <c r="BJ866" t="s">
        <v>3862</v>
      </c>
      <c r="BK866" t="s">
        <v>100</v>
      </c>
      <c r="BL866" t="s">
        <v>3862</v>
      </c>
      <c r="BM866" t="s">
        <v>15684</v>
      </c>
      <c r="BN866">
        <v>37544398</v>
      </c>
      <c r="BO866" t="s">
        <v>74</v>
      </c>
      <c r="BP866" t="s">
        <v>74</v>
      </c>
      <c r="BQ866" t="s">
        <v>74</v>
      </c>
      <c r="BR866" t="s">
        <v>104</v>
      </c>
      <c r="BS866" t="s">
        <v>15685</v>
      </c>
      <c r="BT866" t="str">
        <f>HYPERLINK("https%3A%2F%2Fwww.webofscience.com%2Fwos%2Fwoscc%2Ffull-record%2FWOS:001059485200001","View Full Record in Web of Science")</f>
        <v>View Full Record in Web of Science</v>
      </c>
    </row>
    <row r="867" spans="1:72" x14ac:dyDescent="0.15">
      <c r="A867" t="s">
        <v>72</v>
      </c>
      <c r="B867" t="s">
        <v>15686</v>
      </c>
      <c r="C867" t="s">
        <v>74</v>
      </c>
      <c r="D867" t="s">
        <v>74</v>
      </c>
      <c r="E867" t="s">
        <v>74</v>
      </c>
      <c r="F867" t="s">
        <v>15687</v>
      </c>
      <c r="G867" t="s">
        <v>74</v>
      </c>
      <c r="H867" t="s">
        <v>74</v>
      </c>
      <c r="I867" t="s">
        <v>15688</v>
      </c>
      <c r="J867" t="s">
        <v>15689</v>
      </c>
      <c r="K867" t="s">
        <v>74</v>
      </c>
      <c r="L867" t="s">
        <v>74</v>
      </c>
      <c r="M867" t="s">
        <v>78</v>
      </c>
      <c r="N867" t="s">
        <v>79</v>
      </c>
      <c r="O867" t="s">
        <v>74</v>
      </c>
      <c r="P867" t="s">
        <v>74</v>
      </c>
      <c r="Q867" t="s">
        <v>74</v>
      </c>
      <c r="R867" t="s">
        <v>74</v>
      </c>
      <c r="S867" t="s">
        <v>74</v>
      </c>
      <c r="T867" t="s">
        <v>15690</v>
      </c>
      <c r="U867" t="s">
        <v>15691</v>
      </c>
      <c r="V867" t="s">
        <v>15692</v>
      </c>
      <c r="W867" t="s">
        <v>15693</v>
      </c>
      <c r="X867" t="s">
        <v>15694</v>
      </c>
      <c r="Y867" t="s">
        <v>15695</v>
      </c>
      <c r="Z867" t="s">
        <v>15696</v>
      </c>
      <c r="AA867" t="s">
        <v>74</v>
      </c>
      <c r="AB867" t="s">
        <v>74</v>
      </c>
      <c r="AC867" t="s">
        <v>15697</v>
      </c>
      <c r="AD867" t="s">
        <v>8277</v>
      </c>
      <c r="AE867" t="s">
        <v>15698</v>
      </c>
      <c r="AF867" t="s">
        <v>74</v>
      </c>
      <c r="AG867">
        <v>38</v>
      </c>
      <c r="AH867">
        <v>0</v>
      </c>
      <c r="AI867">
        <v>0</v>
      </c>
      <c r="AJ867">
        <v>1</v>
      </c>
      <c r="AK867">
        <v>1</v>
      </c>
      <c r="AL867" t="s">
        <v>90</v>
      </c>
      <c r="AM867" t="s">
        <v>91</v>
      </c>
      <c r="AN867" t="s">
        <v>92</v>
      </c>
      <c r="AO867" t="s">
        <v>15699</v>
      </c>
      <c r="AP867" t="s">
        <v>15700</v>
      </c>
      <c r="AQ867" t="s">
        <v>74</v>
      </c>
      <c r="AR867" t="s">
        <v>15701</v>
      </c>
      <c r="AS867" t="s">
        <v>15702</v>
      </c>
      <c r="AT867" t="s">
        <v>13744</v>
      </c>
      <c r="AU867">
        <v>2023</v>
      </c>
      <c r="AV867">
        <v>192</v>
      </c>
      <c r="AW867" t="s">
        <v>74</v>
      </c>
      <c r="AX867" t="s">
        <v>74</v>
      </c>
      <c r="AY867" t="s">
        <v>74</v>
      </c>
      <c r="AZ867" t="s">
        <v>74</v>
      </c>
      <c r="BA867" t="s">
        <v>74</v>
      </c>
      <c r="BB867" t="s">
        <v>74</v>
      </c>
      <c r="BC867" t="s">
        <v>74</v>
      </c>
      <c r="BD867">
        <v>104929</v>
      </c>
      <c r="BE867" t="s">
        <v>15703</v>
      </c>
      <c r="BF867" t="str">
        <f>HYPERLINK("http://dx.doi.org/10.1016/j.geomphys.2023.104929","http://dx.doi.org/10.1016/j.geomphys.2023.104929")</f>
        <v>http://dx.doi.org/10.1016/j.geomphys.2023.104929</v>
      </c>
      <c r="BG867" t="s">
        <v>74</v>
      </c>
      <c r="BH867" t="s">
        <v>74</v>
      </c>
      <c r="BI867">
        <v>26</v>
      </c>
      <c r="BJ867" t="s">
        <v>15704</v>
      </c>
      <c r="BK867" t="s">
        <v>100</v>
      </c>
      <c r="BL867" t="s">
        <v>15705</v>
      </c>
      <c r="BM867" t="s">
        <v>15706</v>
      </c>
      <c r="BN867" t="s">
        <v>74</v>
      </c>
      <c r="BO867" t="s">
        <v>103</v>
      </c>
      <c r="BP867" t="s">
        <v>74</v>
      </c>
      <c r="BQ867" t="s">
        <v>74</v>
      </c>
      <c r="BR867" t="s">
        <v>104</v>
      </c>
      <c r="BS867" t="s">
        <v>15707</v>
      </c>
      <c r="BT867" t="str">
        <f>HYPERLINK("https%3A%2F%2Fwww.webofscience.com%2Fwos%2Fwoscc%2Ffull-record%2FWOS:001052665000001","View Full Record in Web of Science")</f>
        <v>View Full Record in Web of Science</v>
      </c>
    </row>
    <row r="868" spans="1:72" x14ac:dyDescent="0.15">
      <c r="A868" t="s">
        <v>72</v>
      </c>
      <c r="B868" t="s">
        <v>15708</v>
      </c>
      <c r="C868" t="s">
        <v>74</v>
      </c>
      <c r="D868" t="s">
        <v>74</v>
      </c>
      <c r="E868" t="s">
        <v>74</v>
      </c>
      <c r="F868" t="s">
        <v>15709</v>
      </c>
      <c r="G868" t="s">
        <v>74</v>
      </c>
      <c r="H868" t="s">
        <v>74</v>
      </c>
      <c r="I868" t="s">
        <v>15710</v>
      </c>
      <c r="J868" t="s">
        <v>3740</v>
      </c>
      <c r="K868" t="s">
        <v>74</v>
      </c>
      <c r="L868" t="s">
        <v>74</v>
      </c>
      <c r="M868" t="s">
        <v>78</v>
      </c>
      <c r="N868" t="s">
        <v>79</v>
      </c>
      <c r="O868" t="s">
        <v>74</v>
      </c>
      <c r="P868" t="s">
        <v>74</v>
      </c>
      <c r="Q868" t="s">
        <v>74</v>
      </c>
      <c r="R868" t="s">
        <v>74</v>
      </c>
      <c r="S868" t="s">
        <v>74</v>
      </c>
      <c r="T868" t="s">
        <v>15711</v>
      </c>
      <c r="U868" t="s">
        <v>15712</v>
      </c>
      <c r="V868" t="s">
        <v>15713</v>
      </c>
      <c r="W868" t="s">
        <v>15714</v>
      </c>
      <c r="X868" t="s">
        <v>8523</v>
      </c>
      <c r="Y868" t="s">
        <v>15715</v>
      </c>
      <c r="Z868" t="s">
        <v>15716</v>
      </c>
      <c r="AA868" t="s">
        <v>74</v>
      </c>
      <c r="AB868" t="s">
        <v>74</v>
      </c>
      <c r="AC868" t="s">
        <v>15717</v>
      </c>
      <c r="AD868" t="s">
        <v>15718</v>
      </c>
      <c r="AE868" t="s">
        <v>15719</v>
      </c>
      <c r="AF868" t="s">
        <v>74</v>
      </c>
      <c r="AG868">
        <v>45</v>
      </c>
      <c r="AH868">
        <v>0</v>
      </c>
      <c r="AI868">
        <v>0</v>
      </c>
      <c r="AJ868">
        <v>2</v>
      </c>
      <c r="AK868">
        <v>2</v>
      </c>
      <c r="AL868" t="s">
        <v>90</v>
      </c>
      <c r="AM868" t="s">
        <v>91</v>
      </c>
      <c r="AN868" t="s">
        <v>92</v>
      </c>
      <c r="AO868" t="s">
        <v>3751</v>
      </c>
      <c r="AP868" t="s">
        <v>3752</v>
      </c>
      <c r="AQ868" t="s">
        <v>74</v>
      </c>
      <c r="AR868" t="s">
        <v>3753</v>
      </c>
      <c r="AS868" t="s">
        <v>3754</v>
      </c>
      <c r="AT868" t="s">
        <v>13778</v>
      </c>
      <c r="AU868">
        <v>2023</v>
      </c>
      <c r="AV868">
        <v>250</v>
      </c>
      <c r="AW868" t="s">
        <v>74</v>
      </c>
      <c r="AX868" t="s">
        <v>74</v>
      </c>
      <c r="AY868" t="s">
        <v>74</v>
      </c>
      <c r="AZ868" t="s">
        <v>74</v>
      </c>
      <c r="BA868" t="s">
        <v>74</v>
      </c>
      <c r="BB868" t="s">
        <v>74</v>
      </c>
      <c r="BC868" t="s">
        <v>74</v>
      </c>
      <c r="BD868">
        <v>126163</v>
      </c>
      <c r="BE868" t="s">
        <v>15720</v>
      </c>
      <c r="BF868" t="str">
        <f>HYPERLINK("http://dx.doi.org/10.1016/j.ijbiomac.2023.126163","http://dx.doi.org/10.1016/j.ijbiomac.2023.126163")</f>
        <v>http://dx.doi.org/10.1016/j.ijbiomac.2023.126163</v>
      </c>
      <c r="BG868" t="s">
        <v>74</v>
      </c>
      <c r="BH868" t="s">
        <v>74</v>
      </c>
      <c r="BI868">
        <v>8</v>
      </c>
      <c r="BJ868" t="s">
        <v>3756</v>
      </c>
      <c r="BK868" t="s">
        <v>100</v>
      </c>
      <c r="BL868" t="s">
        <v>3757</v>
      </c>
      <c r="BM868" t="s">
        <v>15721</v>
      </c>
      <c r="BN868">
        <v>37549766</v>
      </c>
      <c r="BO868" t="s">
        <v>74</v>
      </c>
      <c r="BP868" t="s">
        <v>74</v>
      </c>
      <c r="BQ868" t="s">
        <v>74</v>
      </c>
      <c r="BR868" t="s">
        <v>104</v>
      </c>
      <c r="BS868" t="s">
        <v>15722</v>
      </c>
      <c r="BT868" t="str">
        <f>HYPERLINK("https%3A%2F%2Fwww.webofscience.com%2Fwos%2Fwoscc%2Ffull-record%2FWOS:001060575200001","View Full Record in Web of Science")</f>
        <v>View Full Record in Web of Science</v>
      </c>
    </row>
    <row r="869" spans="1:72" x14ac:dyDescent="0.15">
      <c r="A869" t="s">
        <v>72</v>
      </c>
      <c r="B869" t="s">
        <v>15723</v>
      </c>
      <c r="C869" t="s">
        <v>74</v>
      </c>
      <c r="D869" t="s">
        <v>74</v>
      </c>
      <c r="E869" t="s">
        <v>74</v>
      </c>
      <c r="F869" t="s">
        <v>15724</v>
      </c>
      <c r="G869" t="s">
        <v>74</v>
      </c>
      <c r="H869" t="s">
        <v>74</v>
      </c>
      <c r="I869" t="s">
        <v>15725</v>
      </c>
      <c r="J869" t="s">
        <v>15726</v>
      </c>
      <c r="K869" t="s">
        <v>74</v>
      </c>
      <c r="L869" t="s">
        <v>74</v>
      </c>
      <c r="M869" t="s">
        <v>78</v>
      </c>
      <c r="N869" t="s">
        <v>79</v>
      </c>
      <c r="O869" t="s">
        <v>74</v>
      </c>
      <c r="P869" t="s">
        <v>74</v>
      </c>
      <c r="Q869" t="s">
        <v>74</v>
      </c>
      <c r="R869" t="s">
        <v>74</v>
      </c>
      <c r="S869" t="s">
        <v>74</v>
      </c>
      <c r="T869" t="s">
        <v>15727</v>
      </c>
      <c r="U869" t="s">
        <v>15728</v>
      </c>
      <c r="V869" t="s">
        <v>15729</v>
      </c>
      <c r="W869" t="s">
        <v>15730</v>
      </c>
      <c r="X869" t="s">
        <v>15731</v>
      </c>
      <c r="Y869" t="s">
        <v>15732</v>
      </c>
      <c r="Z869" t="s">
        <v>15733</v>
      </c>
      <c r="AA869" t="s">
        <v>74</v>
      </c>
      <c r="AB869" t="s">
        <v>74</v>
      </c>
      <c r="AC869" t="s">
        <v>15734</v>
      </c>
      <c r="AD869" t="s">
        <v>15735</v>
      </c>
      <c r="AE869" t="s">
        <v>15736</v>
      </c>
      <c r="AF869" t="s">
        <v>74</v>
      </c>
      <c r="AG869">
        <v>139</v>
      </c>
      <c r="AH869">
        <v>0</v>
      </c>
      <c r="AI869">
        <v>0</v>
      </c>
      <c r="AJ869">
        <v>0</v>
      </c>
      <c r="AK869">
        <v>0</v>
      </c>
      <c r="AL869" t="s">
        <v>475</v>
      </c>
      <c r="AM869" t="s">
        <v>476</v>
      </c>
      <c r="AN869" t="s">
        <v>477</v>
      </c>
      <c r="AO869" t="s">
        <v>15737</v>
      </c>
      <c r="AP869" t="s">
        <v>15738</v>
      </c>
      <c r="AQ869" t="s">
        <v>74</v>
      </c>
      <c r="AR869" t="s">
        <v>15726</v>
      </c>
      <c r="AS869" t="s">
        <v>15739</v>
      </c>
      <c r="AT869" t="s">
        <v>13744</v>
      </c>
      <c r="AU869">
        <v>2023</v>
      </c>
      <c r="AV869">
        <v>587</v>
      </c>
      <c r="AW869" t="s">
        <v>74</v>
      </c>
      <c r="AX869" t="s">
        <v>74</v>
      </c>
      <c r="AY869" t="s">
        <v>74</v>
      </c>
      <c r="AZ869" t="s">
        <v>74</v>
      </c>
      <c r="BA869" t="s">
        <v>74</v>
      </c>
      <c r="BB869" t="s">
        <v>74</v>
      </c>
      <c r="BC869" t="s">
        <v>74</v>
      </c>
      <c r="BD869">
        <v>109862</v>
      </c>
      <c r="BE869" t="s">
        <v>15740</v>
      </c>
      <c r="BF869" t="str">
        <f>HYPERLINK("http://dx.doi.org/10.1016/j.virol.2023.109862","http://dx.doi.org/10.1016/j.virol.2023.109862")</f>
        <v>http://dx.doi.org/10.1016/j.virol.2023.109862</v>
      </c>
      <c r="BG869" t="s">
        <v>74</v>
      </c>
      <c r="BH869" t="s">
        <v>74</v>
      </c>
      <c r="BI869">
        <v>11</v>
      </c>
      <c r="BJ869" t="s">
        <v>15739</v>
      </c>
      <c r="BK869" t="s">
        <v>100</v>
      </c>
      <c r="BL869" t="s">
        <v>15739</v>
      </c>
      <c r="BM869" t="s">
        <v>15741</v>
      </c>
      <c r="BN869">
        <v>37562287</v>
      </c>
      <c r="BO869" t="s">
        <v>74</v>
      </c>
      <c r="BP869" t="s">
        <v>74</v>
      </c>
      <c r="BQ869" t="s">
        <v>74</v>
      </c>
      <c r="BR869" t="s">
        <v>104</v>
      </c>
      <c r="BS869" t="s">
        <v>15742</v>
      </c>
      <c r="BT869" t="str">
        <f>HYPERLINK("https%3A%2F%2Fwww.webofscience.com%2Fwos%2Fwoscc%2Ffull-record%2FWOS:001071142800001","View Full Record in Web of Science")</f>
        <v>View Full Record in Web of Science</v>
      </c>
    </row>
    <row r="870" spans="1:72" x14ac:dyDescent="0.15">
      <c r="A870" t="s">
        <v>72</v>
      </c>
      <c r="B870" t="s">
        <v>15743</v>
      </c>
      <c r="C870" t="s">
        <v>74</v>
      </c>
      <c r="D870" t="s">
        <v>74</v>
      </c>
      <c r="E870" t="s">
        <v>74</v>
      </c>
      <c r="F870" t="s">
        <v>15744</v>
      </c>
      <c r="G870" t="s">
        <v>74</v>
      </c>
      <c r="H870" t="s">
        <v>74</v>
      </c>
      <c r="I870" t="s">
        <v>15745</v>
      </c>
      <c r="J870" t="s">
        <v>15746</v>
      </c>
      <c r="K870" t="s">
        <v>74</v>
      </c>
      <c r="L870" t="s">
        <v>74</v>
      </c>
      <c r="M870" t="s">
        <v>78</v>
      </c>
      <c r="N870" t="s">
        <v>79</v>
      </c>
      <c r="O870" t="s">
        <v>74</v>
      </c>
      <c r="P870" t="s">
        <v>74</v>
      </c>
      <c r="Q870" t="s">
        <v>74</v>
      </c>
      <c r="R870" t="s">
        <v>74</v>
      </c>
      <c r="S870" t="s">
        <v>74</v>
      </c>
      <c r="T870" t="s">
        <v>15747</v>
      </c>
      <c r="U870" t="s">
        <v>15748</v>
      </c>
      <c r="V870" t="s">
        <v>15749</v>
      </c>
      <c r="W870" t="s">
        <v>15750</v>
      </c>
      <c r="X870" t="s">
        <v>15751</v>
      </c>
      <c r="Y870" t="s">
        <v>15752</v>
      </c>
      <c r="Z870" t="s">
        <v>15753</v>
      </c>
      <c r="AA870" t="s">
        <v>74</v>
      </c>
      <c r="AB870" t="s">
        <v>74</v>
      </c>
      <c r="AC870" t="s">
        <v>15754</v>
      </c>
      <c r="AD870" t="s">
        <v>15755</v>
      </c>
      <c r="AE870" t="s">
        <v>15756</v>
      </c>
      <c r="AF870" t="s">
        <v>74</v>
      </c>
      <c r="AG870">
        <v>53</v>
      </c>
      <c r="AH870">
        <v>0</v>
      </c>
      <c r="AI870">
        <v>0</v>
      </c>
      <c r="AJ870">
        <v>1</v>
      </c>
      <c r="AK870">
        <v>1</v>
      </c>
      <c r="AL870" t="s">
        <v>90</v>
      </c>
      <c r="AM870" t="s">
        <v>91</v>
      </c>
      <c r="AN870" t="s">
        <v>92</v>
      </c>
      <c r="AO870" t="s">
        <v>15757</v>
      </c>
      <c r="AP870" t="s">
        <v>15758</v>
      </c>
      <c r="AQ870" t="s">
        <v>74</v>
      </c>
      <c r="AR870" t="s">
        <v>15759</v>
      </c>
      <c r="AS870" t="s">
        <v>15760</v>
      </c>
      <c r="AT870" t="s">
        <v>13744</v>
      </c>
      <c r="AU870">
        <v>2023</v>
      </c>
      <c r="AV870">
        <v>146</v>
      </c>
      <c r="AW870" t="s">
        <v>74</v>
      </c>
      <c r="AX870" t="s">
        <v>74</v>
      </c>
      <c r="AY870" t="s">
        <v>74</v>
      </c>
      <c r="AZ870" t="s">
        <v>74</v>
      </c>
      <c r="BA870" t="s">
        <v>74</v>
      </c>
      <c r="BB870" t="s">
        <v>74</v>
      </c>
      <c r="BC870" t="s">
        <v>74</v>
      </c>
      <c r="BD870">
        <v>110653</v>
      </c>
      <c r="BE870" t="s">
        <v>15761</v>
      </c>
      <c r="BF870" t="str">
        <f>HYPERLINK("http://dx.doi.org/10.1016/j.asoc.2023.110653","http://dx.doi.org/10.1016/j.asoc.2023.110653")</f>
        <v>http://dx.doi.org/10.1016/j.asoc.2023.110653</v>
      </c>
      <c r="BG870" t="s">
        <v>74</v>
      </c>
      <c r="BH870" t="s">
        <v>74</v>
      </c>
      <c r="BI870">
        <v>15</v>
      </c>
      <c r="BJ870" t="s">
        <v>15762</v>
      </c>
      <c r="BK870" t="s">
        <v>100</v>
      </c>
      <c r="BL870" t="s">
        <v>563</v>
      </c>
      <c r="BM870" t="s">
        <v>15763</v>
      </c>
      <c r="BN870" t="s">
        <v>74</v>
      </c>
      <c r="BO870" t="s">
        <v>74</v>
      </c>
      <c r="BP870" t="s">
        <v>74</v>
      </c>
      <c r="BQ870" t="s">
        <v>74</v>
      </c>
      <c r="BR870" t="s">
        <v>104</v>
      </c>
      <c r="BS870" t="s">
        <v>15764</v>
      </c>
      <c r="BT870" t="str">
        <f>HYPERLINK("https%3A%2F%2Fwww.webofscience.com%2Fwos%2Fwoscc%2Ffull-record%2FWOS:001062259000001","View Full Record in Web of Science")</f>
        <v>View Full Record in Web of Science</v>
      </c>
    </row>
    <row r="871" spans="1:72" x14ac:dyDescent="0.15">
      <c r="A871" t="s">
        <v>72</v>
      </c>
      <c r="B871" t="s">
        <v>15765</v>
      </c>
      <c r="C871" t="s">
        <v>74</v>
      </c>
      <c r="D871" t="s">
        <v>74</v>
      </c>
      <c r="E871" t="s">
        <v>74</v>
      </c>
      <c r="F871" t="s">
        <v>15766</v>
      </c>
      <c r="G871" t="s">
        <v>74</v>
      </c>
      <c r="H871" t="s">
        <v>74</v>
      </c>
      <c r="I871" t="s">
        <v>15767</v>
      </c>
      <c r="J871" t="s">
        <v>15768</v>
      </c>
      <c r="K871" t="s">
        <v>74</v>
      </c>
      <c r="L871" t="s">
        <v>74</v>
      </c>
      <c r="M871" t="s">
        <v>78</v>
      </c>
      <c r="N871" t="s">
        <v>79</v>
      </c>
      <c r="O871" t="s">
        <v>74</v>
      </c>
      <c r="P871" t="s">
        <v>74</v>
      </c>
      <c r="Q871" t="s">
        <v>74</v>
      </c>
      <c r="R871" t="s">
        <v>74</v>
      </c>
      <c r="S871" t="s">
        <v>74</v>
      </c>
      <c r="T871" t="s">
        <v>15769</v>
      </c>
      <c r="U871" t="s">
        <v>15770</v>
      </c>
      <c r="V871" t="s">
        <v>15771</v>
      </c>
      <c r="W871" t="s">
        <v>15772</v>
      </c>
      <c r="X871" t="s">
        <v>13342</v>
      </c>
      <c r="Y871" t="s">
        <v>15773</v>
      </c>
      <c r="Z871" t="s">
        <v>15774</v>
      </c>
      <c r="AA871" t="s">
        <v>15775</v>
      </c>
      <c r="AB871" t="s">
        <v>15776</v>
      </c>
      <c r="AC871" t="s">
        <v>15777</v>
      </c>
      <c r="AD871" t="s">
        <v>15778</v>
      </c>
      <c r="AE871" t="s">
        <v>15779</v>
      </c>
      <c r="AF871" t="s">
        <v>74</v>
      </c>
      <c r="AG871">
        <v>45</v>
      </c>
      <c r="AH871">
        <v>0</v>
      </c>
      <c r="AI871">
        <v>0</v>
      </c>
      <c r="AJ871">
        <v>1</v>
      </c>
      <c r="AK871">
        <v>1</v>
      </c>
      <c r="AL871" t="s">
        <v>90</v>
      </c>
      <c r="AM871" t="s">
        <v>91</v>
      </c>
      <c r="AN871" t="s">
        <v>92</v>
      </c>
      <c r="AO871" t="s">
        <v>74</v>
      </c>
      <c r="AP871" t="s">
        <v>15780</v>
      </c>
      <c r="AQ871" t="s">
        <v>74</v>
      </c>
      <c r="AR871" t="s">
        <v>15781</v>
      </c>
      <c r="AS871" t="s">
        <v>15782</v>
      </c>
      <c r="AT871" t="s">
        <v>13744</v>
      </c>
      <c r="AU871">
        <v>2023</v>
      </c>
      <c r="AV871">
        <v>15</v>
      </c>
      <c r="AW871" t="s">
        <v>74</v>
      </c>
      <c r="AX871" t="s">
        <v>74</v>
      </c>
      <c r="AY871" t="s">
        <v>74</v>
      </c>
      <c r="AZ871" t="s">
        <v>74</v>
      </c>
      <c r="BA871" t="s">
        <v>74</v>
      </c>
      <c r="BB871" t="s">
        <v>74</v>
      </c>
      <c r="BC871" t="s">
        <v>74</v>
      </c>
      <c r="BD871">
        <v>100200</v>
      </c>
      <c r="BE871" t="s">
        <v>15783</v>
      </c>
      <c r="BF871" t="str">
        <f>HYPERLINK("http://dx.doi.org/10.1016/j.dibe.2023.100200","http://dx.doi.org/10.1016/j.dibe.2023.100200")</f>
        <v>http://dx.doi.org/10.1016/j.dibe.2023.100200</v>
      </c>
      <c r="BG871" t="s">
        <v>74</v>
      </c>
      <c r="BH871" t="s">
        <v>74</v>
      </c>
      <c r="BI871">
        <v>13</v>
      </c>
      <c r="BJ871" t="s">
        <v>3898</v>
      </c>
      <c r="BK871" t="s">
        <v>100</v>
      </c>
      <c r="BL871" t="s">
        <v>3899</v>
      </c>
      <c r="BM871" t="s">
        <v>15784</v>
      </c>
      <c r="BN871" t="s">
        <v>74</v>
      </c>
      <c r="BO871" t="s">
        <v>295</v>
      </c>
      <c r="BP871" t="s">
        <v>74</v>
      </c>
      <c r="BQ871" t="s">
        <v>74</v>
      </c>
      <c r="BR871" t="s">
        <v>104</v>
      </c>
      <c r="BS871" t="s">
        <v>15785</v>
      </c>
      <c r="BT871" t="str">
        <f>HYPERLINK("https%3A%2F%2Fwww.webofscience.com%2Fwos%2Fwoscc%2Ffull-record%2FWOS:001054692100001","View Full Record in Web of Science")</f>
        <v>View Full Record in Web of Science</v>
      </c>
    </row>
    <row r="872" spans="1:72" x14ac:dyDescent="0.15">
      <c r="A872" t="s">
        <v>72</v>
      </c>
      <c r="B872" t="s">
        <v>15786</v>
      </c>
      <c r="C872" t="s">
        <v>74</v>
      </c>
      <c r="D872" t="s">
        <v>74</v>
      </c>
      <c r="E872" t="s">
        <v>74</v>
      </c>
      <c r="F872" t="s">
        <v>15787</v>
      </c>
      <c r="G872" t="s">
        <v>74</v>
      </c>
      <c r="H872" t="s">
        <v>74</v>
      </c>
      <c r="I872" t="s">
        <v>15788</v>
      </c>
      <c r="J872" t="s">
        <v>5534</v>
      </c>
      <c r="K872" t="s">
        <v>74</v>
      </c>
      <c r="L872" t="s">
        <v>74</v>
      </c>
      <c r="M872" t="s">
        <v>78</v>
      </c>
      <c r="N872" t="s">
        <v>79</v>
      </c>
      <c r="O872" t="s">
        <v>74</v>
      </c>
      <c r="P872" t="s">
        <v>74</v>
      </c>
      <c r="Q872" t="s">
        <v>74</v>
      </c>
      <c r="R872" t="s">
        <v>74</v>
      </c>
      <c r="S872" t="s">
        <v>74</v>
      </c>
      <c r="T872" t="s">
        <v>15789</v>
      </c>
      <c r="U872" t="s">
        <v>15790</v>
      </c>
      <c r="V872" t="s">
        <v>15791</v>
      </c>
      <c r="W872" t="s">
        <v>15792</v>
      </c>
      <c r="X872" t="s">
        <v>15793</v>
      </c>
      <c r="Y872" t="s">
        <v>15794</v>
      </c>
      <c r="Z872" t="s">
        <v>15795</v>
      </c>
      <c r="AA872" t="s">
        <v>74</v>
      </c>
      <c r="AB872" t="s">
        <v>74</v>
      </c>
      <c r="AC872" t="s">
        <v>15796</v>
      </c>
      <c r="AD872" t="s">
        <v>15793</v>
      </c>
      <c r="AE872" t="s">
        <v>15797</v>
      </c>
      <c r="AF872" t="s">
        <v>74</v>
      </c>
      <c r="AG872">
        <v>24</v>
      </c>
      <c r="AH872">
        <v>0</v>
      </c>
      <c r="AI872">
        <v>0</v>
      </c>
      <c r="AJ872">
        <v>2</v>
      </c>
      <c r="AK872">
        <v>2</v>
      </c>
      <c r="AL872" t="s">
        <v>120</v>
      </c>
      <c r="AM872" t="s">
        <v>121</v>
      </c>
      <c r="AN872" t="s">
        <v>122</v>
      </c>
      <c r="AO872" t="s">
        <v>5542</v>
      </c>
      <c r="AP872" t="s">
        <v>5543</v>
      </c>
      <c r="AQ872" t="s">
        <v>74</v>
      </c>
      <c r="AR872" t="s">
        <v>5544</v>
      </c>
      <c r="AS872" t="s">
        <v>5545</v>
      </c>
      <c r="AT872" t="s">
        <v>13778</v>
      </c>
      <c r="AU872">
        <v>2023</v>
      </c>
      <c r="AV872">
        <v>292</v>
      </c>
      <c r="AW872" t="s">
        <v>74</v>
      </c>
      <c r="AX872" t="s">
        <v>74</v>
      </c>
      <c r="AY872" t="s">
        <v>74</v>
      </c>
      <c r="AZ872" t="s">
        <v>74</v>
      </c>
      <c r="BA872" t="s">
        <v>74</v>
      </c>
      <c r="BB872" t="s">
        <v>74</v>
      </c>
      <c r="BC872" t="s">
        <v>74</v>
      </c>
      <c r="BD872">
        <v>116520</v>
      </c>
      <c r="BE872" t="s">
        <v>15798</v>
      </c>
      <c r="BF872" t="str">
        <f>HYPERLINK("http://dx.doi.org/10.1016/j.engstruct.2023.116520","http://dx.doi.org/10.1016/j.engstruct.2023.116520")</f>
        <v>http://dx.doi.org/10.1016/j.engstruct.2023.116520</v>
      </c>
      <c r="BG872" t="s">
        <v>74</v>
      </c>
      <c r="BH872" t="s">
        <v>74</v>
      </c>
      <c r="BI872">
        <v>13</v>
      </c>
      <c r="BJ872" t="s">
        <v>5547</v>
      </c>
      <c r="BK872" t="s">
        <v>100</v>
      </c>
      <c r="BL872" t="s">
        <v>873</v>
      </c>
      <c r="BM872" t="s">
        <v>15799</v>
      </c>
      <c r="BN872" t="s">
        <v>74</v>
      </c>
      <c r="BO872" t="s">
        <v>74</v>
      </c>
      <c r="BP872" t="s">
        <v>74</v>
      </c>
      <c r="BQ872" t="s">
        <v>74</v>
      </c>
      <c r="BR872" t="s">
        <v>104</v>
      </c>
      <c r="BS872" t="s">
        <v>15800</v>
      </c>
      <c r="BT872" t="str">
        <f>HYPERLINK("https%3A%2F%2Fwww.webofscience.com%2Fwos%2Fwoscc%2Ffull-record%2FWOS:001045763000001","View Full Record in Web of Science")</f>
        <v>View Full Record in Web of Science</v>
      </c>
    </row>
    <row r="873" spans="1:72" x14ac:dyDescent="0.15">
      <c r="A873" t="s">
        <v>72</v>
      </c>
      <c r="B873" t="s">
        <v>15801</v>
      </c>
      <c r="C873" t="s">
        <v>74</v>
      </c>
      <c r="D873" t="s">
        <v>74</v>
      </c>
      <c r="E873" t="s">
        <v>74</v>
      </c>
      <c r="F873" t="s">
        <v>15802</v>
      </c>
      <c r="G873" t="s">
        <v>74</v>
      </c>
      <c r="H873" t="s">
        <v>74</v>
      </c>
      <c r="I873" t="s">
        <v>15803</v>
      </c>
      <c r="J873" t="s">
        <v>6790</v>
      </c>
      <c r="K873" t="s">
        <v>74</v>
      </c>
      <c r="L873" t="s">
        <v>74</v>
      </c>
      <c r="M873" t="s">
        <v>78</v>
      </c>
      <c r="N873" t="s">
        <v>79</v>
      </c>
      <c r="O873" t="s">
        <v>74</v>
      </c>
      <c r="P873" t="s">
        <v>74</v>
      </c>
      <c r="Q873" t="s">
        <v>74</v>
      </c>
      <c r="R873" t="s">
        <v>74</v>
      </c>
      <c r="S873" t="s">
        <v>74</v>
      </c>
      <c r="T873" t="s">
        <v>15804</v>
      </c>
      <c r="U873" t="s">
        <v>15805</v>
      </c>
      <c r="V873" t="s">
        <v>15806</v>
      </c>
      <c r="W873" t="s">
        <v>15807</v>
      </c>
      <c r="X873" t="s">
        <v>15808</v>
      </c>
      <c r="Y873" t="s">
        <v>15809</v>
      </c>
      <c r="Z873" t="s">
        <v>15810</v>
      </c>
      <c r="AA873" t="s">
        <v>15811</v>
      </c>
      <c r="AB873" t="s">
        <v>15812</v>
      </c>
      <c r="AC873" t="s">
        <v>74</v>
      </c>
      <c r="AD873" t="s">
        <v>74</v>
      </c>
      <c r="AE873" t="s">
        <v>74</v>
      </c>
      <c r="AF873" t="s">
        <v>74</v>
      </c>
      <c r="AG873">
        <v>121</v>
      </c>
      <c r="AH873">
        <v>0</v>
      </c>
      <c r="AI873">
        <v>0</v>
      </c>
      <c r="AJ873">
        <v>10</v>
      </c>
      <c r="AK873">
        <v>10</v>
      </c>
      <c r="AL873" t="s">
        <v>147</v>
      </c>
      <c r="AM873" t="s">
        <v>148</v>
      </c>
      <c r="AN873" t="s">
        <v>149</v>
      </c>
      <c r="AO873" t="s">
        <v>6798</v>
      </c>
      <c r="AP873" t="s">
        <v>74</v>
      </c>
      <c r="AQ873" t="s">
        <v>74</v>
      </c>
      <c r="AR873" t="s">
        <v>6790</v>
      </c>
      <c r="AS873" t="s">
        <v>6799</v>
      </c>
      <c r="AT873" t="s">
        <v>13744</v>
      </c>
      <c r="AU873">
        <v>2023</v>
      </c>
      <c r="AV873">
        <v>56</v>
      </c>
      <c r="AW873" t="s">
        <v>74</v>
      </c>
      <c r="AX873" t="s">
        <v>74</v>
      </c>
      <c r="AY873" t="s">
        <v>74</v>
      </c>
      <c r="AZ873" t="s">
        <v>74</v>
      </c>
      <c r="BA873" t="s">
        <v>74</v>
      </c>
      <c r="BB873" t="s">
        <v>74</v>
      </c>
      <c r="BC873" t="s">
        <v>74</v>
      </c>
      <c r="BD873">
        <v>104850</v>
      </c>
      <c r="BE873" t="s">
        <v>15813</v>
      </c>
      <c r="BF873" t="str">
        <f>HYPERLINK("http://dx.doi.org/10.1016/j.istruc.2023.07.040","http://dx.doi.org/10.1016/j.istruc.2023.07.040")</f>
        <v>http://dx.doi.org/10.1016/j.istruc.2023.07.040</v>
      </c>
      <c r="BG873" t="s">
        <v>74</v>
      </c>
      <c r="BH873" t="s">
        <v>74</v>
      </c>
      <c r="BI873">
        <v>20</v>
      </c>
      <c r="BJ873" t="s">
        <v>5547</v>
      </c>
      <c r="BK873" t="s">
        <v>100</v>
      </c>
      <c r="BL873" t="s">
        <v>873</v>
      </c>
      <c r="BM873" t="s">
        <v>15814</v>
      </c>
      <c r="BN873" t="s">
        <v>74</v>
      </c>
      <c r="BO873" t="s">
        <v>74</v>
      </c>
      <c r="BP873" t="s">
        <v>74</v>
      </c>
      <c r="BQ873" t="s">
        <v>74</v>
      </c>
      <c r="BR873" t="s">
        <v>104</v>
      </c>
      <c r="BS873" t="s">
        <v>15815</v>
      </c>
      <c r="BT873" t="str">
        <f>HYPERLINK("https%3A%2F%2Fwww.webofscience.com%2Fwos%2Fwoscc%2Ffull-record%2FWOS:001044434800001","View Full Record in Web of Science")</f>
        <v>View Full Record in Web of Science</v>
      </c>
    </row>
    <row r="874" spans="1:72" x14ac:dyDescent="0.15">
      <c r="A874" t="s">
        <v>72</v>
      </c>
      <c r="B874" t="s">
        <v>15816</v>
      </c>
      <c r="C874" t="s">
        <v>74</v>
      </c>
      <c r="D874" t="s">
        <v>74</v>
      </c>
      <c r="E874" t="s">
        <v>74</v>
      </c>
      <c r="F874" t="s">
        <v>15817</v>
      </c>
      <c r="G874" t="s">
        <v>74</v>
      </c>
      <c r="H874" t="s">
        <v>74</v>
      </c>
      <c r="I874" t="s">
        <v>15818</v>
      </c>
      <c r="J874" t="s">
        <v>10085</v>
      </c>
      <c r="K874" t="s">
        <v>74</v>
      </c>
      <c r="L874" t="s">
        <v>74</v>
      </c>
      <c r="M874" t="s">
        <v>78</v>
      </c>
      <c r="N874" t="s">
        <v>79</v>
      </c>
      <c r="O874" t="s">
        <v>74</v>
      </c>
      <c r="P874" t="s">
        <v>74</v>
      </c>
      <c r="Q874" t="s">
        <v>74</v>
      </c>
      <c r="R874" t="s">
        <v>74</v>
      </c>
      <c r="S874" t="s">
        <v>74</v>
      </c>
      <c r="T874" t="s">
        <v>15819</v>
      </c>
      <c r="U874" t="s">
        <v>15820</v>
      </c>
      <c r="V874" t="s">
        <v>15821</v>
      </c>
      <c r="W874" t="s">
        <v>15822</v>
      </c>
      <c r="X874" t="s">
        <v>15823</v>
      </c>
      <c r="Y874" t="s">
        <v>15824</v>
      </c>
      <c r="Z874" t="s">
        <v>15825</v>
      </c>
      <c r="AA874" t="s">
        <v>74</v>
      </c>
      <c r="AB874" t="s">
        <v>74</v>
      </c>
      <c r="AC874" t="s">
        <v>74</v>
      </c>
      <c r="AD874" t="s">
        <v>74</v>
      </c>
      <c r="AE874" t="s">
        <v>74</v>
      </c>
      <c r="AF874" t="s">
        <v>74</v>
      </c>
      <c r="AG874">
        <v>54</v>
      </c>
      <c r="AH874">
        <v>0</v>
      </c>
      <c r="AI874">
        <v>0</v>
      </c>
      <c r="AJ874">
        <v>2</v>
      </c>
      <c r="AK874">
        <v>2</v>
      </c>
      <c r="AL874" t="s">
        <v>955</v>
      </c>
      <c r="AM874" t="s">
        <v>956</v>
      </c>
      <c r="AN874" t="s">
        <v>957</v>
      </c>
      <c r="AO874" t="s">
        <v>10096</v>
      </c>
      <c r="AP874" t="s">
        <v>10097</v>
      </c>
      <c r="AQ874" t="s">
        <v>74</v>
      </c>
      <c r="AR874" t="s">
        <v>10098</v>
      </c>
      <c r="AS874" t="s">
        <v>10099</v>
      </c>
      <c r="AT874" t="s">
        <v>13744</v>
      </c>
      <c r="AU874">
        <v>2023</v>
      </c>
      <c r="AV874">
        <v>138</v>
      </c>
      <c r="AW874" t="s">
        <v>74</v>
      </c>
      <c r="AX874" t="s">
        <v>74</v>
      </c>
      <c r="AY874" t="s">
        <v>74</v>
      </c>
      <c r="AZ874" t="s">
        <v>74</v>
      </c>
      <c r="BA874" t="s">
        <v>74</v>
      </c>
      <c r="BB874" t="s">
        <v>74</v>
      </c>
      <c r="BC874" t="s">
        <v>74</v>
      </c>
      <c r="BD874">
        <v>110215</v>
      </c>
      <c r="BE874" t="s">
        <v>15826</v>
      </c>
      <c r="BF874" t="str">
        <f>HYPERLINK("http://dx.doi.org/10.1016/j.diamond.2023.110215","http://dx.doi.org/10.1016/j.diamond.2023.110215")</f>
        <v>http://dx.doi.org/10.1016/j.diamond.2023.110215</v>
      </c>
      <c r="BG874" t="s">
        <v>74</v>
      </c>
      <c r="BH874" t="s">
        <v>74</v>
      </c>
      <c r="BI874">
        <v>9</v>
      </c>
      <c r="BJ874" t="s">
        <v>10101</v>
      </c>
      <c r="BK874" t="s">
        <v>100</v>
      </c>
      <c r="BL874" t="s">
        <v>3022</v>
      </c>
      <c r="BM874" t="s">
        <v>15827</v>
      </c>
      <c r="BN874" t="s">
        <v>74</v>
      </c>
      <c r="BO874" t="s">
        <v>74</v>
      </c>
      <c r="BP874" t="s">
        <v>74</v>
      </c>
      <c r="BQ874" t="s">
        <v>74</v>
      </c>
      <c r="BR874" t="s">
        <v>104</v>
      </c>
      <c r="BS874" t="s">
        <v>15828</v>
      </c>
      <c r="BT874" t="str">
        <f>HYPERLINK("https%3A%2F%2Fwww.webofscience.com%2Fwos%2Fwoscc%2Ffull-record%2FWOS:001046086200001","View Full Record in Web of Science")</f>
        <v>View Full Record in Web of Science</v>
      </c>
    </row>
    <row r="875" spans="1:72" x14ac:dyDescent="0.15">
      <c r="A875" t="s">
        <v>72</v>
      </c>
      <c r="B875" t="s">
        <v>15829</v>
      </c>
      <c r="C875" t="s">
        <v>74</v>
      </c>
      <c r="D875" t="s">
        <v>74</v>
      </c>
      <c r="E875" t="s">
        <v>74</v>
      </c>
      <c r="F875" t="s">
        <v>15830</v>
      </c>
      <c r="G875" t="s">
        <v>74</v>
      </c>
      <c r="H875" t="s">
        <v>74</v>
      </c>
      <c r="I875" t="s">
        <v>15831</v>
      </c>
      <c r="J875" t="s">
        <v>6790</v>
      </c>
      <c r="K875" t="s">
        <v>74</v>
      </c>
      <c r="L875" t="s">
        <v>74</v>
      </c>
      <c r="M875" t="s">
        <v>78</v>
      </c>
      <c r="N875" t="s">
        <v>79</v>
      </c>
      <c r="O875" t="s">
        <v>74</v>
      </c>
      <c r="P875" t="s">
        <v>74</v>
      </c>
      <c r="Q875" t="s">
        <v>74</v>
      </c>
      <c r="R875" t="s">
        <v>74</v>
      </c>
      <c r="S875" t="s">
        <v>74</v>
      </c>
      <c r="T875" t="s">
        <v>15832</v>
      </c>
      <c r="U875" t="s">
        <v>15833</v>
      </c>
      <c r="V875" t="s">
        <v>15834</v>
      </c>
      <c r="W875" t="s">
        <v>15835</v>
      </c>
      <c r="X875" t="s">
        <v>15836</v>
      </c>
      <c r="Y875" t="s">
        <v>15837</v>
      </c>
      <c r="Z875" t="s">
        <v>15838</v>
      </c>
      <c r="AA875" t="s">
        <v>74</v>
      </c>
      <c r="AB875" t="s">
        <v>74</v>
      </c>
      <c r="AC875" t="s">
        <v>15839</v>
      </c>
      <c r="AD875" t="s">
        <v>15840</v>
      </c>
      <c r="AE875" t="s">
        <v>15841</v>
      </c>
      <c r="AF875" t="s">
        <v>74</v>
      </c>
      <c r="AG875">
        <v>39</v>
      </c>
      <c r="AH875">
        <v>0</v>
      </c>
      <c r="AI875">
        <v>0</v>
      </c>
      <c r="AJ875">
        <v>10</v>
      </c>
      <c r="AK875">
        <v>10</v>
      </c>
      <c r="AL875" t="s">
        <v>147</v>
      </c>
      <c r="AM875" t="s">
        <v>148</v>
      </c>
      <c r="AN875" t="s">
        <v>149</v>
      </c>
      <c r="AO875" t="s">
        <v>6798</v>
      </c>
      <c r="AP875" t="s">
        <v>74</v>
      </c>
      <c r="AQ875" t="s">
        <v>74</v>
      </c>
      <c r="AR875" t="s">
        <v>6790</v>
      </c>
      <c r="AS875" t="s">
        <v>6799</v>
      </c>
      <c r="AT875" t="s">
        <v>13744</v>
      </c>
      <c r="AU875">
        <v>2023</v>
      </c>
      <c r="AV875">
        <v>56</v>
      </c>
      <c r="AW875" t="s">
        <v>74</v>
      </c>
      <c r="AX875" t="s">
        <v>74</v>
      </c>
      <c r="AY875" t="s">
        <v>74</v>
      </c>
      <c r="AZ875" t="s">
        <v>74</v>
      </c>
      <c r="BA875" t="s">
        <v>74</v>
      </c>
      <c r="BB875" t="s">
        <v>74</v>
      </c>
      <c r="BC875" t="s">
        <v>74</v>
      </c>
      <c r="BD875">
        <v>104832</v>
      </c>
      <c r="BE875" t="s">
        <v>15842</v>
      </c>
      <c r="BF875" t="str">
        <f>HYPERLINK("http://dx.doi.org/10.1016/j.istruc.2023.07.022","http://dx.doi.org/10.1016/j.istruc.2023.07.022")</f>
        <v>http://dx.doi.org/10.1016/j.istruc.2023.07.022</v>
      </c>
      <c r="BG875" t="s">
        <v>74</v>
      </c>
      <c r="BH875" t="s">
        <v>74</v>
      </c>
      <c r="BI875">
        <v>11</v>
      </c>
      <c r="BJ875" t="s">
        <v>5547</v>
      </c>
      <c r="BK875" t="s">
        <v>100</v>
      </c>
      <c r="BL875" t="s">
        <v>873</v>
      </c>
      <c r="BM875" t="s">
        <v>15843</v>
      </c>
      <c r="BN875" t="s">
        <v>74</v>
      </c>
      <c r="BO875" t="s">
        <v>74</v>
      </c>
      <c r="BP875" t="s">
        <v>74</v>
      </c>
      <c r="BQ875" t="s">
        <v>74</v>
      </c>
      <c r="BR875" t="s">
        <v>104</v>
      </c>
      <c r="BS875" t="s">
        <v>15844</v>
      </c>
      <c r="BT875" t="str">
        <f>HYPERLINK("https%3A%2F%2Fwww.webofscience.com%2Fwos%2Fwoscc%2Ffull-record%2FWOS:001043554600001","View Full Record in Web of Science")</f>
        <v>View Full Record in Web of Science</v>
      </c>
    </row>
    <row r="876" spans="1:72" x14ac:dyDescent="0.15">
      <c r="A876" t="s">
        <v>72</v>
      </c>
      <c r="B876" t="s">
        <v>15845</v>
      </c>
      <c r="C876" t="s">
        <v>74</v>
      </c>
      <c r="D876" t="s">
        <v>74</v>
      </c>
      <c r="E876" t="s">
        <v>74</v>
      </c>
      <c r="F876" t="s">
        <v>15846</v>
      </c>
      <c r="G876" t="s">
        <v>74</v>
      </c>
      <c r="H876" t="s">
        <v>74</v>
      </c>
      <c r="I876" t="s">
        <v>15847</v>
      </c>
      <c r="J876" t="s">
        <v>6790</v>
      </c>
      <c r="K876" t="s">
        <v>74</v>
      </c>
      <c r="L876" t="s">
        <v>74</v>
      </c>
      <c r="M876" t="s">
        <v>78</v>
      </c>
      <c r="N876" t="s">
        <v>79</v>
      </c>
      <c r="O876" t="s">
        <v>74</v>
      </c>
      <c r="P876" t="s">
        <v>74</v>
      </c>
      <c r="Q876" t="s">
        <v>74</v>
      </c>
      <c r="R876" t="s">
        <v>74</v>
      </c>
      <c r="S876" t="s">
        <v>74</v>
      </c>
      <c r="T876" t="s">
        <v>15848</v>
      </c>
      <c r="U876" t="s">
        <v>15849</v>
      </c>
      <c r="V876" t="s">
        <v>15850</v>
      </c>
      <c r="W876" t="s">
        <v>15851</v>
      </c>
      <c r="X876" t="s">
        <v>15852</v>
      </c>
      <c r="Y876" t="s">
        <v>15853</v>
      </c>
      <c r="Z876" t="s">
        <v>15854</v>
      </c>
      <c r="AA876" t="s">
        <v>74</v>
      </c>
      <c r="AB876" t="s">
        <v>15855</v>
      </c>
      <c r="AC876" t="s">
        <v>74</v>
      </c>
      <c r="AD876" t="s">
        <v>74</v>
      </c>
      <c r="AE876" t="s">
        <v>74</v>
      </c>
      <c r="AF876" t="s">
        <v>74</v>
      </c>
      <c r="AG876">
        <v>47</v>
      </c>
      <c r="AH876">
        <v>0</v>
      </c>
      <c r="AI876">
        <v>0</v>
      </c>
      <c r="AJ876">
        <v>3</v>
      </c>
      <c r="AK876">
        <v>3</v>
      </c>
      <c r="AL876" t="s">
        <v>147</v>
      </c>
      <c r="AM876" t="s">
        <v>148</v>
      </c>
      <c r="AN876" t="s">
        <v>149</v>
      </c>
      <c r="AO876" t="s">
        <v>6798</v>
      </c>
      <c r="AP876" t="s">
        <v>74</v>
      </c>
      <c r="AQ876" t="s">
        <v>74</v>
      </c>
      <c r="AR876" t="s">
        <v>6790</v>
      </c>
      <c r="AS876" t="s">
        <v>6799</v>
      </c>
      <c r="AT876" t="s">
        <v>13744</v>
      </c>
      <c r="AU876">
        <v>2023</v>
      </c>
      <c r="AV876">
        <v>56</v>
      </c>
      <c r="AW876" t="s">
        <v>74</v>
      </c>
      <c r="AX876" t="s">
        <v>74</v>
      </c>
      <c r="AY876" t="s">
        <v>74</v>
      </c>
      <c r="AZ876" t="s">
        <v>74</v>
      </c>
      <c r="BA876" t="s">
        <v>74</v>
      </c>
      <c r="BB876" t="s">
        <v>74</v>
      </c>
      <c r="BC876" t="s">
        <v>74</v>
      </c>
      <c r="BD876">
        <v>104770</v>
      </c>
      <c r="BE876" t="s">
        <v>15856</v>
      </c>
      <c r="BF876" t="str">
        <f>HYPERLINK("http://dx.doi.org/10.1016/j.istruc.2023.06.101","http://dx.doi.org/10.1016/j.istruc.2023.06.101")</f>
        <v>http://dx.doi.org/10.1016/j.istruc.2023.06.101</v>
      </c>
      <c r="BG876" t="s">
        <v>74</v>
      </c>
      <c r="BH876" t="s">
        <v>74</v>
      </c>
      <c r="BI876">
        <v>15</v>
      </c>
      <c r="BJ876" t="s">
        <v>5547</v>
      </c>
      <c r="BK876" t="s">
        <v>100</v>
      </c>
      <c r="BL876" t="s">
        <v>873</v>
      </c>
      <c r="BM876" t="s">
        <v>15857</v>
      </c>
      <c r="BN876" t="s">
        <v>74</v>
      </c>
      <c r="BO876" t="s">
        <v>295</v>
      </c>
      <c r="BP876" t="s">
        <v>74</v>
      </c>
      <c r="BQ876" t="s">
        <v>74</v>
      </c>
      <c r="BR876" t="s">
        <v>104</v>
      </c>
      <c r="BS876" t="s">
        <v>15858</v>
      </c>
      <c r="BT876" t="str">
        <f>HYPERLINK("https%3A%2F%2Fwww.webofscience.com%2Fwos%2Fwoscc%2Ffull-record%2FWOS:001046715400001","View Full Record in Web of Science")</f>
        <v>View Full Record in Web of Science</v>
      </c>
    </row>
    <row r="877" spans="1:72" x14ac:dyDescent="0.15">
      <c r="A877" t="s">
        <v>72</v>
      </c>
      <c r="B877" t="s">
        <v>15859</v>
      </c>
      <c r="C877" t="s">
        <v>74</v>
      </c>
      <c r="D877" t="s">
        <v>74</v>
      </c>
      <c r="E877" t="s">
        <v>74</v>
      </c>
      <c r="F877" t="s">
        <v>15860</v>
      </c>
      <c r="G877" t="s">
        <v>74</v>
      </c>
      <c r="H877" t="s">
        <v>74</v>
      </c>
      <c r="I877" t="s">
        <v>15861</v>
      </c>
      <c r="J877" t="s">
        <v>14472</v>
      </c>
      <c r="K877" t="s">
        <v>74</v>
      </c>
      <c r="L877" t="s">
        <v>74</v>
      </c>
      <c r="M877" t="s">
        <v>78</v>
      </c>
      <c r="N877" t="s">
        <v>79</v>
      </c>
      <c r="O877" t="s">
        <v>74</v>
      </c>
      <c r="P877" t="s">
        <v>74</v>
      </c>
      <c r="Q877" t="s">
        <v>74</v>
      </c>
      <c r="R877" t="s">
        <v>74</v>
      </c>
      <c r="S877" t="s">
        <v>74</v>
      </c>
      <c r="T877" t="s">
        <v>15862</v>
      </c>
      <c r="U877" t="s">
        <v>15863</v>
      </c>
      <c r="V877" t="s">
        <v>15864</v>
      </c>
      <c r="W877" t="s">
        <v>15865</v>
      </c>
      <c r="X877" t="s">
        <v>15866</v>
      </c>
      <c r="Y877" t="s">
        <v>15867</v>
      </c>
      <c r="Z877" t="s">
        <v>15868</v>
      </c>
      <c r="AA877" t="s">
        <v>15869</v>
      </c>
      <c r="AB877" t="s">
        <v>15870</v>
      </c>
      <c r="AC877" t="s">
        <v>15871</v>
      </c>
      <c r="AD877" t="s">
        <v>15872</v>
      </c>
      <c r="AE877" t="s">
        <v>15873</v>
      </c>
      <c r="AF877" t="s">
        <v>74</v>
      </c>
      <c r="AG877">
        <v>105</v>
      </c>
      <c r="AH877">
        <v>0</v>
      </c>
      <c r="AI877">
        <v>0</v>
      </c>
      <c r="AJ877">
        <v>0</v>
      </c>
      <c r="AK877">
        <v>0</v>
      </c>
      <c r="AL877" t="s">
        <v>514</v>
      </c>
      <c r="AM877" t="s">
        <v>515</v>
      </c>
      <c r="AN877" t="s">
        <v>516</v>
      </c>
      <c r="AO877" t="s">
        <v>14483</v>
      </c>
      <c r="AP877" t="s">
        <v>14484</v>
      </c>
      <c r="AQ877" t="s">
        <v>74</v>
      </c>
      <c r="AR877" t="s">
        <v>14485</v>
      </c>
      <c r="AS877" t="s">
        <v>14486</v>
      </c>
      <c r="AT877" t="s">
        <v>13744</v>
      </c>
      <c r="AU877">
        <v>2023</v>
      </c>
      <c r="AV877">
        <v>166</v>
      </c>
      <c r="AW877" t="s">
        <v>74</v>
      </c>
      <c r="AX877" t="s">
        <v>74</v>
      </c>
      <c r="AY877" t="s">
        <v>74</v>
      </c>
      <c r="AZ877" t="s">
        <v>74</v>
      </c>
      <c r="BA877" t="s">
        <v>74</v>
      </c>
      <c r="BB877" t="s">
        <v>74</v>
      </c>
      <c r="BC877" t="s">
        <v>74</v>
      </c>
      <c r="BD877">
        <v>115196</v>
      </c>
      <c r="BE877" t="s">
        <v>15874</v>
      </c>
      <c r="BF877" t="str">
        <f>HYPERLINK("http://dx.doi.org/10.1016/j.biopha.2023.115196","http://dx.doi.org/10.1016/j.biopha.2023.115196")</f>
        <v>http://dx.doi.org/10.1016/j.biopha.2023.115196</v>
      </c>
      <c r="BG877" t="s">
        <v>74</v>
      </c>
      <c r="BH877" t="s">
        <v>74</v>
      </c>
      <c r="BI877">
        <v>14</v>
      </c>
      <c r="BJ877" t="s">
        <v>12923</v>
      </c>
      <c r="BK877" t="s">
        <v>100</v>
      </c>
      <c r="BL877" t="s">
        <v>12924</v>
      </c>
      <c r="BM877" t="s">
        <v>15875</v>
      </c>
      <c r="BN877">
        <v>37586116</v>
      </c>
      <c r="BO877" t="s">
        <v>3613</v>
      </c>
      <c r="BP877" t="s">
        <v>74</v>
      </c>
      <c r="BQ877" t="s">
        <v>74</v>
      </c>
      <c r="BR877" t="s">
        <v>104</v>
      </c>
      <c r="BS877" t="s">
        <v>15876</v>
      </c>
      <c r="BT877" t="str">
        <f>HYPERLINK("https%3A%2F%2Fwww.webofscience.com%2Fwos%2Fwoscc%2Ffull-record%2FWOS:001062201400001","View Full Record in Web of Science")</f>
        <v>View Full Record in Web of Science</v>
      </c>
    </row>
    <row r="878" spans="1:72" x14ac:dyDescent="0.15">
      <c r="A878" t="s">
        <v>72</v>
      </c>
      <c r="B878" t="s">
        <v>15877</v>
      </c>
      <c r="C878" t="s">
        <v>74</v>
      </c>
      <c r="D878" t="s">
        <v>74</v>
      </c>
      <c r="E878" t="s">
        <v>74</v>
      </c>
      <c r="F878" t="s">
        <v>15878</v>
      </c>
      <c r="G878" t="s">
        <v>74</v>
      </c>
      <c r="H878" t="s">
        <v>74</v>
      </c>
      <c r="I878" t="s">
        <v>15879</v>
      </c>
      <c r="J878" t="s">
        <v>15880</v>
      </c>
      <c r="K878" t="s">
        <v>74</v>
      </c>
      <c r="L878" t="s">
        <v>74</v>
      </c>
      <c r="M878" t="s">
        <v>78</v>
      </c>
      <c r="N878" t="s">
        <v>79</v>
      </c>
      <c r="O878" t="s">
        <v>74</v>
      </c>
      <c r="P878" t="s">
        <v>74</v>
      </c>
      <c r="Q878" t="s">
        <v>74</v>
      </c>
      <c r="R878" t="s">
        <v>74</v>
      </c>
      <c r="S878" t="s">
        <v>74</v>
      </c>
      <c r="T878" t="s">
        <v>15881</v>
      </c>
      <c r="U878" t="s">
        <v>15882</v>
      </c>
      <c r="V878" t="s">
        <v>15883</v>
      </c>
      <c r="W878" t="s">
        <v>15884</v>
      </c>
      <c r="X878" t="s">
        <v>15885</v>
      </c>
      <c r="Y878" t="s">
        <v>15886</v>
      </c>
      <c r="Z878" t="s">
        <v>15887</v>
      </c>
      <c r="AA878" t="s">
        <v>74</v>
      </c>
      <c r="AB878" t="s">
        <v>74</v>
      </c>
      <c r="AC878" t="s">
        <v>15888</v>
      </c>
      <c r="AD878" t="s">
        <v>7140</v>
      </c>
      <c r="AE878" t="s">
        <v>15889</v>
      </c>
      <c r="AF878" t="s">
        <v>74</v>
      </c>
      <c r="AG878">
        <v>42</v>
      </c>
      <c r="AH878">
        <v>0</v>
      </c>
      <c r="AI878">
        <v>0</v>
      </c>
      <c r="AJ878">
        <v>4</v>
      </c>
      <c r="AK878">
        <v>4</v>
      </c>
      <c r="AL878" t="s">
        <v>120</v>
      </c>
      <c r="AM878" t="s">
        <v>121</v>
      </c>
      <c r="AN878" t="s">
        <v>122</v>
      </c>
      <c r="AO878" t="s">
        <v>15890</v>
      </c>
      <c r="AP878" t="s">
        <v>15891</v>
      </c>
      <c r="AQ878" t="s">
        <v>74</v>
      </c>
      <c r="AR878" t="s">
        <v>15892</v>
      </c>
      <c r="AS878" t="s">
        <v>15893</v>
      </c>
      <c r="AT878" t="s">
        <v>13744</v>
      </c>
      <c r="AU878">
        <v>2023</v>
      </c>
      <c r="AV878">
        <v>139</v>
      </c>
      <c r="AW878" t="s">
        <v>74</v>
      </c>
      <c r="AX878" t="s">
        <v>74</v>
      </c>
      <c r="AY878" t="s">
        <v>74</v>
      </c>
      <c r="AZ878" t="s">
        <v>74</v>
      </c>
      <c r="BA878" t="s">
        <v>74</v>
      </c>
      <c r="BB878" t="s">
        <v>74</v>
      </c>
      <c r="BC878" t="s">
        <v>74</v>
      </c>
      <c r="BD878">
        <v>102906</v>
      </c>
      <c r="BE878" t="s">
        <v>15894</v>
      </c>
      <c r="BF878" t="str">
        <f>HYPERLINK("http://dx.doi.org/10.1016/j.ndteint.2023.102906","http://dx.doi.org/10.1016/j.ndteint.2023.102906")</f>
        <v>http://dx.doi.org/10.1016/j.ndteint.2023.102906</v>
      </c>
      <c r="BG878" t="s">
        <v>74</v>
      </c>
      <c r="BH878" t="s">
        <v>74</v>
      </c>
      <c r="BI878">
        <v>14</v>
      </c>
      <c r="BJ878" t="s">
        <v>15895</v>
      </c>
      <c r="BK878" t="s">
        <v>100</v>
      </c>
      <c r="BL878" t="s">
        <v>1112</v>
      </c>
      <c r="BM878" t="s">
        <v>15896</v>
      </c>
      <c r="BN878" t="s">
        <v>74</v>
      </c>
      <c r="BO878" t="s">
        <v>74</v>
      </c>
      <c r="BP878" t="s">
        <v>74</v>
      </c>
      <c r="BQ878" t="s">
        <v>74</v>
      </c>
      <c r="BR878" t="s">
        <v>104</v>
      </c>
      <c r="BS878" t="s">
        <v>15897</v>
      </c>
      <c r="BT878" t="str">
        <f>HYPERLINK("https%3A%2F%2Fwww.webofscience.com%2Fwos%2Fwoscc%2Ffull-record%2FWOS:001048241900001","View Full Record in Web of Science")</f>
        <v>View Full Record in Web of Science</v>
      </c>
    </row>
    <row r="879" spans="1:72" x14ac:dyDescent="0.15">
      <c r="A879" t="s">
        <v>72</v>
      </c>
      <c r="B879" t="s">
        <v>15898</v>
      </c>
      <c r="C879" t="s">
        <v>74</v>
      </c>
      <c r="D879" t="s">
        <v>74</v>
      </c>
      <c r="E879" t="s">
        <v>74</v>
      </c>
      <c r="F879" t="s">
        <v>15899</v>
      </c>
      <c r="G879" t="s">
        <v>74</v>
      </c>
      <c r="H879" t="s">
        <v>74</v>
      </c>
      <c r="I879" t="s">
        <v>15900</v>
      </c>
      <c r="J879" t="s">
        <v>7635</v>
      </c>
      <c r="K879" t="s">
        <v>74</v>
      </c>
      <c r="L879" t="s">
        <v>74</v>
      </c>
      <c r="M879" t="s">
        <v>78</v>
      </c>
      <c r="N879" t="s">
        <v>79</v>
      </c>
      <c r="O879" t="s">
        <v>74</v>
      </c>
      <c r="P879" t="s">
        <v>74</v>
      </c>
      <c r="Q879" t="s">
        <v>74</v>
      </c>
      <c r="R879" t="s">
        <v>74</v>
      </c>
      <c r="S879" t="s">
        <v>74</v>
      </c>
      <c r="T879" t="s">
        <v>15901</v>
      </c>
      <c r="U879" t="s">
        <v>15902</v>
      </c>
      <c r="V879" t="s">
        <v>15903</v>
      </c>
      <c r="W879" t="s">
        <v>15904</v>
      </c>
      <c r="X879" t="s">
        <v>15905</v>
      </c>
      <c r="Y879" t="s">
        <v>15906</v>
      </c>
      <c r="Z879" t="s">
        <v>15907</v>
      </c>
      <c r="AA879" t="s">
        <v>15908</v>
      </c>
      <c r="AB879" t="s">
        <v>15909</v>
      </c>
      <c r="AC879" t="s">
        <v>15910</v>
      </c>
      <c r="AD879" t="s">
        <v>15911</v>
      </c>
      <c r="AE879" t="s">
        <v>15912</v>
      </c>
      <c r="AF879" t="s">
        <v>74</v>
      </c>
      <c r="AG879">
        <v>53</v>
      </c>
      <c r="AH879">
        <v>0</v>
      </c>
      <c r="AI879">
        <v>0</v>
      </c>
      <c r="AJ879">
        <v>2</v>
      </c>
      <c r="AK879">
        <v>2</v>
      </c>
      <c r="AL879" t="s">
        <v>173</v>
      </c>
      <c r="AM879" t="s">
        <v>121</v>
      </c>
      <c r="AN879" t="s">
        <v>174</v>
      </c>
      <c r="AO879" t="s">
        <v>7644</v>
      </c>
      <c r="AP879" t="s">
        <v>7645</v>
      </c>
      <c r="AQ879" t="s">
        <v>74</v>
      </c>
      <c r="AR879" t="s">
        <v>7646</v>
      </c>
      <c r="AS879" t="s">
        <v>7647</v>
      </c>
      <c r="AT879" t="s">
        <v>13744</v>
      </c>
      <c r="AU879">
        <v>2023</v>
      </c>
      <c r="AV879">
        <v>211</v>
      </c>
      <c r="AW879" t="s">
        <v>74</v>
      </c>
      <c r="AX879" t="s">
        <v>74</v>
      </c>
      <c r="AY879" t="s">
        <v>74</v>
      </c>
      <c r="AZ879" t="s">
        <v>74</v>
      </c>
      <c r="BA879" t="s">
        <v>74</v>
      </c>
      <c r="BB879">
        <v>376</v>
      </c>
      <c r="BC879">
        <v>381</v>
      </c>
      <c r="BD879" t="s">
        <v>74</v>
      </c>
      <c r="BE879" t="s">
        <v>15913</v>
      </c>
      <c r="BF879" t="str">
        <f>HYPERLINK("http://dx.doi.org/10.1016/j.actaastro.2023.06.042","http://dx.doi.org/10.1016/j.actaastro.2023.06.042")</f>
        <v>http://dx.doi.org/10.1016/j.actaastro.2023.06.042</v>
      </c>
      <c r="BG879" t="s">
        <v>74</v>
      </c>
      <c r="BH879" t="s">
        <v>74</v>
      </c>
      <c r="BI879">
        <v>6</v>
      </c>
      <c r="BJ879" t="s">
        <v>7649</v>
      </c>
      <c r="BK879" t="s">
        <v>100</v>
      </c>
      <c r="BL879" t="s">
        <v>873</v>
      </c>
      <c r="BM879" t="s">
        <v>15914</v>
      </c>
      <c r="BN879" t="s">
        <v>74</v>
      </c>
      <c r="BO879" t="s">
        <v>74</v>
      </c>
      <c r="BP879" t="s">
        <v>74</v>
      </c>
      <c r="BQ879" t="s">
        <v>74</v>
      </c>
      <c r="BR879" t="s">
        <v>104</v>
      </c>
      <c r="BS879" t="s">
        <v>15915</v>
      </c>
      <c r="BT879" t="str">
        <f>HYPERLINK("https%3A%2F%2Fwww.webofscience.com%2Fwos%2Fwoscc%2Ffull-record%2FWOS:001053570700001","View Full Record in Web of Science")</f>
        <v>View Full Record in Web of Science</v>
      </c>
    </row>
    <row r="880" spans="1:72" x14ac:dyDescent="0.15">
      <c r="A880" t="s">
        <v>72</v>
      </c>
      <c r="B880" t="s">
        <v>15916</v>
      </c>
      <c r="C880" t="s">
        <v>74</v>
      </c>
      <c r="D880" t="s">
        <v>74</v>
      </c>
      <c r="E880" t="s">
        <v>74</v>
      </c>
      <c r="F880" t="s">
        <v>15917</v>
      </c>
      <c r="G880" t="s">
        <v>74</v>
      </c>
      <c r="H880" t="s">
        <v>74</v>
      </c>
      <c r="I880" t="s">
        <v>15918</v>
      </c>
      <c r="J880" t="s">
        <v>15919</v>
      </c>
      <c r="K880" t="s">
        <v>74</v>
      </c>
      <c r="L880" t="s">
        <v>74</v>
      </c>
      <c r="M880" t="s">
        <v>78</v>
      </c>
      <c r="N880" t="s">
        <v>79</v>
      </c>
      <c r="O880" t="s">
        <v>74</v>
      </c>
      <c r="P880" t="s">
        <v>74</v>
      </c>
      <c r="Q880" t="s">
        <v>74</v>
      </c>
      <c r="R880" t="s">
        <v>74</v>
      </c>
      <c r="S880" t="s">
        <v>74</v>
      </c>
      <c r="T880" t="s">
        <v>15920</v>
      </c>
      <c r="U880" t="s">
        <v>15921</v>
      </c>
      <c r="V880" t="s">
        <v>15922</v>
      </c>
      <c r="W880" t="s">
        <v>15923</v>
      </c>
      <c r="X880" t="s">
        <v>15924</v>
      </c>
      <c r="Y880" t="s">
        <v>15925</v>
      </c>
      <c r="Z880" t="s">
        <v>15926</v>
      </c>
      <c r="AA880" t="s">
        <v>74</v>
      </c>
      <c r="AB880" t="s">
        <v>74</v>
      </c>
      <c r="AC880" t="s">
        <v>15927</v>
      </c>
      <c r="AD880" t="s">
        <v>15928</v>
      </c>
      <c r="AE880" t="s">
        <v>15929</v>
      </c>
      <c r="AF880" t="s">
        <v>74</v>
      </c>
      <c r="AG880">
        <v>39</v>
      </c>
      <c r="AH880">
        <v>0</v>
      </c>
      <c r="AI880">
        <v>0</v>
      </c>
      <c r="AJ880">
        <v>5</v>
      </c>
      <c r="AK880">
        <v>5</v>
      </c>
      <c r="AL880" t="s">
        <v>90</v>
      </c>
      <c r="AM880" t="s">
        <v>91</v>
      </c>
      <c r="AN880" t="s">
        <v>92</v>
      </c>
      <c r="AO880" t="s">
        <v>15930</v>
      </c>
      <c r="AP880" t="s">
        <v>15931</v>
      </c>
      <c r="AQ880" t="s">
        <v>74</v>
      </c>
      <c r="AR880" t="s">
        <v>15932</v>
      </c>
      <c r="AS880" t="s">
        <v>15933</v>
      </c>
      <c r="AT880" t="s">
        <v>13744</v>
      </c>
      <c r="AU880">
        <v>2023</v>
      </c>
      <c r="AV880">
        <v>154</v>
      </c>
      <c r="AW880" t="s">
        <v>74</v>
      </c>
      <c r="AX880" t="s">
        <v>74</v>
      </c>
      <c r="AY880" t="s">
        <v>74</v>
      </c>
      <c r="AZ880" t="s">
        <v>74</v>
      </c>
      <c r="BA880" t="s">
        <v>74</v>
      </c>
      <c r="BB880" t="s">
        <v>74</v>
      </c>
      <c r="BC880" t="s">
        <v>74</v>
      </c>
      <c r="BD880">
        <v>110571</v>
      </c>
      <c r="BE880" t="s">
        <v>15934</v>
      </c>
      <c r="BF880" t="str">
        <f>HYPERLINK("http://dx.doi.org/10.1016/j.ecolind.2023.110571","http://dx.doi.org/10.1016/j.ecolind.2023.110571")</f>
        <v>http://dx.doi.org/10.1016/j.ecolind.2023.110571</v>
      </c>
      <c r="BG880" t="s">
        <v>74</v>
      </c>
      <c r="BH880" t="s">
        <v>74</v>
      </c>
      <c r="BI880">
        <v>15</v>
      </c>
      <c r="BJ880" t="s">
        <v>15935</v>
      </c>
      <c r="BK880" t="s">
        <v>100</v>
      </c>
      <c r="BL880" t="s">
        <v>15936</v>
      </c>
      <c r="BM880" t="s">
        <v>15937</v>
      </c>
      <c r="BN880" t="s">
        <v>74</v>
      </c>
      <c r="BO880" t="s">
        <v>504</v>
      </c>
      <c r="BP880" t="s">
        <v>74</v>
      </c>
      <c r="BQ880" t="s">
        <v>74</v>
      </c>
      <c r="BR880" t="s">
        <v>104</v>
      </c>
      <c r="BS880" t="s">
        <v>15938</v>
      </c>
      <c r="BT880" t="str">
        <f>HYPERLINK("https%3A%2F%2Fwww.webofscience.com%2Fwos%2Fwoscc%2Ffull-record%2FWOS:001045063500001","View Full Record in Web of Science")</f>
        <v>View Full Record in Web of Science</v>
      </c>
    </row>
    <row r="881" spans="1:72" x14ac:dyDescent="0.15">
      <c r="A881" t="s">
        <v>72</v>
      </c>
      <c r="B881" t="s">
        <v>15939</v>
      </c>
      <c r="C881" t="s">
        <v>74</v>
      </c>
      <c r="D881" t="s">
        <v>74</v>
      </c>
      <c r="E881" t="s">
        <v>74</v>
      </c>
      <c r="F881" t="s">
        <v>15940</v>
      </c>
      <c r="G881" t="s">
        <v>74</v>
      </c>
      <c r="H881" t="s">
        <v>74</v>
      </c>
      <c r="I881" t="s">
        <v>15941</v>
      </c>
      <c r="J881" t="s">
        <v>14827</v>
      </c>
      <c r="K881" t="s">
        <v>74</v>
      </c>
      <c r="L881" t="s">
        <v>74</v>
      </c>
      <c r="M881" t="s">
        <v>78</v>
      </c>
      <c r="N881" t="s">
        <v>79</v>
      </c>
      <c r="O881" t="s">
        <v>74</v>
      </c>
      <c r="P881" t="s">
        <v>74</v>
      </c>
      <c r="Q881" t="s">
        <v>74</v>
      </c>
      <c r="R881" t="s">
        <v>74</v>
      </c>
      <c r="S881" t="s">
        <v>74</v>
      </c>
      <c r="T881" t="s">
        <v>15942</v>
      </c>
      <c r="U881" t="s">
        <v>74</v>
      </c>
      <c r="V881" t="s">
        <v>15943</v>
      </c>
      <c r="W881" t="s">
        <v>15944</v>
      </c>
      <c r="X881" t="s">
        <v>15945</v>
      </c>
      <c r="Y881" t="s">
        <v>15946</v>
      </c>
      <c r="Z881" t="s">
        <v>15947</v>
      </c>
      <c r="AA881" t="s">
        <v>15948</v>
      </c>
      <c r="AB881" t="s">
        <v>15949</v>
      </c>
      <c r="AC881" t="s">
        <v>15950</v>
      </c>
      <c r="AD881" t="s">
        <v>15951</v>
      </c>
      <c r="AE881" t="s">
        <v>15952</v>
      </c>
      <c r="AF881" t="s">
        <v>74</v>
      </c>
      <c r="AG881">
        <v>58</v>
      </c>
      <c r="AH881">
        <v>0</v>
      </c>
      <c r="AI881">
        <v>0</v>
      </c>
      <c r="AJ881">
        <v>9</v>
      </c>
      <c r="AK881">
        <v>9</v>
      </c>
      <c r="AL881" t="s">
        <v>90</v>
      </c>
      <c r="AM881" t="s">
        <v>91</v>
      </c>
      <c r="AN881" t="s">
        <v>92</v>
      </c>
      <c r="AO881" t="s">
        <v>14839</v>
      </c>
      <c r="AP881" t="s">
        <v>14840</v>
      </c>
      <c r="AQ881" t="s">
        <v>74</v>
      </c>
      <c r="AR881" t="s">
        <v>14841</v>
      </c>
      <c r="AS881" t="s">
        <v>14842</v>
      </c>
      <c r="AT881" t="s">
        <v>13744</v>
      </c>
      <c r="AU881">
        <v>2023</v>
      </c>
      <c r="AV881">
        <v>89</v>
      </c>
      <c r="AW881" t="s">
        <v>74</v>
      </c>
      <c r="AX881" t="s">
        <v>74</v>
      </c>
      <c r="AY881" t="s">
        <v>74</v>
      </c>
      <c r="AZ881" t="s">
        <v>74</v>
      </c>
      <c r="BA881" t="s">
        <v>74</v>
      </c>
      <c r="BB881" t="s">
        <v>74</v>
      </c>
      <c r="BC881" t="s">
        <v>74</v>
      </c>
      <c r="BD881">
        <v>102904</v>
      </c>
      <c r="BE881" t="s">
        <v>15953</v>
      </c>
      <c r="BF881" t="str">
        <f>HYPERLINK("http://dx.doi.org/10.1016/j.media.2023.102904","http://dx.doi.org/10.1016/j.media.2023.102904")</f>
        <v>http://dx.doi.org/10.1016/j.media.2023.102904</v>
      </c>
      <c r="BG881" t="s">
        <v>74</v>
      </c>
      <c r="BH881" t="s">
        <v>74</v>
      </c>
      <c r="BI881">
        <v>13</v>
      </c>
      <c r="BJ881" t="s">
        <v>14844</v>
      </c>
      <c r="BK881" t="s">
        <v>100</v>
      </c>
      <c r="BL881" t="s">
        <v>14845</v>
      </c>
      <c r="BM881" t="s">
        <v>15954</v>
      </c>
      <c r="BN881">
        <v>37506556</v>
      </c>
      <c r="BO881" t="s">
        <v>103</v>
      </c>
      <c r="BP881" t="s">
        <v>74</v>
      </c>
      <c r="BQ881" t="s">
        <v>74</v>
      </c>
      <c r="BR881" t="s">
        <v>104</v>
      </c>
      <c r="BS881" t="s">
        <v>15955</v>
      </c>
      <c r="BT881" t="str">
        <f>HYPERLINK("https%3A%2F%2Fwww.webofscience.com%2Fwos%2Fwoscc%2Ffull-record%2FWOS:001048885900001","View Full Record in Web of Science")</f>
        <v>View Full Record in Web of Science</v>
      </c>
    </row>
    <row r="882" spans="1:72" x14ac:dyDescent="0.15">
      <c r="A882" t="s">
        <v>72</v>
      </c>
      <c r="B882" t="s">
        <v>15956</v>
      </c>
      <c r="C882" t="s">
        <v>74</v>
      </c>
      <c r="D882" t="s">
        <v>74</v>
      </c>
      <c r="E882" t="s">
        <v>74</v>
      </c>
      <c r="F882" t="s">
        <v>15957</v>
      </c>
      <c r="G882" t="s">
        <v>74</v>
      </c>
      <c r="H882" t="s">
        <v>74</v>
      </c>
      <c r="I882" t="s">
        <v>15958</v>
      </c>
      <c r="J882" t="s">
        <v>15959</v>
      </c>
      <c r="K882" t="s">
        <v>74</v>
      </c>
      <c r="L882" t="s">
        <v>74</v>
      </c>
      <c r="M882" t="s">
        <v>78</v>
      </c>
      <c r="N882" t="s">
        <v>79</v>
      </c>
      <c r="O882" t="s">
        <v>74</v>
      </c>
      <c r="P882" t="s">
        <v>74</v>
      </c>
      <c r="Q882" t="s">
        <v>74</v>
      </c>
      <c r="R882" t="s">
        <v>74</v>
      </c>
      <c r="S882" t="s">
        <v>74</v>
      </c>
      <c r="T882" t="s">
        <v>15960</v>
      </c>
      <c r="U882" t="s">
        <v>15961</v>
      </c>
      <c r="V882" t="s">
        <v>15962</v>
      </c>
      <c r="W882" t="s">
        <v>15963</v>
      </c>
      <c r="X882" t="s">
        <v>15964</v>
      </c>
      <c r="Y882" t="s">
        <v>15965</v>
      </c>
      <c r="Z882" t="s">
        <v>15966</v>
      </c>
      <c r="AA882" t="s">
        <v>74</v>
      </c>
      <c r="AB882" t="s">
        <v>15967</v>
      </c>
      <c r="AC882" t="s">
        <v>15968</v>
      </c>
      <c r="AD882" t="s">
        <v>15969</v>
      </c>
      <c r="AE882" t="s">
        <v>15970</v>
      </c>
      <c r="AF882" t="s">
        <v>74</v>
      </c>
      <c r="AG882">
        <v>30</v>
      </c>
      <c r="AH882">
        <v>0</v>
      </c>
      <c r="AI882">
        <v>0</v>
      </c>
      <c r="AJ882">
        <v>1</v>
      </c>
      <c r="AK882">
        <v>1</v>
      </c>
      <c r="AL882" t="s">
        <v>173</v>
      </c>
      <c r="AM882" t="s">
        <v>121</v>
      </c>
      <c r="AN882" t="s">
        <v>174</v>
      </c>
      <c r="AO882" t="s">
        <v>15971</v>
      </c>
      <c r="AP882" t="s">
        <v>15972</v>
      </c>
      <c r="AQ882" t="s">
        <v>74</v>
      </c>
      <c r="AR882" t="s">
        <v>15973</v>
      </c>
      <c r="AS882" t="s">
        <v>15974</v>
      </c>
      <c r="AT882" t="s">
        <v>13744</v>
      </c>
      <c r="AU882">
        <v>2023</v>
      </c>
      <c r="AV882">
        <v>115</v>
      </c>
      <c r="AW882" t="s">
        <v>74</v>
      </c>
      <c r="AX882" t="s">
        <v>74</v>
      </c>
      <c r="AY882" t="s">
        <v>74</v>
      </c>
      <c r="AZ882" t="s">
        <v>74</v>
      </c>
      <c r="BA882" t="s">
        <v>74</v>
      </c>
      <c r="BB882">
        <v>69</v>
      </c>
      <c r="BC882">
        <v>80</v>
      </c>
      <c r="BD882" t="s">
        <v>74</v>
      </c>
      <c r="BE882" t="s">
        <v>15975</v>
      </c>
      <c r="BF882" t="str">
        <f>HYPERLINK("http://dx.doi.org/10.1016/j.cag.2023.07.004","http://dx.doi.org/10.1016/j.cag.2023.07.004")</f>
        <v>http://dx.doi.org/10.1016/j.cag.2023.07.004</v>
      </c>
      <c r="BG882" t="s">
        <v>74</v>
      </c>
      <c r="BH882" t="s">
        <v>74</v>
      </c>
      <c r="BI882">
        <v>12</v>
      </c>
      <c r="BJ882" t="s">
        <v>15976</v>
      </c>
      <c r="BK882" t="s">
        <v>100</v>
      </c>
      <c r="BL882" t="s">
        <v>563</v>
      </c>
      <c r="BM882" t="s">
        <v>15977</v>
      </c>
      <c r="BN882" t="s">
        <v>74</v>
      </c>
      <c r="BO882" t="s">
        <v>295</v>
      </c>
      <c r="BP882" t="s">
        <v>74</v>
      </c>
      <c r="BQ882" t="s">
        <v>74</v>
      </c>
      <c r="BR882" t="s">
        <v>104</v>
      </c>
      <c r="BS882" t="s">
        <v>15978</v>
      </c>
      <c r="BT882" t="str">
        <f>HYPERLINK("https%3A%2F%2Fwww.webofscience.com%2Fwos%2Fwoscc%2Ffull-record%2FWOS:001042745000001","View Full Record in Web of Science")</f>
        <v>View Full Record in Web of Science</v>
      </c>
    </row>
    <row r="883" spans="1:72" x14ac:dyDescent="0.15">
      <c r="A883" t="s">
        <v>72</v>
      </c>
      <c r="B883" t="s">
        <v>15979</v>
      </c>
      <c r="C883" t="s">
        <v>74</v>
      </c>
      <c r="D883" t="s">
        <v>74</v>
      </c>
      <c r="E883" t="s">
        <v>74</v>
      </c>
      <c r="F883" t="s">
        <v>15980</v>
      </c>
      <c r="G883" t="s">
        <v>74</v>
      </c>
      <c r="H883" t="s">
        <v>74</v>
      </c>
      <c r="I883" t="s">
        <v>15981</v>
      </c>
      <c r="J883" t="s">
        <v>15982</v>
      </c>
      <c r="K883" t="s">
        <v>74</v>
      </c>
      <c r="L883" t="s">
        <v>74</v>
      </c>
      <c r="M883" t="s">
        <v>78</v>
      </c>
      <c r="N883" t="s">
        <v>79</v>
      </c>
      <c r="O883" t="s">
        <v>74</v>
      </c>
      <c r="P883" t="s">
        <v>74</v>
      </c>
      <c r="Q883" t="s">
        <v>74</v>
      </c>
      <c r="R883" t="s">
        <v>74</v>
      </c>
      <c r="S883" t="s">
        <v>74</v>
      </c>
      <c r="T883" t="s">
        <v>15983</v>
      </c>
      <c r="U883" t="s">
        <v>74</v>
      </c>
      <c r="V883" t="s">
        <v>15984</v>
      </c>
      <c r="W883" t="s">
        <v>15985</v>
      </c>
      <c r="X883" t="s">
        <v>15986</v>
      </c>
      <c r="Y883" t="s">
        <v>15987</v>
      </c>
      <c r="Z883" t="s">
        <v>15988</v>
      </c>
      <c r="AA883" t="s">
        <v>74</v>
      </c>
      <c r="AB883" t="s">
        <v>15989</v>
      </c>
      <c r="AC883" t="s">
        <v>15990</v>
      </c>
      <c r="AD883" t="s">
        <v>15991</v>
      </c>
      <c r="AE883" t="s">
        <v>15992</v>
      </c>
      <c r="AF883" t="s">
        <v>74</v>
      </c>
      <c r="AG883">
        <v>16</v>
      </c>
      <c r="AH883">
        <v>0</v>
      </c>
      <c r="AI883">
        <v>0</v>
      </c>
      <c r="AJ883">
        <v>1</v>
      </c>
      <c r="AK883">
        <v>1</v>
      </c>
      <c r="AL883" t="s">
        <v>15993</v>
      </c>
      <c r="AM883" t="s">
        <v>555</v>
      </c>
      <c r="AN883" t="s">
        <v>15994</v>
      </c>
      <c r="AO883" t="s">
        <v>15995</v>
      </c>
      <c r="AP883" t="s">
        <v>15996</v>
      </c>
      <c r="AQ883" t="s">
        <v>74</v>
      </c>
      <c r="AR883" t="s">
        <v>15997</v>
      </c>
      <c r="AS883" t="s">
        <v>15998</v>
      </c>
      <c r="AT883" t="s">
        <v>13744</v>
      </c>
      <c r="AU883">
        <v>2023</v>
      </c>
      <c r="AV883">
        <v>217</v>
      </c>
      <c r="AW883" t="s">
        <v>74</v>
      </c>
      <c r="AX883" t="s">
        <v>74</v>
      </c>
      <c r="AY883" t="s">
        <v>74</v>
      </c>
      <c r="AZ883" t="s">
        <v>74</v>
      </c>
      <c r="BA883" t="s">
        <v>74</v>
      </c>
      <c r="BB883" t="s">
        <v>74</v>
      </c>
      <c r="BC883" t="s">
        <v>74</v>
      </c>
      <c r="BD883">
        <v>107369</v>
      </c>
      <c r="BE883" t="s">
        <v>15999</v>
      </c>
      <c r="BF883" t="str">
        <f>HYPERLINK("http://dx.doi.org/10.1016/j.rmed.2023.107369","http://dx.doi.org/10.1016/j.rmed.2023.107369")</f>
        <v>http://dx.doi.org/10.1016/j.rmed.2023.107369</v>
      </c>
      <c r="BG883" t="s">
        <v>74</v>
      </c>
      <c r="BH883" t="s">
        <v>74</v>
      </c>
      <c r="BI883">
        <v>7</v>
      </c>
      <c r="BJ883" t="s">
        <v>16000</v>
      </c>
      <c r="BK883" t="s">
        <v>100</v>
      </c>
      <c r="BL883" t="s">
        <v>16001</v>
      </c>
      <c r="BM883" t="s">
        <v>16002</v>
      </c>
      <c r="BN883">
        <v>37494975</v>
      </c>
      <c r="BO883" t="s">
        <v>74</v>
      </c>
      <c r="BP883" t="s">
        <v>74</v>
      </c>
      <c r="BQ883" t="s">
        <v>74</v>
      </c>
      <c r="BR883" t="s">
        <v>104</v>
      </c>
      <c r="BS883" t="s">
        <v>16003</v>
      </c>
      <c r="BT883" t="str">
        <f>HYPERLINK("https%3A%2F%2Fwww.webofscience.com%2Fwos%2Fwoscc%2Ffull-record%2FWOS:001055044900001","View Full Record in Web of Science")</f>
        <v>View Full Record in Web of Science</v>
      </c>
    </row>
    <row r="884" spans="1:72" x14ac:dyDescent="0.15">
      <c r="A884" t="s">
        <v>72</v>
      </c>
      <c r="B884" t="s">
        <v>16004</v>
      </c>
      <c r="C884" t="s">
        <v>74</v>
      </c>
      <c r="D884" t="s">
        <v>74</v>
      </c>
      <c r="E884" t="s">
        <v>74</v>
      </c>
      <c r="F884" t="s">
        <v>16005</v>
      </c>
      <c r="G884" t="s">
        <v>74</v>
      </c>
      <c r="H884" t="s">
        <v>74</v>
      </c>
      <c r="I884" t="s">
        <v>16006</v>
      </c>
      <c r="J884" t="s">
        <v>16007</v>
      </c>
      <c r="K884" t="s">
        <v>74</v>
      </c>
      <c r="L884" t="s">
        <v>74</v>
      </c>
      <c r="M884" t="s">
        <v>78</v>
      </c>
      <c r="N884" t="s">
        <v>79</v>
      </c>
      <c r="O884" t="s">
        <v>74</v>
      </c>
      <c r="P884" t="s">
        <v>74</v>
      </c>
      <c r="Q884" t="s">
        <v>74</v>
      </c>
      <c r="R884" t="s">
        <v>74</v>
      </c>
      <c r="S884" t="s">
        <v>74</v>
      </c>
      <c r="T884" t="s">
        <v>16008</v>
      </c>
      <c r="U884" t="s">
        <v>16009</v>
      </c>
      <c r="V884" t="s">
        <v>16010</v>
      </c>
      <c r="W884" t="s">
        <v>16011</v>
      </c>
      <c r="X884" t="s">
        <v>16012</v>
      </c>
      <c r="Y884" t="s">
        <v>16013</v>
      </c>
      <c r="Z884" t="s">
        <v>16014</v>
      </c>
      <c r="AA884" t="s">
        <v>74</v>
      </c>
      <c r="AB884" t="s">
        <v>74</v>
      </c>
      <c r="AC884" t="s">
        <v>16015</v>
      </c>
      <c r="AD884" t="s">
        <v>252</v>
      </c>
      <c r="AE884" t="s">
        <v>16016</v>
      </c>
      <c r="AF884" t="s">
        <v>74</v>
      </c>
      <c r="AG884">
        <v>45</v>
      </c>
      <c r="AH884">
        <v>0</v>
      </c>
      <c r="AI884">
        <v>0</v>
      </c>
      <c r="AJ884">
        <v>6</v>
      </c>
      <c r="AK884">
        <v>6</v>
      </c>
      <c r="AL884" t="s">
        <v>147</v>
      </c>
      <c r="AM884" t="s">
        <v>148</v>
      </c>
      <c r="AN884" t="s">
        <v>149</v>
      </c>
      <c r="AO884" t="s">
        <v>16017</v>
      </c>
      <c r="AP884" t="s">
        <v>16018</v>
      </c>
      <c r="AQ884" t="s">
        <v>74</v>
      </c>
      <c r="AR884" t="s">
        <v>16019</v>
      </c>
      <c r="AS884" t="s">
        <v>16020</v>
      </c>
      <c r="AT884" t="s">
        <v>13744</v>
      </c>
      <c r="AU884">
        <v>2023</v>
      </c>
      <c r="AV884">
        <v>204</v>
      </c>
      <c r="AW884" t="s">
        <v>74</v>
      </c>
      <c r="AX884" t="s">
        <v>74</v>
      </c>
      <c r="AY884" t="s">
        <v>74</v>
      </c>
      <c r="AZ884" t="s">
        <v>74</v>
      </c>
      <c r="BA884" t="s">
        <v>74</v>
      </c>
      <c r="BB884" t="s">
        <v>74</v>
      </c>
      <c r="BC884" t="s">
        <v>74</v>
      </c>
      <c r="BD884">
        <v>113185</v>
      </c>
      <c r="BE884" t="s">
        <v>16021</v>
      </c>
      <c r="BF884" t="str">
        <f>HYPERLINK("http://dx.doi.org/10.1016/j.matchar.2023.113185","http://dx.doi.org/10.1016/j.matchar.2023.113185")</f>
        <v>http://dx.doi.org/10.1016/j.matchar.2023.113185</v>
      </c>
      <c r="BG884" t="s">
        <v>74</v>
      </c>
      <c r="BH884" t="s">
        <v>74</v>
      </c>
      <c r="BI884">
        <v>10</v>
      </c>
      <c r="BJ884" t="s">
        <v>16022</v>
      </c>
      <c r="BK884" t="s">
        <v>100</v>
      </c>
      <c r="BL884" t="s">
        <v>10176</v>
      </c>
      <c r="BM884" t="s">
        <v>16023</v>
      </c>
      <c r="BN884" t="s">
        <v>74</v>
      </c>
      <c r="BO884" t="s">
        <v>74</v>
      </c>
      <c r="BP884" t="s">
        <v>74</v>
      </c>
      <c r="BQ884" t="s">
        <v>74</v>
      </c>
      <c r="BR884" t="s">
        <v>104</v>
      </c>
      <c r="BS884" t="s">
        <v>16024</v>
      </c>
      <c r="BT884" t="str">
        <f>HYPERLINK("https%3A%2F%2Fwww.webofscience.com%2Fwos%2Fwoscc%2Ffull-record%2FWOS:001048085200001","View Full Record in Web of Science")</f>
        <v>View Full Record in Web of Science</v>
      </c>
    </row>
    <row r="885" spans="1:72" x14ac:dyDescent="0.15">
      <c r="A885" t="s">
        <v>72</v>
      </c>
      <c r="B885" t="s">
        <v>16025</v>
      </c>
      <c r="C885" t="s">
        <v>74</v>
      </c>
      <c r="D885" t="s">
        <v>74</v>
      </c>
      <c r="E885" t="s">
        <v>74</v>
      </c>
      <c r="F885" t="s">
        <v>16026</v>
      </c>
      <c r="G885" t="s">
        <v>74</v>
      </c>
      <c r="H885" t="s">
        <v>74</v>
      </c>
      <c r="I885" t="s">
        <v>16027</v>
      </c>
      <c r="J885" t="s">
        <v>7051</v>
      </c>
      <c r="K885" t="s">
        <v>74</v>
      </c>
      <c r="L885" t="s">
        <v>74</v>
      </c>
      <c r="M885" t="s">
        <v>78</v>
      </c>
      <c r="N885" t="s">
        <v>79</v>
      </c>
      <c r="O885" t="s">
        <v>74</v>
      </c>
      <c r="P885" t="s">
        <v>74</v>
      </c>
      <c r="Q885" t="s">
        <v>74</v>
      </c>
      <c r="R885" t="s">
        <v>74</v>
      </c>
      <c r="S885" t="s">
        <v>74</v>
      </c>
      <c r="T885" t="s">
        <v>74</v>
      </c>
      <c r="U885" t="s">
        <v>74</v>
      </c>
      <c r="V885" t="s">
        <v>16028</v>
      </c>
      <c r="W885" t="s">
        <v>16029</v>
      </c>
      <c r="X885" t="s">
        <v>74</v>
      </c>
      <c r="Y885" t="s">
        <v>16030</v>
      </c>
      <c r="Z885" t="s">
        <v>16031</v>
      </c>
      <c r="AA885" t="s">
        <v>74</v>
      </c>
      <c r="AB885" t="s">
        <v>74</v>
      </c>
      <c r="AC885" t="s">
        <v>74</v>
      </c>
      <c r="AD885" t="s">
        <v>74</v>
      </c>
      <c r="AE885" t="s">
        <v>74</v>
      </c>
      <c r="AF885" t="s">
        <v>74</v>
      </c>
      <c r="AG885">
        <v>16</v>
      </c>
      <c r="AH885">
        <v>0</v>
      </c>
      <c r="AI885">
        <v>0</v>
      </c>
      <c r="AJ885">
        <v>4</v>
      </c>
      <c r="AK885">
        <v>4</v>
      </c>
      <c r="AL885" t="s">
        <v>90</v>
      </c>
      <c r="AM885" t="s">
        <v>91</v>
      </c>
      <c r="AN885" t="s">
        <v>92</v>
      </c>
      <c r="AO885" t="s">
        <v>7062</v>
      </c>
      <c r="AP885" t="s">
        <v>7063</v>
      </c>
      <c r="AQ885" t="s">
        <v>74</v>
      </c>
      <c r="AR885" t="s">
        <v>7064</v>
      </c>
      <c r="AS885" t="s">
        <v>7065</v>
      </c>
      <c r="AT885" t="s">
        <v>13744</v>
      </c>
      <c r="AU885">
        <v>2023</v>
      </c>
      <c r="AV885">
        <v>229</v>
      </c>
      <c r="AW885" t="s">
        <v>74</v>
      </c>
      <c r="AX885" t="s">
        <v>74</v>
      </c>
      <c r="AY885" t="s">
        <v>74</v>
      </c>
      <c r="AZ885" t="s">
        <v>74</v>
      </c>
      <c r="BA885" t="s">
        <v>74</v>
      </c>
      <c r="BB885" t="s">
        <v>74</v>
      </c>
      <c r="BC885" t="s">
        <v>74</v>
      </c>
      <c r="BD885">
        <v>211979</v>
      </c>
      <c r="BE885" t="s">
        <v>16032</v>
      </c>
      <c r="BF885" t="str">
        <f>HYPERLINK("http://dx.doi.org/10.1016/j.geoen.2023.211979","http://dx.doi.org/10.1016/j.geoen.2023.211979")</f>
        <v>http://dx.doi.org/10.1016/j.geoen.2023.211979</v>
      </c>
      <c r="BG885" t="s">
        <v>74</v>
      </c>
      <c r="BH885" t="s">
        <v>74</v>
      </c>
      <c r="BI885">
        <v>14</v>
      </c>
      <c r="BJ885" t="s">
        <v>7067</v>
      </c>
      <c r="BK885" t="s">
        <v>100</v>
      </c>
      <c r="BL885" t="s">
        <v>277</v>
      </c>
      <c r="BM885" t="s">
        <v>16033</v>
      </c>
      <c r="BN885" t="s">
        <v>74</v>
      </c>
      <c r="BO885" t="s">
        <v>504</v>
      </c>
      <c r="BP885" t="s">
        <v>74</v>
      </c>
      <c r="BQ885" t="s">
        <v>74</v>
      </c>
      <c r="BR885" t="s">
        <v>104</v>
      </c>
      <c r="BS885" t="s">
        <v>16034</v>
      </c>
      <c r="BT885" t="str">
        <f>HYPERLINK("https%3A%2F%2Fwww.webofscience.com%2Fwos%2Fwoscc%2Ffull-record%2FWOS:001055739300001","View Full Record in Web of Science")</f>
        <v>View Full Record in Web of Science</v>
      </c>
    </row>
    <row r="886" spans="1:72" x14ac:dyDescent="0.15">
      <c r="A886" t="s">
        <v>72</v>
      </c>
      <c r="B886" t="s">
        <v>16035</v>
      </c>
      <c r="C886" t="s">
        <v>74</v>
      </c>
      <c r="D886" t="s">
        <v>74</v>
      </c>
      <c r="E886" t="s">
        <v>74</v>
      </c>
      <c r="F886" t="s">
        <v>16036</v>
      </c>
      <c r="G886" t="s">
        <v>74</v>
      </c>
      <c r="H886" t="s">
        <v>74</v>
      </c>
      <c r="I886" t="s">
        <v>16037</v>
      </c>
      <c r="J886" t="s">
        <v>15387</v>
      </c>
      <c r="K886" t="s">
        <v>74</v>
      </c>
      <c r="L886" t="s">
        <v>74</v>
      </c>
      <c r="M886" t="s">
        <v>78</v>
      </c>
      <c r="N886" t="s">
        <v>79</v>
      </c>
      <c r="O886" t="s">
        <v>74</v>
      </c>
      <c r="P886" t="s">
        <v>74</v>
      </c>
      <c r="Q886" t="s">
        <v>74</v>
      </c>
      <c r="R886" t="s">
        <v>74</v>
      </c>
      <c r="S886" t="s">
        <v>74</v>
      </c>
      <c r="T886" t="s">
        <v>16038</v>
      </c>
      <c r="U886" t="s">
        <v>16039</v>
      </c>
      <c r="V886" t="s">
        <v>16040</v>
      </c>
      <c r="W886" t="s">
        <v>16041</v>
      </c>
      <c r="X886" t="s">
        <v>16042</v>
      </c>
      <c r="Y886" t="s">
        <v>16043</v>
      </c>
      <c r="Z886" t="s">
        <v>16044</v>
      </c>
      <c r="AA886" t="s">
        <v>74</v>
      </c>
      <c r="AB886" t="s">
        <v>74</v>
      </c>
      <c r="AC886" t="s">
        <v>74</v>
      </c>
      <c r="AD886" t="s">
        <v>74</v>
      </c>
      <c r="AE886" t="s">
        <v>74</v>
      </c>
      <c r="AF886" t="s">
        <v>74</v>
      </c>
      <c r="AG886">
        <v>103</v>
      </c>
      <c r="AH886">
        <v>0</v>
      </c>
      <c r="AI886">
        <v>0</v>
      </c>
      <c r="AJ886">
        <v>0</v>
      </c>
      <c r="AK886">
        <v>0</v>
      </c>
      <c r="AL886" t="s">
        <v>90</v>
      </c>
      <c r="AM886" t="s">
        <v>91</v>
      </c>
      <c r="AN886" t="s">
        <v>92</v>
      </c>
      <c r="AO886" t="s">
        <v>15395</v>
      </c>
      <c r="AP886" t="s">
        <v>74</v>
      </c>
      <c r="AQ886" t="s">
        <v>74</v>
      </c>
      <c r="AR886" t="s">
        <v>15396</v>
      </c>
      <c r="AS886" t="s">
        <v>15397</v>
      </c>
      <c r="AT886" t="s">
        <v>13744</v>
      </c>
      <c r="AU886">
        <v>2023</v>
      </c>
      <c r="AV886">
        <v>12</v>
      </c>
      <c r="AW886" t="s">
        <v>74</v>
      </c>
      <c r="AX886" t="s">
        <v>74</v>
      </c>
      <c r="AY886" t="s">
        <v>74</v>
      </c>
      <c r="AZ886" t="s">
        <v>74</v>
      </c>
      <c r="BA886" t="s">
        <v>74</v>
      </c>
      <c r="BB886" t="s">
        <v>74</v>
      </c>
      <c r="BC886" t="s">
        <v>74</v>
      </c>
      <c r="BD886">
        <v>100115</v>
      </c>
      <c r="BE886" t="s">
        <v>16045</v>
      </c>
      <c r="BF886" t="str">
        <f>HYPERLINK("http://dx.doi.org/10.1016/j.qsa.2023.100115","http://dx.doi.org/10.1016/j.qsa.2023.100115")</f>
        <v>http://dx.doi.org/10.1016/j.qsa.2023.100115</v>
      </c>
      <c r="BG886" t="s">
        <v>74</v>
      </c>
      <c r="BH886" t="s">
        <v>74</v>
      </c>
      <c r="BI886">
        <v>16</v>
      </c>
      <c r="BJ886" t="s">
        <v>15399</v>
      </c>
      <c r="BK886" t="s">
        <v>1850</v>
      </c>
      <c r="BL886" t="s">
        <v>15400</v>
      </c>
      <c r="BM886" t="s">
        <v>16046</v>
      </c>
      <c r="BN886" t="s">
        <v>74</v>
      </c>
      <c r="BO886" t="s">
        <v>3613</v>
      </c>
      <c r="BP886" t="s">
        <v>74</v>
      </c>
      <c r="BQ886" t="s">
        <v>74</v>
      </c>
      <c r="BR886" t="s">
        <v>104</v>
      </c>
      <c r="BS886" t="s">
        <v>16047</v>
      </c>
      <c r="BT886" t="str">
        <f>HYPERLINK("https%3A%2F%2Fwww.webofscience.com%2Fwos%2Fwoscc%2Ffull-record%2FWOS:001070248500001","View Full Record in Web of Science")</f>
        <v>View Full Record in Web of Science</v>
      </c>
    </row>
    <row r="887" spans="1:72" x14ac:dyDescent="0.15">
      <c r="A887" t="s">
        <v>72</v>
      </c>
      <c r="B887" t="s">
        <v>16048</v>
      </c>
      <c r="C887" t="s">
        <v>74</v>
      </c>
      <c r="D887" t="s">
        <v>74</v>
      </c>
      <c r="E887" t="s">
        <v>74</v>
      </c>
      <c r="F887" t="s">
        <v>16049</v>
      </c>
      <c r="G887" t="s">
        <v>74</v>
      </c>
      <c r="H887" t="s">
        <v>74</v>
      </c>
      <c r="I887" t="s">
        <v>16050</v>
      </c>
      <c r="J887" t="s">
        <v>13751</v>
      </c>
      <c r="K887" t="s">
        <v>74</v>
      </c>
      <c r="L887" t="s">
        <v>74</v>
      </c>
      <c r="M887" t="s">
        <v>78</v>
      </c>
      <c r="N887" t="s">
        <v>79</v>
      </c>
      <c r="O887" t="s">
        <v>74</v>
      </c>
      <c r="P887" t="s">
        <v>74</v>
      </c>
      <c r="Q887" t="s">
        <v>74</v>
      </c>
      <c r="R887" t="s">
        <v>74</v>
      </c>
      <c r="S887" t="s">
        <v>74</v>
      </c>
      <c r="T887" t="s">
        <v>16051</v>
      </c>
      <c r="U887" t="s">
        <v>16052</v>
      </c>
      <c r="V887" t="s">
        <v>16053</v>
      </c>
      <c r="W887" t="s">
        <v>16054</v>
      </c>
      <c r="X887" t="s">
        <v>16055</v>
      </c>
      <c r="Y887" t="s">
        <v>16056</v>
      </c>
      <c r="Z887" t="s">
        <v>16057</v>
      </c>
      <c r="AA887" t="s">
        <v>16058</v>
      </c>
      <c r="AB887" t="s">
        <v>16059</v>
      </c>
      <c r="AC887" t="s">
        <v>16060</v>
      </c>
      <c r="AD887" t="s">
        <v>16060</v>
      </c>
      <c r="AE887" t="s">
        <v>16061</v>
      </c>
      <c r="AF887" t="s">
        <v>74</v>
      </c>
      <c r="AG887">
        <v>36</v>
      </c>
      <c r="AH887">
        <v>0</v>
      </c>
      <c r="AI887">
        <v>0</v>
      </c>
      <c r="AJ887">
        <v>1</v>
      </c>
      <c r="AK887">
        <v>1</v>
      </c>
      <c r="AL887" t="s">
        <v>90</v>
      </c>
      <c r="AM887" t="s">
        <v>91</v>
      </c>
      <c r="AN887" t="s">
        <v>92</v>
      </c>
      <c r="AO887" t="s">
        <v>13761</v>
      </c>
      <c r="AP887" t="s">
        <v>74</v>
      </c>
      <c r="AQ887" t="s">
        <v>74</v>
      </c>
      <c r="AR887" t="s">
        <v>13762</v>
      </c>
      <c r="AS887" t="s">
        <v>13763</v>
      </c>
      <c r="AT887" t="s">
        <v>13744</v>
      </c>
      <c r="AU887">
        <v>2023</v>
      </c>
      <c r="AV887">
        <v>57</v>
      </c>
      <c r="AW887" t="s">
        <v>74</v>
      </c>
      <c r="AX887" t="s">
        <v>74</v>
      </c>
      <c r="AY887" t="s">
        <v>74</v>
      </c>
      <c r="AZ887" t="s">
        <v>74</v>
      </c>
      <c r="BA887" t="s">
        <v>74</v>
      </c>
      <c r="BB887">
        <v>311</v>
      </c>
      <c r="BC887">
        <v>317</v>
      </c>
      <c r="BD887" t="s">
        <v>74</v>
      </c>
      <c r="BE887" t="s">
        <v>16062</v>
      </c>
      <c r="BF887" t="str">
        <f>HYPERLINK("http://dx.doi.org/10.1016/j.clnesp.2023.07.001","http://dx.doi.org/10.1016/j.clnesp.2023.07.001")</f>
        <v>http://dx.doi.org/10.1016/j.clnesp.2023.07.001</v>
      </c>
      <c r="BG887" t="s">
        <v>74</v>
      </c>
      <c r="BH887" t="s">
        <v>74</v>
      </c>
      <c r="BI887">
        <v>7</v>
      </c>
      <c r="BJ887" t="s">
        <v>8923</v>
      </c>
      <c r="BK887" t="s">
        <v>1850</v>
      </c>
      <c r="BL887" t="s">
        <v>8923</v>
      </c>
      <c r="BM887" t="s">
        <v>16063</v>
      </c>
      <c r="BN887">
        <v>37739674</v>
      </c>
      <c r="BO887" t="s">
        <v>103</v>
      </c>
      <c r="BP887" t="s">
        <v>74</v>
      </c>
      <c r="BQ887" t="s">
        <v>74</v>
      </c>
      <c r="BR887" t="s">
        <v>104</v>
      </c>
      <c r="BS887" t="s">
        <v>16064</v>
      </c>
      <c r="BT887" t="str">
        <f>HYPERLINK("https%3A%2F%2Fwww.webofscience.com%2Fwos%2Fwoscc%2Ffull-record%2FWOS:001047569000001","View Full Record in Web of Science")</f>
        <v>View Full Record in Web of Science</v>
      </c>
    </row>
    <row r="888" spans="1:72" x14ac:dyDescent="0.15">
      <c r="A888" t="s">
        <v>72</v>
      </c>
      <c r="B888" t="s">
        <v>16065</v>
      </c>
      <c r="C888" t="s">
        <v>74</v>
      </c>
      <c r="D888" t="s">
        <v>74</v>
      </c>
      <c r="E888" t="s">
        <v>74</v>
      </c>
      <c r="F888" t="s">
        <v>16066</v>
      </c>
      <c r="G888" t="s">
        <v>74</v>
      </c>
      <c r="H888" t="s">
        <v>74</v>
      </c>
      <c r="I888" t="s">
        <v>16067</v>
      </c>
      <c r="J888" t="s">
        <v>11060</v>
      </c>
      <c r="K888" t="s">
        <v>74</v>
      </c>
      <c r="L888" t="s">
        <v>74</v>
      </c>
      <c r="M888" t="s">
        <v>78</v>
      </c>
      <c r="N888" t="s">
        <v>79</v>
      </c>
      <c r="O888" t="s">
        <v>74</v>
      </c>
      <c r="P888" t="s">
        <v>74</v>
      </c>
      <c r="Q888" t="s">
        <v>74</v>
      </c>
      <c r="R888" t="s">
        <v>74</v>
      </c>
      <c r="S888" t="s">
        <v>74</v>
      </c>
      <c r="T888" t="s">
        <v>16068</v>
      </c>
      <c r="U888" t="s">
        <v>16069</v>
      </c>
      <c r="V888" t="s">
        <v>16070</v>
      </c>
      <c r="W888" t="s">
        <v>16071</v>
      </c>
      <c r="X888" t="s">
        <v>16072</v>
      </c>
      <c r="Y888" t="s">
        <v>16073</v>
      </c>
      <c r="Z888" t="s">
        <v>16074</v>
      </c>
      <c r="AA888" t="s">
        <v>74</v>
      </c>
      <c r="AB888" t="s">
        <v>74</v>
      </c>
      <c r="AC888" t="s">
        <v>16075</v>
      </c>
      <c r="AD888" t="s">
        <v>16076</v>
      </c>
      <c r="AE888" t="s">
        <v>16077</v>
      </c>
      <c r="AF888" t="s">
        <v>74</v>
      </c>
      <c r="AG888">
        <v>31</v>
      </c>
      <c r="AH888">
        <v>0</v>
      </c>
      <c r="AI888">
        <v>0</v>
      </c>
      <c r="AJ888">
        <v>4</v>
      </c>
      <c r="AK888">
        <v>4</v>
      </c>
      <c r="AL888" t="s">
        <v>120</v>
      </c>
      <c r="AM888" t="s">
        <v>121</v>
      </c>
      <c r="AN888" t="s">
        <v>122</v>
      </c>
      <c r="AO888" t="s">
        <v>11072</v>
      </c>
      <c r="AP888" t="s">
        <v>11073</v>
      </c>
      <c r="AQ888" t="s">
        <v>74</v>
      </c>
      <c r="AR888" t="s">
        <v>11074</v>
      </c>
      <c r="AS888" t="s">
        <v>11075</v>
      </c>
      <c r="AT888" t="s">
        <v>13744</v>
      </c>
      <c r="AU888">
        <v>2023</v>
      </c>
      <c r="AV888">
        <v>173</v>
      </c>
      <c r="AW888" t="s">
        <v>74</v>
      </c>
      <c r="AX888" t="s">
        <v>74</v>
      </c>
      <c r="AY888" t="s">
        <v>74</v>
      </c>
      <c r="AZ888" t="s">
        <v>74</v>
      </c>
      <c r="BA888" t="s">
        <v>74</v>
      </c>
      <c r="BB888" t="s">
        <v>74</v>
      </c>
      <c r="BC888" t="s">
        <v>74</v>
      </c>
      <c r="BD888">
        <v>108079</v>
      </c>
      <c r="BE888" t="s">
        <v>16078</v>
      </c>
      <c r="BF888" t="str">
        <f>HYPERLINK("http://dx.doi.org/10.1016/j.soildyn.2023.108079","http://dx.doi.org/10.1016/j.soildyn.2023.108079")</f>
        <v>http://dx.doi.org/10.1016/j.soildyn.2023.108079</v>
      </c>
      <c r="BG888" t="s">
        <v>74</v>
      </c>
      <c r="BH888" t="s">
        <v>74</v>
      </c>
      <c r="BI888">
        <v>11</v>
      </c>
      <c r="BJ888" t="s">
        <v>11077</v>
      </c>
      <c r="BK888" t="s">
        <v>100</v>
      </c>
      <c r="BL888" t="s">
        <v>11078</v>
      </c>
      <c r="BM888" t="s">
        <v>16079</v>
      </c>
      <c r="BN888" t="s">
        <v>74</v>
      </c>
      <c r="BO888" t="s">
        <v>74</v>
      </c>
      <c r="BP888" t="s">
        <v>74</v>
      </c>
      <c r="BQ888" t="s">
        <v>74</v>
      </c>
      <c r="BR888" t="s">
        <v>104</v>
      </c>
      <c r="BS888" t="s">
        <v>16080</v>
      </c>
      <c r="BT888" t="str">
        <f>HYPERLINK("https%3A%2F%2Fwww.webofscience.com%2Fwos%2Fwoscc%2Ffull-record%2FWOS:001050831300001","View Full Record in Web of Science")</f>
        <v>View Full Record in Web of Science</v>
      </c>
    </row>
    <row r="889" spans="1:72" x14ac:dyDescent="0.15">
      <c r="A889" t="s">
        <v>72</v>
      </c>
      <c r="B889" t="s">
        <v>16081</v>
      </c>
      <c r="C889" t="s">
        <v>74</v>
      </c>
      <c r="D889" t="s">
        <v>74</v>
      </c>
      <c r="E889" t="s">
        <v>74</v>
      </c>
      <c r="F889" t="s">
        <v>16082</v>
      </c>
      <c r="G889" t="s">
        <v>74</v>
      </c>
      <c r="H889" t="s">
        <v>74</v>
      </c>
      <c r="I889" t="s">
        <v>16083</v>
      </c>
      <c r="J889" t="s">
        <v>16084</v>
      </c>
      <c r="K889" t="s">
        <v>74</v>
      </c>
      <c r="L889" t="s">
        <v>74</v>
      </c>
      <c r="M889" t="s">
        <v>78</v>
      </c>
      <c r="N889" t="s">
        <v>79</v>
      </c>
      <c r="O889" t="s">
        <v>74</v>
      </c>
      <c r="P889" t="s">
        <v>74</v>
      </c>
      <c r="Q889" t="s">
        <v>74</v>
      </c>
      <c r="R889" t="s">
        <v>74</v>
      </c>
      <c r="S889" t="s">
        <v>74</v>
      </c>
      <c r="T889" t="s">
        <v>16085</v>
      </c>
      <c r="U889" t="s">
        <v>16086</v>
      </c>
      <c r="V889" t="s">
        <v>16087</v>
      </c>
      <c r="W889" t="s">
        <v>16088</v>
      </c>
      <c r="X889" t="s">
        <v>16089</v>
      </c>
      <c r="Y889" t="s">
        <v>16090</v>
      </c>
      <c r="Z889" t="s">
        <v>16091</v>
      </c>
      <c r="AA889" t="s">
        <v>74</v>
      </c>
      <c r="AB889" t="s">
        <v>74</v>
      </c>
      <c r="AC889" t="s">
        <v>16092</v>
      </c>
      <c r="AD889" t="s">
        <v>16093</v>
      </c>
      <c r="AE889" t="s">
        <v>16094</v>
      </c>
      <c r="AF889" t="s">
        <v>74</v>
      </c>
      <c r="AG889">
        <v>33</v>
      </c>
      <c r="AH889">
        <v>0</v>
      </c>
      <c r="AI889">
        <v>0</v>
      </c>
      <c r="AJ889">
        <v>2</v>
      </c>
      <c r="AK889">
        <v>2</v>
      </c>
      <c r="AL889" t="s">
        <v>173</v>
      </c>
      <c r="AM889" t="s">
        <v>121</v>
      </c>
      <c r="AN889" t="s">
        <v>174</v>
      </c>
      <c r="AO889" t="s">
        <v>16095</v>
      </c>
      <c r="AP889" t="s">
        <v>16096</v>
      </c>
      <c r="AQ889" t="s">
        <v>74</v>
      </c>
      <c r="AR889" t="s">
        <v>16097</v>
      </c>
      <c r="AS889" t="s">
        <v>16098</v>
      </c>
      <c r="AT889" t="s">
        <v>13744</v>
      </c>
      <c r="AU889">
        <v>2023</v>
      </c>
      <c r="AV889">
        <v>152</v>
      </c>
      <c r="AW889" t="s">
        <v>74</v>
      </c>
      <c r="AX889" t="s">
        <v>74</v>
      </c>
      <c r="AY889" t="s">
        <v>74</v>
      </c>
      <c r="AZ889" t="s">
        <v>74</v>
      </c>
      <c r="BA889" t="s">
        <v>74</v>
      </c>
      <c r="BB889" t="s">
        <v>74</v>
      </c>
      <c r="BC889" t="s">
        <v>74</v>
      </c>
      <c r="BD889">
        <v>107503</v>
      </c>
      <c r="BE889" t="s">
        <v>16099</v>
      </c>
      <c r="BF889" t="str">
        <f>HYPERLINK("http://dx.doi.org/10.1016/j.engfailanal.2023.107503","http://dx.doi.org/10.1016/j.engfailanal.2023.107503")</f>
        <v>http://dx.doi.org/10.1016/j.engfailanal.2023.107503</v>
      </c>
      <c r="BG889" t="s">
        <v>74</v>
      </c>
      <c r="BH889" t="s">
        <v>74</v>
      </c>
      <c r="BI889">
        <v>21</v>
      </c>
      <c r="BJ889" t="s">
        <v>16100</v>
      </c>
      <c r="BK889" t="s">
        <v>100</v>
      </c>
      <c r="BL889" t="s">
        <v>156</v>
      </c>
      <c r="BM889" t="s">
        <v>16101</v>
      </c>
      <c r="BN889" t="s">
        <v>74</v>
      </c>
      <c r="BO889" t="s">
        <v>74</v>
      </c>
      <c r="BP889" t="s">
        <v>74</v>
      </c>
      <c r="BQ889" t="s">
        <v>74</v>
      </c>
      <c r="BR889" t="s">
        <v>104</v>
      </c>
      <c r="BS889" t="s">
        <v>16102</v>
      </c>
      <c r="BT889" t="str">
        <f>HYPERLINK("https%3A%2F%2Fwww.webofscience.com%2Fwos%2Fwoscc%2Ffull-record%2FWOS:001047422500001","View Full Record in Web of Science")</f>
        <v>View Full Record in Web of Science</v>
      </c>
    </row>
    <row r="890" spans="1:72" x14ac:dyDescent="0.15">
      <c r="A890" t="s">
        <v>72</v>
      </c>
      <c r="B890" t="s">
        <v>16103</v>
      </c>
      <c r="C890" t="s">
        <v>74</v>
      </c>
      <c r="D890" t="s">
        <v>74</v>
      </c>
      <c r="E890" t="s">
        <v>74</v>
      </c>
      <c r="F890" t="s">
        <v>16104</v>
      </c>
      <c r="G890" t="s">
        <v>74</v>
      </c>
      <c r="H890" t="s">
        <v>74</v>
      </c>
      <c r="I890" t="s">
        <v>16105</v>
      </c>
      <c r="J890" t="s">
        <v>6304</v>
      </c>
      <c r="K890" t="s">
        <v>74</v>
      </c>
      <c r="L890" t="s">
        <v>74</v>
      </c>
      <c r="M890" t="s">
        <v>78</v>
      </c>
      <c r="N890" t="s">
        <v>79</v>
      </c>
      <c r="O890" t="s">
        <v>74</v>
      </c>
      <c r="P890" t="s">
        <v>74</v>
      </c>
      <c r="Q890" t="s">
        <v>74</v>
      </c>
      <c r="R890" t="s">
        <v>74</v>
      </c>
      <c r="S890" t="s">
        <v>74</v>
      </c>
      <c r="T890" t="s">
        <v>16106</v>
      </c>
      <c r="U890" t="s">
        <v>16107</v>
      </c>
      <c r="V890" t="s">
        <v>16108</v>
      </c>
      <c r="W890" t="s">
        <v>16109</v>
      </c>
      <c r="X890" t="s">
        <v>12238</v>
      </c>
      <c r="Y890" t="s">
        <v>16110</v>
      </c>
      <c r="Z890" t="s">
        <v>16111</v>
      </c>
      <c r="AA890" t="s">
        <v>74</v>
      </c>
      <c r="AB890" t="s">
        <v>16112</v>
      </c>
      <c r="AC890" t="s">
        <v>74</v>
      </c>
      <c r="AD890" t="s">
        <v>74</v>
      </c>
      <c r="AE890" t="s">
        <v>74</v>
      </c>
      <c r="AF890" t="s">
        <v>74</v>
      </c>
      <c r="AG890">
        <v>64</v>
      </c>
      <c r="AH890">
        <v>0</v>
      </c>
      <c r="AI890">
        <v>0</v>
      </c>
      <c r="AJ890">
        <v>2</v>
      </c>
      <c r="AK890">
        <v>2</v>
      </c>
      <c r="AL890" t="s">
        <v>173</v>
      </c>
      <c r="AM890" t="s">
        <v>121</v>
      </c>
      <c r="AN890" t="s">
        <v>174</v>
      </c>
      <c r="AO890" t="s">
        <v>6314</v>
      </c>
      <c r="AP890" t="s">
        <v>6315</v>
      </c>
      <c r="AQ890" t="s">
        <v>74</v>
      </c>
      <c r="AR890" t="s">
        <v>6316</v>
      </c>
      <c r="AS890" t="s">
        <v>6317</v>
      </c>
      <c r="AT890" t="s">
        <v>13744</v>
      </c>
      <c r="AU890">
        <v>2023</v>
      </c>
      <c r="AV890">
        <v>233</v>
      </c>
      <c r="AW890" t="s">
        <v>74</v>
      </c>
      <c r="AX890" t="s">
        <v>74</v>
      </c>
      <c r="AY890" t="s">
        <v>74</v>
      </c>
      <c r="AZ890" t="s">
        <v>74</v>
      </c>
      <c r="BA890" t="s">
        <v>74</v>
      </c>
      <c r="BB890" t="s">
        <v>74</v>
      </c>
      <c r="BC890" t="s">
        <v>74</v>
      </c>
      <c r="BD890">
        <v>121189</v>
      </c>
      <c r="BE890" t="s">
        <v>16113</v>
      </c>
      <c r="BF890" t="str">
        <f>HYPERLINK("http://dx.doi.org/10.1016/j.applthermaleng.2023.121189","http://dx.doi.org/10.1016/j.applthermaleng.2023.121189")</f>
        <v>http://dx.doi.org/10.1016/j.applthermaleng.2023.121189</v>
      </c>
      <c r="BG890" t="s">
        <v>74</v>
      </c>
      <c r="BH890" t="s">
        <v>74</v>
      </c>
      <c r="BI890">
        <v>17</v>
      </c>
      <c r="BJ890" t="s">
        <v>6319</v>
      </c>
      <c r="BK890" t="s">
        <v>100</v>
      </c>
      <c r="BL890" t="s">
        <v>6320</v>
      </c>
      <c r="BM890" t="s">
        <v>16114</v>
      </c>
      <c r="BN890" t="s">
        <v>74</v>
      </c>
      <c r="BO890" t="s">
        <v>74</v>
      </c>
      <c r="BP890" t="s">
        <v>74</v>
      </c>
      <c r="BQ890" t="s">
        <v>74</v>
      </c>
      <c r="BR890" t="s">
        <v>104</v>
      </c>
      <c r="BS890" t="s">
        <v>16115</v>
      </c>
      <c r="BT890" t="str">
        <f>HYPERLINK("https%3A%2F%2Fwww.webofscience.com%2Fwos%2Fwoscc%2Ffull-record%2FWOS:001047380000001","View Full Record in Web of Science")</f>
        <v>View Full Record in Web of Science</v>
      </c>
    </row>
    <row r="891" spans="1:72" x14ac:dyDescent="0.15">
      <c r="A891" t="s">
        <v>72</v>
      </c>
      <c r="B891" t="s">
        <v>16116</v>
      </c>
      <c r="C891" t="s">
        <v>74</v>
      </c>
      <c r="D891" t="s">
        <v>74</v>
      </c>
      <c r="E891" t="s">
        <v>74</v>
      </c>
      <c r="F891" t="s">
        <v>16117</v>
      </c>
      <c r="G891" t="s">
        <v>74</v>
      </c>
      <c r="H891" t="s">
        <v>74</v>
      </c>
      <c r="I891" t="s">
        <v>16118</v>
      </c>
      <c r="J891" t="s">
        <v>16119</v>
      </c>
      <c r="K891" t="s">
        <v>74</v>
      </c>
      <c r="L891" t="s">
        <v>74</v>
      </c>
      <c r="M891" t="s">
        <v>78</v>
      </c>
      <c r="N891" t="s">
        <v>8335</v>
      </c>
      <c r="O891" t="s">
        <v>74</v>
      </c>
      <c r="P891" t="s">
        <v>74</v>
      </c>
      <c r="Q891" t="s">
        <v>74</v>
      </c>
      <c r="R891" t="s">
        <v>74</v>
      </c>
      <c r="S891" t="s">
        <v>74</v>
      </c>
      <c r="T891" t="s">
        <v>16120</v>
      </c>
      <c r="U891" t="s">
        <v>74</v>
      </c>
      <c r="V891" t="s">
        <v>74</v>
      </c>
      <c r="W891" t="s">
        <v>16121</v>
      </c>
      <c r="X891" t="s">
        <v>16122</v>
      </c>
      <c r="Y891" t="s">
        <v>16123</v>
      </c>
      <c r="Z891" t="s">
        <v>16124</v>
      </c>
      <c r="AA891" t="s">
        <v>74</v>
      </c>
      <c r="AB891" t="s">
        <v>74</v>
      </c>
      <c r="AC891" t="s">
        <v>74</v>
      </c>
      <c r="AD891" t="s">
        <v>74</v>
      </c>
      <c r="AE891" t="s">
        <v>74</v>
      </c>
      <c r="AF891" t="s">
        <v>74</v>
      </c>
      <c r="AG891">
        <v>10</v>
      </c>
      <c r="AH891">
        <v>0</v>
      </c>
      <c r="AI891">
        <v>0</v>
      </c>
      <c r="AJ891">
        <v>1</v>
      </c>
      <c r="AK891">
        <v>1</v>
      </c>
      <c r="AL891" t="s">
        <v>90</v>
      </c>
      <c r="AM891" t="s">
        <v>91</v>
      </c>
      <c r="AN891" t="s">
        <v>92</v>
      </c>
      <c r="AO891" t="s">
        <v>16125</v>
      </c>
      <c r="AP891" t="s">
        <v>16126</v>
      </c>
      <c r="AQ891" t="s">
        <v>74</v>
      </c>
      <c r="AR891" t="s">
        <v>16127</v>
      </c>
      <c r="AS891" t="s">
        <v>16128</v>
      </c>
      <c r="AT891" t="s">
        <v>13744</v>
      </c>
      <c r="AU891">
        <v>2023</v>
      </c>
      <c r="AV891">
        <v>88</v>
      </c>
      <c r="AW891" t="s">
        <v>74</v>
      </c>
      <c r="AX891" t="s">
        <v>74</v>
      </c>
      <c r="AY891" t="s">
        <v>74</v>
      </c>
      <c r="AZ891" t="s">
        <v>74</v>
      </c>
      <c r="BA891" t="s">
        <v>74</v>
      </c>
      <c r="BB891" t="s">
        <v>74</v>
      </c>
      <c r="BC891" t="s">
        <v>74</v>
      </c>
      <c r="BD891">
        <v>103726</v>
      </c>
      <c r="BE891" t="s">
        <v>16129</v>
      </c>
      <c r="BF891" t="str">
        <f>HYPERLINK("http://dx.doi.org/10.1016/j.ajp.2023.103726","http://dx.doi.org/10.1016/j.ajp.2023.103726")</f>
        <v>http://dx.doi.org/10.1016/j.ajp.2023.103726</v>
      </c>
      <c r="BG891" t="s">
        <v>74</v>
      </c>
      <c r="BH891" t="s">
        <v>74</v>
      </c>
      <c r="BI891">
        <v>3</v>
      </c>
      <c r="BJ891" t="s">
        <v>16130</v>
      </c>
      <c r="BK891" t="s">
        <v>100</v>
      </c>
      <c r="BL891" t="s">
        <v>16130</v>
      </c>
      <c r="BM891" t="s">
        <v>16131</v>
      </c>
      <c r="BN891">
        <v>37567084</v>
      </c>
      <c r="BO891" t="s">
        <v>74</v>
      </c>
      <c r="BP891" t="s">
        <v>74</v>
      </c>
      <c r="BQ891" t="s">
        <v>74</v>
      </c>
      <c r="BR891" t="s">
        <v>104</v>
      </c>
      <c r="BS891" t="s">
        <v>16132</v>
      </c>
      <c r="BT891" t="str">
        <f>HYPERLINK("https%3A%2F%2Fwww.webofscience.com%2Fwos%2Fwoscc%2Ffull-record%2FWOS:001064942800001","View Full Record in Web of Science")</f>
        <v>View Full Record in Web of Science</v>
      </c>
    </row>
    <row r="892" spans="1:72" x14ac:dyDescent="0.15">
      <c r="A892" t="s">
        <v>72</v>
      </c>
      <c r="B892" t="s">
        <v>16133</v>
      </c>
      <c r="C892" t="s">
        <v>74</v>
      </c>
      <c r="D892" t="s">
        <v>74</v>
      </c>
      <c r="E892" t="s">
        <v>74</v>
      </c>
      <c r="F892" t="s">
        <v>16134</v>
      </c>
      <c r="G892" t="s">
        <v>74</v>
      </c>
      <c r="H892" t="s">
        <v>74</v>
      </c>
      <c r="I892" t="s">
        <v>16135</v>
      </c>
      <c r="J892" t="s">
        <v>12114</v>
      </c>
      <c r="K892" t="s">
        <v>74</v>
      </c>
      <c r="L892" t="s">
        <v>74</v>
      </c>
      <c r="M892" t="s">
        <v>78</v>
      </c>
      <c r="N892" t="s">
        <v>79</v>
      </c>
      <c r="O892" t="s">
        <v>74</v>
      </c>
      <c r="P892" t="s">
        <v>74</v>
      </c>
      <c r="Q892" t="s">
        <v>74</v>
      </c>
      <c r="R892" t="s">
        <v>74</v>
      </c>
      <c r="S892" t="s">
        <v>74</v>
      </c>
      <c r="T892" t="s">
        <v>16136</v>
      </c>
      <c r="U892" t="s">
        <v>16137</v>
      </c>
      <c r="V892" t="s">
        <v>16138</v>
      </c>
      <c r="W892" t="s">
        <v>16139</v>
      </c>
      <c r="X892" t="s">
        <v>16140</v>
      </c>
      <c r="Y892" t="s">
        <v>16141</v>
      </c>
      <c r="Z892" t="s">
        <v>16142</v>
      </c>
      <c r="AA892" t="s">
        <v>16143</v>
      </c>
      <c r="AB892" t="s">
        <v>74</v>
      </c>
      <c r="AC892" t="s">
        <v>16144</v>
      </c>
      <c r="AD892" t="s">
        <v>16145</v>
      </c>
      <c r="AE892" t="s">
        <v>16146</v>
      </c>
      <c r="AF892" t="s">
        <v>74</v>
      </c>
      <c r="AG892">
        <v>61</v>
      </c>
      <c r="AH892">
        <v>0</v>
      </c>
      <c r="AI892">
        <v>0</v>
      </c>
      <c r="AJ892">
        <v>3</v>
      </c>
      <c r="AK892">
        <v>3</v>
      </c>
      <c r="AL892" t="s">
        <v>120</v>
      </c>
      <c r="AM892" t="s">
        <v>121</v>
      </c>
      <c r="AN892" t="s">
        <v>122</v>
      </c>
      <c r="AO892" t="s">
        <v>12125</v>
      </c>
      <c r="AP892" t="s">
        <v>12126</v>
      </c>
      <c r="AQ892" t="s">
        <v>74</v>
      </c>
      <c r="AR892" t="s">
        <v>12127</v>
      </c>
      <c r="AS892" t="s">
        <v>12128</v>
      </c>
      <c r="AT892" t="s">
        <v>13778</v>
      </c>
      <c r="AU892">
        <v>2023</v>
      </c>
      <c r="AV892">
        <v>321</v>
      </c>
      <c r="AW892" t="s">
        <v>74</v>
      </c>
      <c r="AX892" t="s">
        <v>74</v>
      </c>
      <c r="AY892" t="s">
        <v>74</v>
      </c>
      <c r="AZ892" t="s">
        <v>74</v>
      </c>
      <c r="BA892" t="s">
        <v>74</v>
      </c>
      <c r="BB892" t="s">
        <v>74</v>
      </c>
      <c r="BC892" t="s">
        <v>74</v>
      </c>
      <c r="BD892">
        <v>117309</v>
      </c>
      <c r="BE892" t="s">
        <v>16147</v>
      </c>
      <c r="BF892" t="str">
        <f>HYPERLINK("http://dx.doi.org/10.1016/j.compstruct.2023.117309","http://dx.doi.org/10.1016/j.compstruct.2023.117309")</f>
        <v>http://dx.doi.org/10.1016/j.compstruct.2023.117309</v>
      </c>
      <c r="BG892" t="s">
        <v>74</v>
      </c>
      <c r="BH892" t="s">
        <v>74</v>
      </c>
      <c r="BI892">
        <v>11</v>
      </c>
      <c r="BJ892" t="s">
        <v>12130</v>
      </c>
      <c r="BK892" t="s">
        <v>100</v>
      </c>
      <c r="BL892" t="s">
        <v>12131</v>
      </c>
      <c r="BM892" t="s">
        <v>16148</v>
      </c>
      <c r="BN892" t="s">
        <v>74</v>
      </c>
      <c r="BO892" t="s">
        <v>74</v>
      </c>
      <c r="BP892" t="s">
        <v>74</v>
      </c>
      <c r="BQ892" t="s">
        <v>74</v>
      </c>
      <c r="BR892" t="s">
        <v>104</v>
      </c>
      <c r="BS892" t="s">
        <v>16149</v>
      </c>
      <c r="BT892" t="str">
        <f>HYPERLINK("https%3A%2F%2Fwww.webofscience.com%2Fwos%2Fwoscc%2Ffull-record%2FWOS:001055046900001","View Full Record in Web of Science")</f>
        <v>View Full Record in Web of Science</v>
      </c>
    </row>
    <row r="893" spans="1:72" x14ac:dyDescent="0.15">
      <c r="A893" t="s">
        <v>72</v>
      </c>
      <c r="B893" t="s">
        <v>16150</v>
      </c>
      <c r="C893" t="s">
        <v>74</v>
      </c>
      <c r="D893" t="s">
        <v>74</v>
      </c>
      <c r="E893" t="s">
        <v>74</v>
      </c>
      <c r="F893" t="s">
        <v>16151</v>
      </c>
      <c r="G893" t="s">
        <v>74</v>
      </c>
      <c r="H893" t="s">
        <v>74</v>
      </c>
      <c r="I893" t="s">
        <v>16152</v>
      </c>
      <c r="J893" t="s">
        <v>16153</v>
      </c>
      <c r="K893" t="s">
        <v>74</v>
      </c>
      <c r="L893" t="s">
        <v>74</v>
      </c>
      <c r="M893" t="s">
        <v>78</v>
      </c>
      <c r="N893" t="s">
        <v>79</v>
      </c>
      <c r="O893" t="s">
        <v>74</v>
      </c>
      <c r="P893" t="s">
        <v>74</v>
      </c>
      <c r="Q893" t="s">
        <v>74</v>
      </c>
      <c r="R893" t="s">
        <v>74</v>
      </c>
      <c r="S893" t="s">
        <v>74</v>
      </c>
      <c r="T893" t="s">
        <v>16154</v>
      </c>
      <c r="U893" t="s">
        <v>16155</v>
      </c>
      <c r="V893" t="s">
        <v>16156</v>
      </c>
      <c r="W893" t="s">
        <v>16157</v>
      </c>
      <c r="X893" t="s">
        <v>16158</v>
      </c>
      <c r="Y893" t="s">
        <v>16159</v>
      </c>
      <c r="Z893" t="s">
        <v>16160</v>
      </c>
      <c r="AA893" t="s">
        <v>74</v>
      </c>
      <c r="AB893" t="s">
        <v>74</v>
      </c>
      <c r="AC893" t="s">
        <v>16161</v>
      </c>
      <c r="AD893" t="s">
        <v>16162</v>
      </c>
      <c r="AE893" t="s">
        <v>16163</v>
      </c>
      <c r="AF893" t="s">
        <v>74</v>
      </c>
      <c r="AG893">
        <v>44</v>
      </c>
      <c r="AH893">
        <v>0</v>
      </c>
      <c r="AI893">
        <v>0</v>
      </c>
      <c r="AJ893">
        <v>1</v>
      </c>
      <c r="AK893">
        <v>1</v>
      </c>
      <c r="AL893" t="s">
        <v>147</v>
      </c>
      <c r="AM893" t="s">
        <v>148</v>
      </c>
      <c r="AN893" t="s">
        <v>149</v>
      </c>
      <c r="AO893" t="s">
        <v>16164</v>
      </c>
      <c r="AP893" t="s">
        <v>16165</v>
      </c>
      <c r="AQ893" t="s">
        <v>74</v>
      </c>
      <c r="AR893" t="s">
        <v>16166</v>
      </c>
      <c r="AS893" t="s">
        <v>16167</v>
      </c>
      <c r="AT893" t="s">
        <v>13744</v>
      </c>
      <c r="AU893">
        <v>2023</v>
      </c>
      <c r="AV893">
        <v>34</v>
      </c>
      <c r="AW893">
        <v>10</v>
      </c>
      <c r="AX893" t="s">
        <v>74</v>
      </c>
      <c r="AY893" t="s">
        <v>74</v>
      </c>
      <c r="AZ893" t="s">
        <v>74</v>
      </c>
      <c r="BA893" t="s">
        <v>74</v>
      </c>
      <c r="BB893" t="s">
        <v>74</v>
      </c>
      <c r="BC893" t="s">
        <v>74</v>
      </c>
      <c r="BD893">
        <v>108236</v>
      </c>
      <c r="BE893" t="s">
        <v>16168</v>
      </c>
      <c r="BF893" t="str">
        <f>HYPERLINK("http://dx.doi.org/10.1016/j.cclet.2023.108236","http://dx.doi.org/10.1016/j.cclet.2023.108236")</f>
        <v>http://dx.doi.org/10.1016/j.cclet.2023.108236</v>
      </c>
      <c r="BG893" t="s">
        <v>74</v>
      </c>
      <c r="BH893" t="s">
        <v>74</v>
      </c>
      <c r="BI893">
        <v>6</v>
      </c>
      <c r="BJ893" t="s">
        <v>2706</v>
      </c>
      <c r="BK893" t="s">
        <v>100</v>
      </c>
      <c r="BL893" t="s">
        <v>395</v>
      </c>
      <c r="BM893" t="s">
        <v>16169</v>
      </c>
      <c r="BN893" t="s">
        <v>74</v>
      </c>
      <c r="BO893" t="s">
        <v>74</v>
      </c>
      <c r="BP893" t="s">
        <v>74</v>
      </c>
      <c r="BQ893" t="s">
        <v>74</v>
      </c>
      <c r="BR893" t="s">
        <v>104</v>
      </c>
      <c r="BS893" t="s">
        <v>16170</v>
      </c>
      <c r="BT893" t="str">
        <f>HYPERLINK("https%3A%2F%2Fwww.webofscience.com%2Fwos%2Fwoscc%2Ffull-record%2FWOS:001062992000001","View Full Record in Web of Science")</f>
        <v>View Full Record in Web of Science</v>
      </c>
    </row>
    <row r="894" spans="1:72" x14ac:dyDescent="0.15">
      <c r="A894" t="s">
        <v>72</v>
      </c>
      <c r="B894" t="s">
        <v>16171</v>
      </c>
      <c r="C894" t="s">
        <v>74</v>
      </c>
      <c r="D894" t="s">
        <v>74</v>
      </c>
      <c r="E894" t="s">
        <v>74</v>
      </c>
      <c r="F894" t="s">
        <v>16172</v>
      </c>
      <c r="G894" t="s">
        <v>74</v>
      </c>
      <c r="H894" t="s">
        <v>74</v>
      </c>
      <c r="I894" t="s">
        <v>16173</v>
      </c>
      <c r="J894" t="s">
        <v>11060</v>
      </c>
      <c r="K894" t="s">
        <v>74</v>
      </c>
      <c r="L894" t="s">
        <v>74</v>
      </c>
      <c r="M894" t="s">
        <v>78</v>
      </c>
      <c r="N894" t="s">
        <v>79</v>
      </c>
      <c r="O894" t="s">
        <v>74</v>
      </c>
      <c r="P894" t="s">
        <v>74</v>
      </c>
      <c r="Q894" t="s">
        <v>74</v>
      </c>
      <c r="R894" t="s">
        <v>74</v>
      </c>
      <c r="S894" t="s">
        <v>74</v>
      </c>
      <c r="T894" t="s">
        <v>16174</v>
      </c>
      <c r="U894" t="s">
        <v>16175</v>
      </c>
      <c r="V894" t="s">
        <v>16176</v>
      </c>
      <c r="W894" t="s">
        <v>16177</v>
      </c>
      <c r="X894" t="s">
        <v>16178</v>
      </c>
      <c r="Y894" t="s">
        <v>16179</v>
      </c>
      <c r="Z894" t="s">
        <v>16180</v>
      </c>
      <c r="AA894" t="s">
        <v>74</v>
      </c>
      <c r="AB894" t="s">
        <v>74</v>
      </c>
      <c r="AC894" t="s">
        <v>16181</v>
      </c>
      <c r="AD894" t="s">
        <v>16182</v>
      </c>
      <c r="AE894" t="s">
        <v>16183</v>
      </c>
      <c r="AF894" t="s">
        <v>74</v>
      </c>
      <c r="AG894">
        <v>29</v>
      </c>
      <c r="AH894">
        <v>0</v>
      </c>
      <c r="AI894">
        <v>0</v>
      </c>
      <c r="AJ894">
        <v>6</v>
      </c>
      <c r="AK894">
        <v>6</v>
      </c>
      <c r="AL894" t="s">
        <v>120</v>
      </c>
      <c r="AM894" t="s">
        <v>121</v>
      </c>
      <c r="AN894" t="s">
        <v>122</v>
      </c>
      <c r="AO894" t="s">
        <v>11072</v>
      </c>
      <c r="AP894" t="s">
        <v>11073</v>
      </c>
      <c r="AQ894" t="s">
        <v>74</v>
      </c>
      <c r="AR894" t="s">
        <v>11074</v>
      </c>
      <c r="AS894" t="s">
        <v>11075</v>
      </c>
      <c r="AT894" t="s">
        <v>13744</v>
      </c>
      <c r="AU894">
        <v>2023</v>
      </c>
      <c r="AV894">
        <v>173</v>
      </c>
      <c r="AW894" t="s">
        <v>74</v>
      </c>
      <c r="AX894" t="s">
        <v>74</v>
      </c>
      <c r="AY894" t="s">
        <v>74</v>
      </c>
      <c r="AZ894" t="s">
        <v>74</v>
      </c>
      <c r="BA894" t="s">
        <v>74</v>
      </c>
      <c r="BB894" t="s">
        <v>74</v>
      </c>
      <c r="BC894" t="s">
        <v>74</v>
      </c>
      <c r="BD894">
        <v>108136</v>
      </c>
      <c r="BE894" t="s">
        <v>16184</v>
      </c>
      <c r="BF894" t="str">
        <f>HYPERLINK("http://dx.doi.org/10.1016/j.soildyn.2023.108136","http://dx.doi.org/10.1016/j.soildyn.2023.108136")</f>
        <v>http://dx.doi.org/10.1016/j.soildyn.2023.108136</v>
      </c>
      <c r="BG894" t="s">
        <v>74</v>
      </c>
      <c r="BH894" t="s">
        <v>74</v>
      </c>
      <c r="BI894">
        <v>10</v>
      </c>
      <c r="BJ894" t="s">
        <v>11077</v>
      </c>
      <c r="BK894" t="s">
        <v>100</v>
      </c>
      <c r="BL894" t="s">
        <v>11078</v>
      </c>
      <c r="BM894" t="s">
        <v>16185</v>
      </c>
      <c r="BN894" t="s">
        <v>74</v>
      </c>
      <c r="BO894" t="s">
        <v>74</v>
      </c>
      <c r="BP894" t="s">
        <v>74</v>
      </c>
      <c r="BQ894" t="s">
        <v>74</v>
      </c>
      <c r="BR894" t="s">
        <v>104</v>
      </c>
      <c r="BS894" t="s">
        <v>16186</v>
      </c>
      <c r="BT894" t="str">
        <f>HYPERLINK("https%3A%2F%2Fwww.webofscience.com%2Fwos%2Fwoscc%2Ffull-record%2FWOS:001049353600001","View Full Record in Web of Science")</f>
        <v>View Full Record in Web of Science</v>
      </c>
    </row>
    <row r="895" spans="1:72" x14ac:dyDescent="0.15">
      <c r="A895" t="s">
        <v>72</v>
      </c>
      <c r="B895" t="s">
        <v>16187</v>
      </c>
      <c r="C895" t="s">
        <v>74</v>
      </c>
      <c r="D895" t="s">
        <v>74</v>
      </c>
      <c r="E895" t="s">
        <v>74</v>
      </c>
      <c r="F895" t="s">
        <v>16188</v>
      </c>
      <c r="G895" t="s">
        <v>74</v>
      </c>
      <c r="H895" t="s">
        <v>74</v>
      </c>
      <c r="I895" t="s">
        <v>16189</v>
      </c>
      <c r="J895" t="s">
        <v>14872</v>
      </c>
      <c r="K895" t="s">
        <v>74</v>
      </c>
      <c r="L895" t="s">
        <v>74</v>
      </c>
      <c r="M895" t="s">
        <v>78</v>
      </c>
      <c r="N895" t="s">
        <v>16190</v>
      </c>
      <c r="O895" t="s">
        <v>74</v>
      </c>
      <c r="P895" t="s">
        <v>74</v>
      </c>
      <c r="Q895" t="s">
        <v>74</v>
      </c>
      <c r="R895" t="s">
        <v>74</v>
      </c>
      <c r="S895" t="s">
        <v>74</v>
      </c>
      <c r="T895" t="s">
        <v>16191</v>
      </c>
      <c r="U895" t="s">
        <v>74</v>
      </c>
      <c r="V895" t="s">
        <v>16192</v>
      </c>
      <c r="W895" t="s">
        <v>16193</v>
      </c>
      <c r="X895" t="s">
        <v>16194</v>
      </c>
      <c r="Y895" t="s">
        <v>16195</v>
      </c>
      <c r="Z895" t="s">
        <v>16196</v>
      </c>
      <c r="AA895" t="s">
        <v>16197</v>
      </c>
      <c r="AB895" t="s">
        <v>16198</v>
      </c>
      <c r="AC895" t="s">
        <v>16199</v>
      </c>
      <c r="AD895" t="s">
        <v>16200</v>
      </c>
      <c r="AE895" t="s">
        <v>16201</v>
      </c>
      <c r="AF895" t="s">
        <v>74</v>
      </c>
      <c r="AG895">
        <v>14</v>
      </c>
      <c r="AH895">
        <v>0</v>
      </c>
      <c r="AI895">
        <v>0</v>
      </c>
      <c r="AJ895">
        <v>4</v>
      </c>
      <c r="AK895">
        <v>4</v>
      </c>
      <c r="AL895" t="s">
        <v>90</v>
      </c>
      <c r="AM895" t="s">
        <v>91</v>
      </c>
      <c r="AN895" t="s">
        <v>92</v>
      </c>
      <c r="AO895" t="s">
        <v>14877</v>
      </c>
      <c r="AP895" t="s">
        <v>74</v>
      </c>
      <c r="AQ895" t="s">
        <v>74</v>
      </c>
      <c r="AR895" t="s">
        <v>14878</v>
      </c>
      <c r="AS895" t="s">
        <v>14879</v>
      </c>
      <c r="AT895" t="s">
        <v>13744</v>
      </c>
      <c r="AU895">
        <v>2023</v>
      </c>
      <c r="AV895">
        <v>50</v>
      </c>
      <c r="AW895" t="s">
        <v>74</v>
      </c>
      <c r="AX895" t="s">
        <v>74</v>
      </c>
      <c r="AY895" t="s">
        <v>74</v>
      </c>
      <c r="AZ895" t="s">
        <v>74</v>
      </c>
      <c r="BA895" t="s">
        <v>74</v>
      </c>
      <c r="BB895" t="s">
        <v>74</v>
      </c>
      <c r="BC895" t="s">
        <v>74</v>
      </c>
      <c r="BD895">
        <v>109458</v>
      </c>
      <c r="BE895" t="s">
        <v>16202</v>
      </c>
      <c r="BF895" t="str">
        <f>HYPERLINK("http://dx.doi.org/10.1016/j.dib.2023.109458","http://dx.doi.org/10.1016/j.dib.2023.109458")</f>
        <v>http://dx.doi.org/10.1016/j.dib.2023.109458</v>
      </c>
      <c r="BG895" t="s">
        <v>74</v>
      </c>
      <c r="BH895" t="s">
        <v>74</v>
      </c>
      <c r="BI895">
        <v>10</v>
      </c>
      <c r="BJ895" t="s">
        <v>4002</v>
      </c>
      <c r="BK895" t="s">
        <v>1850</v>
      </c>
      <c r="BL895" t="s">
        <v>4003</v>
      </c>
      <c r="BM895" t="s">
        <v>16203</v>
      </c>
      <c r="BN895">
        <v>37600595</v>
      </c>
      <c r="BO895" t="s">
        <v>16204</v>
      </c>
      <c r="BP895" t="s">
        <v>74</v>
      </c>
      <c r="BQ895" t="s">
        <v>74</v>
      </c>
      <c r="BR895" t="s">
        <v>104</v>
      </c>
      <c r="BS895" t="s">
        <v>16205</v>
      </c>
      <c r="BT895" t="str">
        <f>HYPERLINK("https%3A%2F%2Fwww.webofscience.com%2Fwos%2Fwoscc%2Ffull-record%2FWOS:001062826000001","View Full Record in Web of Science")</f>
        <v>View Full Record in Web of Science</v>
      </c>
    </row>
    <row r="896" spans="1:72" x14ac:dyDescent="0.15">
      <c r="A896" t="s">
        <v>72</v>
      </c>
      <c r="B896" t="s">
        <v>16206</v>
      </c>
      <c r="C896" t="s">
        <v>74</v>
      </c>
      <c r="D896" t="s">
        <v>74</v>
      </c>
      <c r="E896" t="s">
        <v>74</v>
      </c>
      <c r="F896" t="s">
        <v>16207</v>
      </c>
      <c r="G896" t="s">
        <v>74</v>
      </c>
      <c r="H896" t="s">
        <v>74</v>
      </c>
      <c r="I896" t="s">
        <v>16208</v>
      </c>
      <c r="J896" t="s">
        <v>6880</v>
      </c>
      <c r="K896" t="s">
        <v>74</v>
      </c>
      <c r="L896" t="s">
        <v>74</v>
      </c>
      <c r="M896" t="s">
        <v>78</v>
      </c>
      <c r="N896" t="s">
        <v>79</v>
      </c>
      <c r="O896" t="s">
        <v>74</v>
      </c>
      <c r="P896" t="s">
        <v>74</v>
      </c>
      <c r="Q896" t="s">
        <v>74</v>
      </c>
      <c r="R896" t="s">
        <v>74</v>
      </c>
      <c r="S896" t="s">
        <v>74</v>
      </c>
      <c r="T896" t="s">
        <v>16209</v>
      </c>
      <c r="U896" t="s">
        <v>74</v>
      </c>
      <c r="V896" t="s">
        <v>16210</v>
      </c>
      <c r="W896" t="s">
        <v>16211</v>
      </c>
      <c r="X896" t="s">
        <v>16212</v>
      </c>
      <c r="Y896" t="s">
        <v>16213</v>
      </c>
      <c r="Z896" t="s">
        <v>16214</v>
      </c>
      <c r="AA896" t="s">
        <v>16215</v>
      </c>
      <c r="AB896" t="s">
        <v>16216</v>
      </c>
      <c r="AC896" t="s">
        <v>16217</v>
      </c>
      <c r="AD896" t="s">
        <v>7140</v>
      </c>
      <c r="AE896" t="s">
        <v>16218</v>
      </c>
      <c r="AF896" t="s">
        <v>74</v>
      </c>
      <c r="AG896">
        <v>27</v>
      </c>
      <c r="AH896">
        <v>0</v>
      </c>
      <c r="AI896">
        <v>0</v>
      </c>
      <c r="AJ896">
        <v>2</v>
      </c>
      <c r="AK896">
        <v>2</v>
      </c>
      <c r="AL896" t="s">
        <v>173</v>
      </c>
      <c r="AM896" t="s">
        <v>121</v>
      </c>
      <c r="AN896" t="s">
        <v>174</v>
      </c>
      <c r="AO896" t="s">
        <v>6891</v>
      </c>
      <c r="AP896" t="s">
        <v>6892</v>
      </c>
      <c r="AQ896" t="s">
        <v>74</v>
      </c>
      <c r="AR896" t="s">
        <v>6893</v>
      </c>
      <c r="AS896" t="s">
        <v>6894</v>
      </c>
      <c r="AT896" t="s">
        <v>13778</v>
      </c>
      <c r="AU896">
        <v>2023</v>
      </c>
      <c r="AV896">
        <v>464</v>
      </c>
      <c r="AW896" t="s">
        <v>74</v>
      </c>
      <c r="AX896" t="s">
        <v>74</v>
      </c>
      <c r="AY896" t="s">
        <v>74</v>
      </c>
      <c r="AZ896" t="s">
        <v>74</v>
      </c>
      <c r="BA896" t="s">
        <v>74</v>
      </c>
      <c r="BB896" t="s">
        <v>74</v>
      </c>
      <c r="BC896" t="s">
        <v>74</v>
      </c>
      <c r="BD896">
        <v>142881</v>
      </c>
      <c r="BE896" t="s">
        <v>16219</v>
      </c>
      <c r="BF896" t="str">
        <f>HYPERLINK("http://dx.doi.org/10.1016/j.electacta.2023.142881","http://dx.doi.org/10.1016/j.electacta.2023.142881")</f>
        <v>http://dx.doi.org/10.1016/j.electacta.2023.142881</v>
      </c>
      <c r="BG896" t="s">
        <v>74</v>
      </c>
      <c r="BH896" t="s">
        <v>74</v>
      </c>
      <c r="BI896">
        <v>10</v>
      </c>
      <c r="BJ896" t="s">
        <v>6896</v>
      </c>
      <c r="BK896" t="s">
        <v>100</v>
      </c>
      <c r="BL896" t="s">
        <v>6896</v>
      </c>
      <c r="BM896" t="s">
        <v>16220</v>
      </c>
      <c r="BN896" t="s">
        <v>74</v>
      </c>
      <c r="BO896" t="s">
        <v>295</v>
      </c>
      <c r="BP896" t="s">
        <v>74</v>
      </c>
      <c r="BQ896" t="s">
        <v>74</v>
      </c>
      <c r="BR896" t="s">
        <v>104</v>
      </c>
      <c r="BS896" t="s">
        <v>16221</v>
      </c>
      <c r="BT896" t="str">
        <f>HYPERLINK("https%3A%2F%2Fwww.webofscience.com%2Fwos%2Fwoscc%2Ffull-record%2FWOS:001049606900001","View Full Record in Web of Science")</f>
        <v>View Full Record in Web of Science</v>
      </c>
    </row>
    <row r="897" spans="1:72" x14ac:dyDescent="0.15">
      <c r="A897" t="s">
        <v>72</v>
      </c>
      <c r="B897" t="s">
        <v>16222</v>
      </c>
      <c r="C897" t="s">
        <v>74</v>
      </c>
      <c r="D897" t="s">
        <v>74</v>
      </c>
      <c r="E897" t="s">
        <v>74</v>
      </c>
      <c r="F897" t="s">
        <v>16223</v>
      </c>
      <c r="G897" t="s">
        <v>74</v>
      </c>
      <c r="H897" t="s">
        <v>74</v>
      </c>
      <c r="I897" t="s">
        <v>16224</v>
      </c>
      <c r="J897" t="s">
        <v>16225</v>
      </c>
      <c r="K897" t="s">
        <v>74</v>
      </c>
      <c r="L897" t="s">
        <v>74</v>
      </c>
      <c r="M897" t="s">
        <v>78</v>
      </c>
      <c r="N897" t="s">
        <v>79</v>
      </c>
      <c r="O897" t="s">
        <v>74</v>
      </c>
      <c r="P897" t="s">
        <v>74</v>
      </c>
      <c r="Q897" t="s">
        <v>74</v>
      </c>
      <c r="R897" t="s">
        <v>74</v>
      </c>
      <c r="S897" t="s">
        <v>74</v>
      </c>
      <c r="T897" t="s">
        <v>16226</v>
      </c>
      <c r="U897" t="s">
        <v>16227</v>
      </c>
      <c r="V897" t="s">
        <v>16228</v>
      </c>
      <c r="W897" t="s">
        <v>16229</v>
      </c>
      <c r="X897" t="s">
        <v>16230</v>
      </c>
      <c r="Y897" t="s">
        <v>16231</v>
      </c>
      <c r="Z897" t="s">
        <v>16232</v>
      </c>
      <c r="AA897" t="s">
        <v>74</v>
      </c>
      <c r="AB897" t="s">
        <v>16233</v>
      </c>
      <c r="AC897" t="s">
        <v>16234</v>
      </c>
      <c r="AD897" t="s">
        <v>16235</v>
      </c>
      <c r="AE897" t="s">
        <v>16236</v>
      </c>
      <c r="AF897" t="s">
        <v>74</v>
      </c>
      <c r="AG897">
        <v>101</v>
      </c>
      <c r="AH897">
        <v>0</v>
      </c>
      <c r="AI897">
        <v>0</v>
      </c>
      <c r="AJ897">
        <v>2</v>
      </c>
      <c r="AK897">
        <v>2</v>
      </c>
      <c r="AL897" t="s">
        <v>90</v>
      </c>
      <c r="AM897" t="s">
        <v>91</v>
      </c>
      <c r="AN897" t="s">
        <v>92</v>
      </c>
      <c r="AO897" t="s">
        <v>16237</v>
      </c>
      <c r="AP897" t="s">
        <v>16238</v>
      </c>
      <c r="AQ897" t="s">
        <v>74</v>
      </c>
      <c r="AR897" t="s">
        <v>16239</v>
      </c>
      <c r="AS897" t="s">
        <v>16240</v>
      </c>
      <c r="AT897" t="s">
        <v>13744</v>
      </c>
      <c r="AU897">
        <v>2023</v>
      </c>
      <c r="AV897">
        <v>161</v>
      </c>
      <c r="AW897" t="s">
        <v>74</v>
      </c>
      <c r="AX897" t="s">
        <v>74</v>
      </c>
      <c r="AY897" t="s">
        <v>74</v>
      </c>
      <c r="AZ897" t="s">
        <v>74</v>
      </c>
      <c r="BA897" t="s">
        <v>74</v>
      </c>
      <c r="BB897">
        <v>211</v>
      </c>
      <c r="BC897">
        <v>221</v>
      </c>
      <c r="BD897" t="s">
        <v>74</v>
      </c>
      <c r="BE897" t="s">
        <v>16241</v>
      </c>
      <c r="BF897" t="str">
        <f>HYPERLINK("http://dx.doi.org/10.1016/j.sajb.2023.08.013","http://dx.doi.org/10.1016/j.sajb.2023.08.013")</f>
        <v>http://dx.doi.org/10.1016/j.sajb.2023.08.013</v>
      </c>
      <c r="BG897" t="s">
        <v>74</v>
      </c>
      <c r="BH897" t="s">
        <v>74</v>
      </c>
      <c r="BI897">
        <v>11</v>
      </c>
      <c r="BJ897" t="s">
        <v>16242</v>
      </c>
      <c r="BK897" t="s">
        <v>100</v>
      </c>
      <c r="BL897" t="s">
        <v>16242</v>
      </c>
      <c r="BM897" t="s">
        <v>16243</v>
      </c>
      <c r="BN897" t="s">
        <v>74</v>
      </c>
      <c r="BO897" t="s">
        <v>504</v>
      </c>
      <c r="BP897" t="s">
        <v>74</v>
      </c>
      <c r="BQ897" t="s">
        <v>74</v>
      </c>
      <c r="BR897" t="s">
        <v>104</v>
      </c>
      <c r="BS897" t="s">
        <v>16244</v>
      </c>
      <c r="BT897" t="str">
        <f>HYPERLINK("https%3A%2F%2Fwww.webofscience.com%2Fwos%2Fwoscc%2Ffull-record%2FWOS:001064343000001","View Full Record in Web of Science")</f>
        <v>View Full Record in Web of Science</v>
      </c>
    </row>
    <row r="898" spans="1:72" x14ac:dyDescent="0.15">
      <c r="A898" t="s">
        <v>72</v>
      </c>
      <c r="B898" t="s">
        <v>16245</v>
      </c>
      <c r="C898" t="s">
        <v>74</v>
      </c>
      <c r="D898" t="s">
        <v>74</v>
      </c>
      <c r="E898" t="s">
        <v>74</v>
      </c>
      <c r="F898" t="s">
        <v>16246</v>
      </c>
      <c r="G898" t="s">
        <v>74</v>
      </c>
      <c r="H898" t="s">
        <v>74</v>
      </c>
      <c r="I898" t="s">
        <v>16247</v>
      </c>
      <c r="J898" t="s">
        <v>16248</v>
      </c>
      <c r="K898" t="s">
        <v>74</v>
      </c>
      <c r="L898" t="s">
        <v>74</v>
      </c>
      <c r="M898" t="s">
        <v>78</v>
      </c>
      <c r="N898" t="s">
        <v>79</v>
      </c>
      <c r="O898" t="s">
        <v>74</v>
      </c>
      <c r="P898" t="s">
        <v>74</v>
      </c>
      <c r="Q898" t="s">
        <v>74</v>
      </c>
      <c r="R898" t="s">
        <v>74</v>
      </c>
      <c r="S898" t="s">
        <v>74</v>
      </c>
      <c r="T898" t="s">
        <v>16249</v>
      </c>
      <c r="U898" t="s">
        <v>16250</v>
      </c>
      <c r="V898" t="s">
        <v>16251</v>
      </c>
      <c r="W898" t="s">
        <v>16252</v>
      </c>
      <c r="X898" t="s">
        <v>16253</v>
      </c>
      <c r="Y898" t="s">
        <v>16254</v>
      </c>
      <c r="Z898" t="s">
        <v>16255</v>
      </c>
      <c r="AA898" t="s">
        <v>74</v>
      </c>
      <c r="AB898" t="s">
        <v>74</v>
      </c>
      <c r="AC898" t="s">
        <v>74</v>
      </c>
      <c r="AD898" t="s">
        <v>74</v>
      </c>
      <c r="AE898" t="s">
        <v>74</v>
      </c>
      <c r="AF898" t="s">
        <v>74</v>
      </c>
      <c r="AG898">
        <v>112</v>
      </c>
      <c r="AH898">
        <v>0</v>
      </c>
      <c r="AI898">
        <v>0</v>
      </c>
      <c r="AJ898">
        <v>0</v>
      </c>
      <c r="AK898">
        <v>0</v>
      </c>
      <c r="AL898" t="s">
        <v>90</v>
      </c>
      <c r="AM898" t="s">
        <v>91</v>
      </c>
      <c r="AN898" t="s">
        <v>92</v>
      </c>
      <c r="AO898" t="s">
        <v>16256</v>
      </c>
      <c r="AP898" t="s">
        <v>16257</v>
      </c>
      <c r="AQ898" t="s">
        <v>74</v>
      </c>
      <c r="AR898" t="s">
        <v>16258</v>
      </c>
      <c r="AS898" t="s">
        <v>16259</v>
      </c>
      <c r="AT898" t="s">
        <v>13744</v>
      </c>
      <c r="AU898">
        <v>2023</v>
      </c>
      <c r="AV898">
        <v>77</v>
      </c>
      <c r="AW898" t="s">
        <v>74</v>
      </c>
      <c r="AX898" t="s">
        <v>74</v>
      </c>
      <c r="AY898" t="s">
        <v>74</v>
      </c>
      <c r="AZ898" t="s">
        <v>74</v>
      </c>
      <c r="BA898" t="s">
        <v>74</v>
      </c>
      <c r="BB898" t="s">
        <v>74</v>
      </c>
      <c r="BC898" t="s">
        <v>74</v>
      </c>
      <c r="BD898">
        <v>101230</v>
      </c>
      <c r="BE898" t="s">
        <v>16260</v>
      </c>
      <c r="BF898" t="str">
        <f>HYPERLINK("http://dx.doi.org/10.1016/j.linged.2023.101230","http://dx.doi.org/10.1016/j.linged.2023.101230")</f>
        <v>http://dx.doi.org/10.1016/j.linged.2023.101230</v>
      </c>
      <c r="BG898" t="s">
        <v>74</v>
      </c>
      <c r="BH898" t="s">
        <v>74</v>
      </c>
      <c r="BI898">
        <v>16</v>
      </c>
      <c r="BJ898" t="s">
        <v>16261</v>
      </c>
      <c r="BK898" t="s">
        <v>16262</v>
      </c>
      <c r="BL898" t="s">
        <v>16263</v>
      </c>
      <c r="BM898" t="s">
        <v>16264</v>
      </c>
      <c r="BN898" t="s">
        <v>74</v>
      </c>
      <c r="BO898" t="s">
        <v>74</v>
      </c>
      <c r="BP898" t="s">
        <v>74</v>
      </c>
      <c r="BQ898" t="s">
        <v>74</v>
      </c>
      <c r="BR898" t="s">
        <v>104</v>
      </c>
      <c r="BS898" t="s">
        <v>16265</v>
      </c>
      <c r="BT898" t="str">
        <f>HYPERLINK("https%3A%2F%2Fwww.webofscience.com%2Fwos%2Fwoscc%2Ffull-record%2FWOS:001069049800001","View Full Record in Web of Science")</f>
        <v>View Full Record in Web of Science</v>
      </c>
    </row>
    <row r="899" spans="1:72" x14ac:dyDescent="0.15">
      <c r="A899" t="s">
        <v>72</v>
      </c>
      <c r="B899" t="s">
        <v>16266</v>
      </c>
      <c r="C899" t="s">
        <v>74</v>
      </c>
      <c r="D899" t="s">
        <v>74</v>
      </c>
      <c r="E899" t="s">
        <v>74</v>
      </c>
      <c r="F899" t="s">
        <v>16267</v>
      </c>
      <c r="G899" t="s">
        <v>74</v>
      </c>
      <c r="H899" t="s">
        <v>74</v>
      </c>
      <c r="I899" t="s">
        <v>16268</v>
      </c>
      <c r="J899" t="s">
        <v>13793</v>
      </c>
      <c r="K899" t="s">
        <v>74</v>
      </c>
      <c r="L899" t="s">
        <v>74</v>
      </c>
      <c r="M899" t="s">
        <v>78</v>
      </c>
      <c r="N899" t="s">
        <v>79</v>
      </c>
      <c r="O899" t="s">
        <v>74</v>
      </c>
      <c r="P899" t="s">
        <v>74</v>
      </c>
      <c r="Q899" t="s">
        <v>74</v>
      </c>
      <c r="R899" t="s">
        <v>74</v>
      </c>
      <c r="S899" t="s">
        <v>74</v>
      </c>
      <c r="T899" t="s">
        <v>16269</v>
      </c>
      <c r="U899" t="s">
        <v>16270</v>
      </c>
      <c r="V899" t="s">
        <v>16271</v>
      </c>
      <c r="W899" t="s">
        <v>16272</v>
      </c>
      <c r="X899" t="s">
        <v>16273</v>
      </c>
      <c r="Y899" t="s">
        <v>16274</v>
      </c>
      <c r="Z899" t="s">
        <v>16275</v>
      </c>
      <c r="AA899" t="s">
        <v>74</v>
      </c>
      <c r="AB899" t="s">
        <v>16276</v>
      </c>
      <c r="AC899" t="s">
        <v>16277</v>
      </c>
      <c r="AD899" t="s">
        <v>252</v>
      </c>
      <c r="AE899" t="s">
        <v>16278</v>
      </c>
      <c r="AF899" t="s">
        <v>74</v>
      </c>
      <c r="AG899">
        <v>120</v>
      </c>
      <c r="AH899">
        <v>0</v>
      </c>
      <c r="AI899">
        <v>0</v>
      </c>
      <c r="AJ899">
        <v>10</v>
      </c>
      <c r="AK899">
        <v>10</v>
      </c>
      <c r="AL899" t="s">
        <v>955</v>
      </c>
      <c r="AM899" t="s">
        <v>956</v>
      </c>
      <c r="AN899" t="s">
        <v>957</v>
      </c>
      <c r="AO899" t="s">
        <v>13804</v>
      </c>
      <c r="AP899" t="s">
        <v>13805</v>
      </c>
      <c r="AQ899" t="s">
        <v>74</v>
      </c>
      <c r="AR899" t="s">
        <v>13806</v>
      </c>
      <c r="AS899" t="s">
        <v>13807</v>
      </c>
      <c r="AT899" t="s">
        <v>13778</v>
      </c>
      <c r="AU899">
        <v>2023</v>
      </c>
      <c r="AV899">
        <v>415</v>
      </c>
      <c r="AW899" t="s">
        <v>74</v>
      </c>
      <c r="AX899" t="s">
        <v>74</v>
      </c>
      <c r="AY899" t="s">
        <v>74</v>
      </c>
      <c r="AZ899" t="s">
        <v>74</v>
      </c>
      <c r="BA899" t="s">
        <v>74</v>
      </c>
      <c r="BB899" t="s">
        <v>74</v>
      </c>
      <c r="BC899" t="s">
        <v>74</v>
      </c>
      <c r="BD899">
        <v>116238</v>
      </c>
      <c r="BE899" t="s">
        <v>16279</v>
      </c>
      <c r="BF899" t="str">
        <f>HYPERLINK("http://dx.doi.org/10.1016/j.cma.2023.116238","http://dx.doi.org/10.1016/j.cma.2023.116238")</f>
        <v>http://dx.doi.org/10.1016/j.cma.2023.116238</v>
      </c>
      <c r="BG899" t="s">
        <v>74</v>
      </c>
      <c r="BH899" t="s">
        <v>74</v>
      </c>
      <c r="BI899">
        <v>77</v>
      </c>
      <c r="BJ899" t="s">
        <v>9089</v>
      </c>
      <c r="BK899" t="s">
        <v>100</v>
      </c>
      <c r="BL899" t="s">
        <v>9090</v>
      </c>
      <c r="BM899" t="s">
        <v>16280</v>
      </c>
      <c r="BN899" t="s">
        <v>74</v>
      </c>
      <c r="BO899" t="s">
        <v>74</v>
      </c>
      <c r="BP899" t="s">
        <v>74</v>
      </c>
      <c r="BQ899" t="s">
        <v>74</v>
      </c>
      <c r="BR899" t="s">
        <v>104</v>
      </c>
      <c r="BS899" t="s">
        <v>16281</v>
      </c>
      <c r="BT899" t="str">
        <f>HYPERLINK("https%3A%2F%2Fwww.webofscience.com%2Fwos%2Fwoscc%2Ffull-record%2FWOS:001048061800001","View Full Record in Web of Science")</f>
        <v>View Full Record in Web of Science</v>
      </c>
    </row>
    <row r="900" spans="1:72" x14ac:dyDescent="0.15">
      <c r="A900" t="s">
        <v>72</v>
      </c>
      <c r="B900" t="s">
        <v>16282</v>
      </c>
      <c r="C900" t="s">
        <v>74</v>
      </c>
      <c r="D900" t="s">
        <v>74</v>
      </c>
      <c r="E900" t="s">
        <v>74</v>
      </c>
      <c r="F900" t="s">
        <v>16283</v>
      </c>
      <c r="G900" t="s">
        <v>74</v>
      </c>
      <c r="H900" t="s">
        <v>74</v>
      </c>
      <c r="I900" t="s">
        <v>16284</v>
      </c>
      <c r="J900" t="s">
        <v>16285</v>
      </c>
      <c r="K900" t="s">
        <v>74</v>
      </c>
      <c r="L900" t="s">
        <v>74</v>
      </c>
      <c r="M900" t="s">
        <v>78</v>
      </c>
      <c r="N900" t="s">
        <v>79</v>
      </c>
      <c r="O900" t="s">
        <v>74</v>
      </c>
      <c r="P900" t="s">
        <v>74</v>
      </c>
      <c r="Q900" t="s">
        <v>74</v>
      </c>
      <c r="R900" t="s">
        <v>74</v>
      </c>
      <c r="S900" t="s">
        <v>74</v>
      </c>
      <c r="T900" t="s">
        <v>16286</v>
      </c>
      <c r="U900" t="s">
        <v>16287</v>
      </c>
      <c r="V900" t="s">
        <v>16288</v>
      </c>
      <c r="W900" t="s">
        <v>16289</v>
      </c>
      <c r="X900" t="s">
        <v>16290</v>
      </c>
      <c r="Y900" t="s">
        <v>16291</v>
      </c>
      <c r="Z900" t="s">
        <v>16292</v>
      </c>
      <c r="AA900" t="s">
        <v>74</v>
      </c>
      <c r="AB900" t="s">
        <v>74</v>
      </c>
      <c r="AC900" t="s">
        <v>16293</v>
      </c>
      <c r="AD900" t="s">
        <v>16294</v>
      </c>
      <c r="AE900" t="s">
        <v>16295</v>
      </c>
      <c r="AF900" t="s">
        <v>74</v>
      </c>
      <c r="AG900">
        <v>38</v>
      </c>
      <c r="AH900">
        <v>0</v>
      </c>
      <c r="AI900">
        <v>0</v>
      </c>
      <c r="AJ900">
        <v>3</v>
      </c>
      <c r="AK900">
        <v>3</v>
      </c>
      <c r="AL900" t="s">
        <v>90</v>
      </c>
      <c r="AM900" t="s">
        <v>91</v>
      </c>
      <c r="AN900" t="s">
        <v>92</v>
      </c>
      <c r="AO900" t="s">
        <v>16296</v>
      </c>
      <c r="AP900" t="s">
        <v>16297</v>
      </c>
      <c r="AQ900" t="s">
        <v>74</v>
      </c>
      <c r="AR900" t="s">
        <v>16298</v>
      </c>
      <c r="AS900" t="s">
        <v>16299</v>
      </c>
      <c r="AT900" t="s">
        <v>13744</v>
      </c>
      <c r="AU900">
        <v>2023</v>
      </c>
      <c r="AV900">
        <v>214</v>
      </c>
      <c r="AW900" t="s">
        <v>74</v>
      </c>
      <c r="AX900" t="s">
        <v>74</v>
      </c>
      <c r="AY900" t="s">
        <v>74</v>
      </c>
      <c r="AZ900" t="s">
        <v>74</v>
      </c>
      <c r="BA900" t="s">
        <v>74</v>
      </c>
      <c r="BB900" t="s">
        <v>74</v>
      </c>
      <c r="BC900" t="s">
        <v>74</v>
      </c>
      <c r="BD900">
        <v>103968</v>
      </c>
      <c r="BE900" t="s">
        <v>16300</v>
      </c>
      <c r="BF900" t="str">
        <f>HYPERLINK("http://dx.doi.org/10.1016/j.coldregions.2023.103968","http://dx.doi.org/10.1016/j.coldregions.2023.103968")</f>
        <v>http://dx.doi.org/10.1016/j.coldregions.2023.103968</v>
      </c>
      <c r="BG900" t="s">
        <v>74</v>
      </c>
      <c r="BH900" t="s">
        <v>74</v>
      </c>
      <c r="BI900">
        <v>12</v>
      </c>
      <c r="BJ900" t="s">
        <v>16301</v>
      </c>
      <c r="BK900" t="s">
        <v>100</v>
      </c>
      <c r="BL900" t="s">
        <v>11078</v>
      </c>
      <c r="BM900" t="s">
        <v>16302</v>
      </c>
      <c r="BN900" t="s">
        <v>74</v>
      </c>
      <c r="BO900" t="s">
        <v>74</v>
      </c>
      <c r="BP900" t="s">
        <v>74</v>
      </c>
      <c r="BQ900" t="s">
        <v>74</v>
      </c>
      <c r="BR900" t="s">
        <v>104</v>
      </c>
      <c r="BS900" t="s">
        <v>16303</v>
      </c>
      <c r="BT900" t="str">
        <f>HYPERLINK("https%3A%2F%2Fwww.webofscience.com%2Fwos%2Fwoscc%2Ffull-record%2FWOS:001050673900001","View Full Record in Web of Science")</f>
        <v>View Full Record in Web of Science</v>
      </c>
    </row>
    <row r="901" spans="1:72" x14ac:dyDescent="0.15">
      <c r="A901" t="s">
        <v>72</v>
      </c>
      <c r="B901" t="s">
        <v>16304</v>
      </c>
      <c r="C901" t="s">
        <v>74</v>
      </c>
      <c r="D901" t="s">
        <v>74</v>
      </c>
      <c r="E901" t="s">
        <v>74</v>
      </c>
      <c r="F901" t="s">
        <v>16305</v>
      </c>
      <c r="G901" t="s">
        <v>74</v>
      </c>
      <c r="H901" t="s">
        <v>74</v>
      </c>
      <c r="I901" t="s">
        <v>16306</v>
      </c>
      <c r="J901" t="s">
        <v>14781</v>
      </c>
      <c r="K901" t="s">
        <v>74</v>
      </c>
      <c r="L901" t="s">
        <v>74</v>
      </c>
      <c r="M901" t="s">
        <v>78</v>
      </c>
      <c r="N901" t="s">
        <v>79</v>
      </c>
      <c r="O901" t="s">
        <v>74</v>
      </c>
      <c r="P901" t="s">
        <v>74</v>
      </c>
      <c r="Q901" t="s">
        <v>74</v>
      </c>
      <c r="R901" t="s">
        <v>74</v>
      </c>
      <c r="S901" t="s">
        <v>74</v>
      </c>
      <c r="T901" t="s">
        <v>16307</v>
      </c>
      <c r="U901" t="s">
        <v>16308</v>
      </c>
      <c r="V901" t="s">
        <v>16309</v>
      </c>
      <c r="W901" t="s">
        <v>16310</v>
      </c>
      <c r="X901" t="s">
        <v>16311</v>
      </c>
      <c r="Y901" t="s">
        <v>16312</v>
      </c>
      <c r="Z901" t="s">
        <v>16313</v>
      </c>
      <c r="AA901" t="s">
        <v>74</v>
      </c>
      <c r="AB901" t="s">
        <v>16314</v>
      </c>
      <c r="AC901" t="s">
        <v>16315</v>
      </c>
      <c r="AD901" t="s">
        <v>16316</v>
      </c>
      <c r="AE901" t="s">
        <v>16317</v>
      </c>
      <c r="AF901" t="s">
        <v>74</v>
      </c>
      <c r="AG901">
        <v>80</v>
      </c>
      <c r="AH901">
        <v>0</v>
      </c>
      <c r="AI901">
        <v>0</v>
      </c>
      <c r="AJ901">
        <v>13</v>
      </c>
      <c r="AK901">
        <v>13</v>
      </c>
      <c r="AL901" t="s">
        <v>173</v>
      </c>
      <c r="AM901" t="s">
        <v>121</v>
      </c>
      <c r="AN901" t="s">
        <v>174</v>
      </c>
      <c r="AO901" t="s">
        <v>16318</v>
      </c>
      <c r="AP901" t="s">
        <v>16319</v>
      </c>
      <c r="AQ901" t="s">
        <v>74</v>
      </c>
      <c r="AR901" t="s">
        <v>14781</v>
      </c>
      <c r="AS901" t="s">
        <v>16320</v>
      </c>
      <c r="AT901" t="s">
        <v>13744</v>
      </c>
      <c r="AU901">
        <v>2023</v>
      </c>
      <c r="AV901">
        <v>214</v>
      </c>
      <c r="AW901" t="s">
        <v>74</v>
      </c>
      <c r="AX901" t="s">
        <v>74</v>
      </c>
      <c r="AY901" t="s">
        <v>74</v>
      </c>
      <c r="AZ901" t="s">
        <v>74</v>
      </c>
      <c r="BA901" t="s">
        <v>74</v>
      </c>
      <c r="BB901" t="s">
        <v>74</v>
      </c>
      <c r="BC901" t="s">
        <v>74</v>
      </c>
      <c r="BD901">
        <v>118299</v>
      </c>
      <c r="BE901" t="s">
        <v>16321</v>
      </c>
      <c r="BF901" t="str">
        <f>HYPERLINK("http://dx.doi.org/10.1016/j.carbon.2023.118299","http://dx.doi.org/10.1016/j.carbon.2023.118299")</f>
        <v>http://dx.doi.org/10.1016/j.carbon.2023.118299</v>
      </c>
      <c r="BG901" t="s">
        <v>74</v>
      </c>
      <c r="BH901" t="s">
        <v>74</v>
      </c>
      <c r="BI901">
        <v>13</v>
      </c>
      <c r="BJ901" t="s">
        <v>16322</v>
      </c>
      <c r="BK901" t="s">
        <v>100</v>
      </c>
      <c r="BL901" t="s">
        <v>9644</v>
      </c>
      <c r="BM901" t="s">
        <v>16323</v>
      </c>
      <c r="BN901" t="s">
        <v>74</v>
      </c>
      <c r="BO901" t="s">
        <v>74</v>
      </c>
      <c r="BP901" t="s">
        <v>74</v>
      </c>
      <c r="BQ901" t="s">
        <v>74</v>
      </c>
      <c r="BR901" t="s">
        <v>104</v>
      </c>
      <c r="BS901" t="s">
        <v>16324</v>
      </c>
      <c r="BT901" t="str">
        <f>HYPERLINK("https%3A%2F%2Fwww.webofscience.com%2Fwos%2Fwoscc%2Ffull-record%2FWOS:001047303300001","View Full Record in Web of Science")</f>
        <v>View Full Record in Web of Science</v>
      </c>
    </row>
    <row r="902" spans="1:72" x14ac:dyDescent="0.15">
      <c r="A902" t="s">
        <v>72</v>
      </c>
      <c r="B902" t="s">
        <v>16325</v>
      </c>
      <c r="C902" t="s">
        <v>74</v>
      </c>
      <c r="D902" t="s">
        <v>74</v>
      </c>
      <c r="E902" t="s">
        <v>74</v>
      </c>
      <c r="F902" t="s">
        <v>16326</v>
      </c>
      <c r="G902" t="s">
        <v>74</v>
      </c>
      <c r="H902" t="s">
        <v>74</v>
      </c>
      <c r="I902" t="s">
        <v>16327</v>
      </c>
      <c r="J902" t="s">
        <v>16328</v>
      </c>
      <c r="K902" t="s">
        <v>74</v>
      </c>
      <c r="L902" t="s">
        <v>74</v>
      </c>
      <c r="M902" t="s">
        <v>78</v>
      </c>
      <c r="N902" t="s">
        <v>241</v>
      </c>
      <c r="O902" t="s">
        <v>74</v>
      </c>
      <c r="P902" t="s">
        <v>74</v>
      </c>
      <c r="Q902" t="s">
        <v>74</v>
      </c>
      <c r="R902" t="s">
        <v>74</v>
      </c>
      <c r="S902" t="s">
        <v>74</v>
      </c>
      <c r="T902" t="s">
        <v>16329</v>
      </c>
      <c r="U902" t="s">
        <v>16330</v>
      </c>
      <c r="V902" t="s">
        <v>16331</v>
      </c>
      <c r="W902" t="s">
        <v>16332</v>
      </c>
      <c r="X902" t="s">
        <v>16333</v>
      </c>
      <c r="Y902" t="s">
        <v>16334</v>
      </c>
      <c r="Z902" t="s">
        <v>16335</v>
      </c>
      <c r="AA902" t="s">
        <v>74</v>
      </c>
      <c r="AB902" t="s">
        <v>16336</v>
      </c>
      <c r="AC902" t="s">
        <v>16337</v>
      </c>
      <c r="AD902" t="s">
        <v>16338</v>
      </c>
      <c r="AE902" t="s">
        <v>16339</v>
      </c>
      <c r="AF902" t="s">
        <v>74</v>
      </c>
      <c r="AG902">
        <v>294</v>
      </c>
      <c r="AH902">
        <v>2</v>
      </c>
      <c r="AI902">
        <v>2</v>
      </c>
      <c r="AJ902">
        <v>20</v>
      </c>
      <c r="AK902">
        <v>20</v>
      </c>
      <c r="AL902" t="s">
        <v>955</v>
      </c>
      <c r="AM902" t="s">
        <v>956</v>
      </c>
      <c r="AN902" t="s">
        <v>957</v>
      </c>
      <c r="AO902" t="s">
        <v>16340</v>
      </c>
      <c r="AP902" t="s">
        <v>16341</v>
      </c>
      <c r="AQ902" t="s">
        <v>74</v>
      </c>
      <c r="AR902" t="s">
        <v>16342</v>
      </c>
      <c r="AS902" t="s">
        <v>16343</v>
      </c>
      <c r="AT902" t="s">
        <v>13744</v>
      </c>
      <c r="AU902">
        <v>2023</v>
      </c>
      <c r="AV902">
        <v>155</v>
      </c>
      <c r="AW902" t="s">
        <v>74</v>
      </c>
      <c r="AX902" t="s">
        <v>74</v>
      </c>
      <c r="AY902" t="s">
        <v>74</v>
      </c>
      <c r="AZ902" t="s">
        <v>74</v>
      </c>
      <c r="BA902" t="s">
        <v>74</v>
      </c>
      <c r="BB902" t="s">
        <v>74</v>
      </c>
      <c r="BC902" t="s">
        <v>74</v>
      </c>
      <c r="BD902">
        <v>100746</v>
      </c>
      <c r="BE902" t="s">
        <v>16344</v>
      </c>
      <c r="BF902" t="str">
        <f>HYPERLINK("http://dx.doi.org/10.1016/j.mser.2023.100746","http://dx.doi.org/10.1016/j.mser.2023.100746")</f>
        <v>http://dx.doi.org/10.1016/j.mser.2023.100746</v>
      </c>
      <c r="BG902" t="s">
        <v>74</v>
      </c>
      <c r="BH902" t="s">
        <v>74</v>
      </c>
      <c r="BI902">
        <v>29</v>
      </c>
      <c r="BJ902" t="s">
        <v>3021</v>
      </c>
      <c r="BK902" t="s">
        <v>100</v>
      </c>
      <c r="BL902" t="s">
        <v>3022</v>
      </c>
      <c r="BM902" t="s">
        <v>16345</v>
      </c>
      <c r="BN902" t="s">
        <v>74</v>
      </c>
      <c r="BO902" t="s">
        <v>74</v>
      </c>
      <c r="BP902" t="s">
        <v>74</v>
      </c>
      <c r="BQ902" t="s">
        <v>74</v>
      </c>
      <c r="BR902" t="s">
        <v>104</v>
      </c>
      <c r="BS902" t="s">
        <v>16346</v>
      </c>
      <c r="BT902" t="str">
        <f>HYPERLINK("https%3A%2F%2Fwww.webofscience.com%2Fwos%2Fwoscc%2Ffull-record%2FWOS:001038694700001","View Full Record in Web of Science")</f>
        <v>View Full Record in Web of Science</v>
      </c>
    </row>
    <row r="903" spans="1:72" x14ac:dyDescent="0.15">
      <c r="A903" t="s">
        <v>72</v>
      </c>
      <c r="B903" t="s">
        <v>16347</v>
      </c>
      <c r="C903" t="s">
        <v>74</v>
      </c>
      <c r="D903" t="s">
        <v>74</v>
      </c>
      <c r="E903" t="s">
        <v>74</v>
      </c>
      <c r="F903" t="s">
        <v>16348</v>
      </c>
      <c r="G903" t="s">
        <v>74</v>
      </c>
      <c r="H903" t="s">
        <v>74</v>
      </c>
      <c r="I903" t="s">
        <v>16349</v>
      </c>
      <c r="J903" t="s">
        <v>16350</v>
      </c>
      <c r="K903" t="s">
        <v>74</v>
      </c>
      <c r="L903" t="s">
        <v>74</v>
      </c>
      <c r="M903" t="s">
        <v>78</v>
      </c>
      <c r="N903" t="s">
        <v>79</v>
      </c>
      <c r="O903" t="s">
        <v>74</v>
      </c>
      <c r="P903" t="s">
        <v>74</v>
      </c>
      <c r="Q903" t="s">
        <v>74</v>
      </c>
      <c r="R903" t="s">
        <v>74</v>
      </c>
      <c r="S903" t="s">
        <v>74</v>
      </c>
      <c r="T903" t="s">
        <v>16351</v>
      </c>
      <c r="U903" t="s">
        <v>16352</v>
      </c>
      <c r="V903" t="s">
        <v>16353</v>
      </c>
      <c r="W903" t="s">
        <v>16354</v>
      </c>
      <c r="X903" t="s">
        <v>11171</v>
      </c>
      <c r="Y903" t="s">
        <v>16355</v>
      </c>
      <c r="Z903" t="s">
        <v>16356</v>
      </c>
      <c r="AA903" t="s">
        <v>74</v>
      </c>
      <c r="AB903" t="s">
        <v>16357</v>
      </c>
      <c r="AC903" t="s">
        <v>16358</v>
      </c>
      <c r="AD903" t="s">
        <v>16359</v>
      </c>
      <c r="AE903" t="s">
        <v>16360</v>
      </c>
      <c r="AF903" t="s">
        <v>74</v>
      </c>
      <c r="AG903">
        <v>51</v>
      </c>
      <c r="AH903">
        <v>0</v>
      </c>
      <c r="AI903">
        <v>0</v>
      </c>
      <c r="AJ903">
        <v>10</v>
      </c>
      <c r="AK903">
        <v>10</v>
      </c>
      <c r="AL903" t="s">
        <v>955</v>
      </c>
      <c r="AM903" t="s">
        <v>956</v>
      </c>
      <c r="AN903" t="s">
        <v>957</v>
      </c>
      <c r="AO903" t="s">
        <v>16361</v>
      </c>
      <c r="AP903" t="s">
        <v>16362</v>
      </c>
      <c r="AQ903" t="s">
        <v>74</v>
      </c>
      <c r="AR903" t="s">
        <v>16363</v>
      </c>
      <c r="AS903" t="s">
        <v>16364</v>
      </c>
      <c r="AT903" t="s">
        <v>13778</v>
      </c>
      <c r="AU903">
        <v>2023</v>
      </c>
      <c r="AV903">
        <v>473</v>
      </c>
      <c r="AW903" t="s">
        <v>74</v>
      </c>
      <c r="AX903" t="s">
        <v>74</v>
      </c>
      <c r="AY903" t="s">
        <v>74</v>
      </c>
      <c r="AZ903" t="s">
        <v>74</v>
      </c>
      <c r="BA903" t="s">
        <v>74</v>
      </c>
      <c r="BB903" t="s">
        <v>74</v>
      </c>
      <c r="BC903" t="s">
        <v>74</v>
      </c>
      <c r="BD903">
        <v>145174</v>
      </c>
      <c r="BE903" t="s">
        <v>16365</v>
      </c>
      <c r="BF903" t="str">
        <f>HYPERLINK("http://dx.doi.org/10.1016/j.cej.2023.145174","http://dx.doi.org/10.1016/j.cej.2023.145174")</f>
        <v>http://dx.doi.org/10.1016/j.cej.2023.145174</v>
      </c>
      <c r="BG903" t="s">
        <v>74</v>
      </c>
      <c r="BH903" t="s">
        <v>74</v>
      </c>
      <c r="BI903">
        <v>8</v>
      </c>
      <c r="BJ903" t="s">
        <v>14604</v>
      </c>
      <c r="BK903" t="s">
        <v>100</v>
      </c>
      <c r="BL903" t="s">
        <v>873</v>
      </c>
      <c r="BM903" t="s">
        <v>16366</v>
      </c>
      <c r="BN903" t="s">
        <v>74</v>
      </c>
      <c r="BO903" t="s">
        <v>74</v>
      </c>
      <c r="BP903" t="s">
        <v>74</v>
      </c>
      <c r="BQ903" t="s">
        <v>74</v>
      </c>
      <c r="BR903" t="s">
        <v>104</v>
      </c>
      <c r="BS903" t="s">
        <v>16367</v>
      </c>
      <c r="BT903" t="str">
        <f>HYPERLINK("https%3A%2F%2Fwww.webofscience.com%2Fwos%2Fwoscc%2Ffull-record%2FWOS:001053418700001","View Full Record in Web of Science")</f>
        <v>View Full Record in Web of Science</v>
      </c>
    </row>
    <row r="904" spans="1:72" x14ac:dyDescent="0.15">
      <c r="A904" t="s">
        <v>72</v>
      </c>
      <c r="B904" t="s">
        <v>16368</v>
      </c>
      <c r="C904" t="s">
        <v>74</v>
      </c>
      <c r="D904" t="s">
        <v>74</v>
      </c>
      <c r="E904" t="s">
        <v>74</v>
      </c>
      <c r="F904" t="s">
        <v>16369</v>
      </c>
      <c r="G904" t="s">
        <v>74</v>
      </c>
      <c r="H904" t="s">
        <v>74</v>
      </c>
      <c r="I904" t="s">
        <v>16370</v>
      </c>
      <c r="J904" t="s">
        <v>6686</v>
      </c>
      <c r="K904" t="s">
        <v>74</v>
      </c>
      <c r="L904" t="s">
        <v>74</v>
      </c>
      <c r="M904" t="s">
        <v>78</v>
      </c>
      <c r="N904" t="s">
        <v>79</v>
      </c>
      <c r="O904" t="s">
        <v>74</v>
      </c>
      <c r="P904" t="s">
        <v>74</v>
      </c>
      <c r="Q904" t="s">
        <v>74</v>
      </c>
      <c r="R904" t="s">
        <v>74</v>
      </c>
      <c r="S904" t="s">
        <v>74</v>
      </c>
      <c r="T904" t="s">
        <v>16371</v>
      </c>
      <c r="U904" t="s">
        <v>16372</v>
      </c>
      <c r="V904" t="s">
        <v>16373</v>
      </c>
      <c r="W904" t="s">
        <v>16374</v>
      </c>
      <c r="X904" t="s">
        <v>16375</v>
      </c>
      <c r="Y904" t="s">
        <v>16376</v>
      </c>
      <c r="Z904" t="s">
        <v>16377</v>
      </c>
      <c r="AA904" t="s">
        <v>74</v>
      </c>
      <c r="AB904" t="s">
        <v>16378</v>
      </c>
      <c r="AC904" t="s">
        <v>16379</v>
      </c>
      <c r="AD904" t="s">
        <v>16380</v>
      </c>
      <c r="AE904" t="s">
        <v>16381</v>
      </c>
      <c r="AF904" t="s">
        <v>74</v>
      </c>
      <c r="AG904">
        <v>65</v>
      </c>
      <c r="AH904">
        <v>1</v>
      </c>
      <c r="AI904">
        <v>1</v>
      </c>
      <c r="AJ904">
        <v>1</v>
      </c>
      <c r="AK904">
        <v>1</v>
      </c>
      <c r="AL904" t="s">
        <v>147</v>
      </c>
      <c r="AM904" t="s">
        <v>148</v>
      </c>
      <c r="AN904" t="s">
        <v>149</v>
      </c>
      <c r="AO904" t="s">
        <v>6699</v>
      </c>
      <c r="AP904" t="s">
        <v>6700</v>
      </c>
      <c r="AQ904" t="s">
        <v>74</v>
      </c>
      <c r="AR904" t="s">
        <v>6701</v>
      </c>
      <c r="AS904" t="s">
        <v>6702</v>
      </c>
      <c r="AT904" t="s">
        <v>13744</v>
      </c>
      <c r="AU904">
        <v>2023</v>
      </c>
      <c r="AV904">
        <v>102</v>
      </c>
      <c r="AW904" t="s">
        <v>74</v>
      </c>
      <c r="AX904" t="s">
        <v>74</v>
      </c>
      <c r="AY904" t="s">
        <v>74</v>
      </c>
      <c r="AZ904" t="s">
        <v>74</v>
      </c>
      <c r="BA904" t="s">
        <v>74</v>
      </c>
      <c r="BB904">
        <v>222</v>
      </c>
      <c r="BC904">
        <v>228</v>
      </c>
      <c r="BD904" t="s">
        <v>74</v>
      </c>
      <c r="BE904" t="s">
        <v>16382</v>
      </c>
      <c r="BF904" t="str">
        <f>HYPERLINK("http://dx.doi.org/10.1016/j.mri.2023.06.003","http://dx.doi.org/10.1016/j.mri.2023.06.003")</f>
        <v>http://dx.doi.org/10.1016/j.mri.2023.06.003</v>
      </c>
      <c r="BG904" t="s">
        <v>74</v>
      </c>
      <c r="BH904" t="s">
        <v>74</v>
      </c>
      <c r="BI904">
        <v>7</v>
      </c>
      <c r="BJ904" t="s">
        <v>2581</v>
      </c>
      <c r="BK904" t="s">
        <v>100</v>
      </c>
      <c r="BL904" t="s">
        <v>2581</v>
      </c>
      <c r="BM904" t="s">
        <v>16383</v>
      </c>
      <c r="BN904">
        <v>37321378</v>
      </c>
      <c r="BO904" t="s">
        <v>74</v>
      </c>
      <c r="BP904" t="s">
        <v>74</v>
      </c>
      <c r="BQ904" t="s">
        <v>74</v>
      </c>
      <c r="BR904" t="s">
        <v>104</v>
      </c>
      <c r="BS904" t="s">
        <v>16384</v>
      </c>
      <c r="BT904" t="str">
        <f>HYPERLINK("https%3A%2F%2Fwww.webofscience.com%2Fwos%2Fwoscc%2Ffull-record%2FWOS:001049593600001","View Full Record in Web of Science")</f>
        <v>View Full Record in Web of Science</v>
      </c>
    </row>
    <row r="905" spans="1:72" x14ac:dyDescent="0.15">
      <c r="A905" t="s">
        <v>72</v>
      </c>
      <c r="B905" t="s">
        <v>16385</v>
      </c>
      <c r="C905" t="s">
        <v>74</v>
      </c>
      <c r="D905" t="s">
        <v>74</v>
      </c>
      <c r="E905" t="s">
        <v>74</v>
      </c>
      <c r="F905" t="s">
        <v>16386</v>
      </c>
      <c r="G905" t="s">
        <v>74</v>
      </c>
      <c r="H905" t="s">
        <v>74</v>
      </c>
      <c r="I905" t="s">
        <v>16387</v>
      </c>
      <c r="J905" t="s">
        <v>16388</v>
      </c>
      <c r="K905" t="s">
        <v>74</v>
      </c>
      <c r="L905" t="s">
        <v>74</v>
      </c>
      <c r="M905" t="s">
        <v>78</v>
      </c>
      <c r="N905" t="s">
        <v>79</v>
      </c>
      <c r="O905" t="s">
        <v>74</v>
      </c>
      <c r="P905" t="s">
        <v>74</v>
      </c>
      <c r="Q905" t="s">
        <v>74</v>
      </c>
      <c r="R905" t="s">
        <v>74</v>
      </c>
      <c r="S905" t="s">
        <v>74</v>
      </c>
      <c r="T905" t="s">
        <v>16389</v>
      </c>
      <c r="U905" t="s">
        <v>16390</v>
      </c>
      <c r="V905" t="s">
        <v>16391</v>
      </c>
      <c r="W905" t="s">
        <v>16392</v>
      </c>
      <c r="X905" t="s">
        <v>16393</v>
      </c>
      <c r="Y905" t="s">
        <v>16394</v>
      </c>
      <c r="Z905" t="s">
        <v>16395</v>
      </c>
      <c r="AA905" t="s">
        <v>74</v>
      </c>
      <c r="AB905" t="s">
        <v>74</v>
      </c>
      <c r="AC905" t="s">
        <v>16396</v>
      </c>
      <c r="AD905" t="s">
        <v>16397</v>
      </c>
      <c r="AE905" t="s">
        <v>16398</v>
      </c>
      <c r="AF905" t="s">
        <v>74</v>
      </c>
      <c r="AG905">
        <v>52</v>
      </c>
      <c r="AH905">
        <v>0</v>
      </c>
      <c r="AI905">
        <v>0</v>
      </c>
      <c r="AJ905">
        <v>10</v>
      </c>
      <c r="AK905">
        <v>10</v>
      </c>
      <c r="AL905" t="s">
        <v>173</v>
      </c>
      <c r="AM905" t="s">
        <v>121</v>
      </c>
      <c r="AN905" t="s">
        <v>174</v>
      </c>
      <c r="AO905" t="s">
        <v>16399</v>
      </c>
      <c r="AP905" t="s">
        <v>16400</v>
      </c>
      <c r="AQ905" t="s">
        <v>74</v>
      </c>
      <c r="AR905" t="s">
        <v>16401</v>
      </c>
      <c r="AS905" t="s">
        <v>16402</v>
      </c>
      <c r="AT905" t="s">
        <v>13744</v>
      </c>
      <c r="AU905">
        <v>2023</v>
      </c>
      <c r="AV905">
        <v>139</v>
      </c>
      <c r="AW905" t="s">
        <v>74</v>
      </c>
      <c r="AX905" t="s">
        <v>74</v>
      </c>
      <c r="AY905" t="s">
        <v>74</v>
      </c>
      <c r="AZ905" t="s">
        <v>74</v>
      </c>
      <c r="BA905" t="s">
        <v>74</v>
      </c>
      <c r="BB905" t="s">
        <v>74</v>
      </c>
      <c r="BC905" t="s">
        <v>74</v>
      </c>
      <c r="BD905">
        <v>105620</v>
      </c>
      <c r="BE905" t="s">
        <v>16403</v>
      </c>
      <c r="BF905" t="str">
        <f>HYPERLINK("http://dx.doi.org/10.1016/j.conengprac.2023.105620","http://dx.doi.org/10.1016/j.conengprac.2023.105620")</f>
        <v>http://dx.doi.org/10.1016/j.conengprac.2023.105620</v>
      </c>
      <c r="BG905" t="s">
        <v>74</v>
      </c>
      <c r="BH905" t="s">
        <v>74</v>
      </c>
      <c r="BI905">
        <v>11</v>
      </c>
      <c r="BJ905" t="s">
        <v>11448</v>
      </c>
      <c r="BK905" t="s">
        <v>100</v>
      </c>
      <c r="BL905" t="s">
        <v>11449</v>
      </c>
      <c r="BM905" t="s">
        <v>16404</v>
      </c>
      <c r="BN905" t="s">
        <v>74</v>
      </c>
      <c r="BO905" t="s">
        <v>74</v>
      </c>
      <c r="BP905" t="s">
        <v>74</v>
      </c>
      <c r="BQ905" t="s">
        <v>74</v>
      </c>
      <c r="BR905" t="s">
        <v>104</v>
      </c>
      <c r="BS905" t="s">
        <v>16405</v>
      </c>
      <c r="BT905" t="str">
        <f>HYPERLINK("https%3A%2F%2Fwww.webofscience.com%2Fwos%2Fwoscc%2Ffull-record%2FWOS:001048449200001","View Full Record in Web of Science")</f>
        <v>View Full Record in Web of Science</v>
      </c>
    </row>
    <row r="906" spans="1:72" x14ac:dyDescent="0.15">
      <c r="A906" t="s">
        <v>72</v>
      </c>
      <c r="B906" t="s">
        <v>16406</v>
      </c>
      <c r="C906" t="s">
        <v>74</v>
      </c>
      <c r="D906" t="s">
        <v>74</v>
      </c>
      <c r="E906" t="s">
        <v>74</v>
      </c>
      <c r="F906" t="s">
        <v>16407</v>
      </c>
      <c r="G906" t="s">
        <v>74</v>
      </c>
      <c r="H906" t="s">
        <v>74</v>
      </c>
      <c r="I906" t="s">
        <v>16408</v>
      </c>
      <c r="J906" t="s">
        <v>6953</v>
      </c>
      <c r="K906" t="s">
        <v>74</v>
      </c>
      <c r="L906" t="s">
        <v>74</v>
      </c>
      <c r="M906" t="s">
        <v>78</v>
      </c>
      <c r="N906" t="s">
        <v>79</v>
      </c>
      <c r="O906" t="s">
        <v>74</v>
      </c>
      <c r="P906" t="s">
        <v>74</v>
      </c>
      <c r="Q906" t="s">
        <v>74</v>
      </c>
      <c r="R906" t="s">
        <v>74</v>
      </c>
      <c r="S906" t="s">
        <v>74</v>
      </c>
      <c r="T906" t="s">
        <v>16409</v>
      </c>
      <c r="U906" t="s">
        <v>16410</v>
      </c>
      <c r="V906" t="s">
        <v>16411</v>
      </c>
      <c r="W906" t="s">
        <v>16412</v>
      </c>
      <c r="X906" t="s">
        <v>16413</v>
      </c>
      <c r="Y906" t="s">
        <v>16414</v>
      </c>
      <c r="Z906" t="s">
        <v>16415</v>
      </c>
      <c r="AA906" t="s">
        <v>74</v>
      </c>
      <c r="AB906" t="s">
        <v>74</v>
      </c>
      <c r="AC906" t="s">
        <v>74</v>
      </c>
      <c r="AD906" t="s">
        <v>74</v>
      </c>
      <c r="AE906" t="s">
        <v>74</v>
      </c>
      <c r="AF906" t="s">
        <v>74</v>
      </c>
      <c r="AG906">
        <v>67</v>
      </c>
      <c r="AH906">
        <v>0</v>
      </c>
      <c r="AI906">
        <v>0</v>
      </c>
      <c r="AJ906">
        <v>0</v>
      </c>
      <c r="AK906">
        <v>0</v>
      </c>
      <c r="AL906" t="s">
        <v>120</v>
      </c>
      <c r="AM906" t="s">
        <v>121</v>
      </c>
      <c r="AN906" t="s">
        <v>122</v>
      </c>
      <c r="AO906" t="s">
        <v>6963</v>
      </c>
      <c r="AP906" t="s">
        <v>6964</v>
      </c>
      <c r="AQ906" t="s">
        <v>74</v>
      </c>
      <c r="AR906" t="s">
        <v>6965</v>
      </c>
      <c r="AS906" t="s">
        <v>6966</v>
      </c>
      <c r="AT906" t="s">
        <v>13744</v>
      </c>
      <c r="AU906">
        <v>2023</v>
      </c>
      <c r="AV906">
        <v>78</v>
      </c>
      <c r="AW906" t="s">
        <v>74</v>
      </c>
      <c r="AX906" t="s">
        <v>74</v>
      </c>
      <c r="AY906" t="s">
        <v>74</v>
      </c>
      <c r="AZ906" t="s">
        <v>74</v>
      </c>
      <c r="BA906" t="s">
        <v>74</v>
      </c>
      <c r="BB906" t="s">
        <v>74</v>
      </c>
      <c r="BC906" t="s">
        <v>74</v>
      </c>
      <c r="BD906">
        <v>104914</v>
      </c>
      <c r="BE906" t="s">
        <v>16416</v>
      </c>
      <c r="BF906" t="str">
        <f>HYPERLINK("http://dx.doi.org/10.1016/j.msard.2023.104914","http://dx.doi.org/10.1016/j.msard.2023.104914")</f>
        <v>http://dx.doi.org/10.1016/j.msard.2023.104914</v>
      </c>
      <c r="BG906" t="s">
        <v>74</v>
      </c>
      <c r="BH906" t="s">
        <v>74</v>
      </c>
      <c r="BI906">
        <v>7</v>
      </c>
      <c r="BJ906" t="s">
        <v>4188</v>
      </c>
      <c r="BK906" t="s">
        <v>100</v>
      </c>
      <c r="BL906" t="s">
        <v>4189</v>
      </c>
      <c r="BM906" t="s">
        <v>16417</v>
      </c>
      <c r="BN906">
        <v>37499341</v>
      </c>
      <c r="BO906" t="s">
        <v>74</v>
      </c>
      <c r="BP906" t="s">
        <v>74</v>
      </c>
      <c r="BQ906" t="s">
        <v>74</v>
      </c>
      <c r="BR906" t="s">
        <v>104</v>
      </c>
      <c r="BS906" t="s">
        <v>16418</v>
      </c>
      <c r="BT906" t="str">
        <f>HYPERLINK("https%3A%2F%2Fwww.webofscience.com%2Fwos%2Fwoscc%2Ffull-record%2FWOS:001047312900001","View Full Record in Web of Science")</f>
        <v>View Full Record in Web of Science</v>
      </c>
    </row>
    <row r="907" spans="1:72" x14ac:dyDescent="0.15">
      <c r="A907" t="s">
        <v>72</v>
      </c>
      <c r="B907" t="s">
        <v>16419</v>
      </c>
      <c r="C907" t="s">
        <v>74</v>
      </c>
      <c r="D907" t="s">
        <v>74</v>
      </c>
      <c r="E907" t="s">
        <v>74</v>
      </c>
      <c r="F907" t="s">
        <v>16420</v>
      </c>
      <c r="G907" t="s">
        <v>74</v>
      </c>
      <c r="H907" t="s">
        <v>74</v>
      </c>
      <c r="I907" t="s">
        <v>16421</v>
      </c>
      <c r="J907" t="s">
        <v>16422</v>
      </c>
      <c r="K907" t="s">
        <v>74</v>
      </c>
      <c r="L907" t="s">
        <v>74</v>
      </c>
      <c r="M907" t="s">
        <v>78</v>
      </c>
      <c r="N907" t="s">
        <v>79</v>
      </c>
      <c r="O907" t="s">
        <v>74</v>
      </c>
      <c r="P907" t="s">
        <v>74</v>
      </c>
      <c r="Q907" t="s">
        <v>74</v>
      </c>
      <c r="R907" t="s">
        <v>74</v>
      </c>
      <c r="S907" t="s">
        <v>74</v>
      </c>
      <c r="T907" t="s">
        <v>16423</v>
      </c>
      <c r="U907" t="s">
        <v>16424</v>
      </c>
      <c r="V907" t="s">
        <v>16425</v>
      </c>
      <c r="W907" t="s">
        <v>16426</v>
      </c>
      <c r="X907" t="s">
        <v>16427</v>
      </c>
      <c r="Y907" t="s">
        <v>16428</v>
      </c>
      <c r="Z907" t="s">
        <v>16429</v>
      </c>
      <c r="AA907" t="s">
        <v>74</v>
      </c>
      <c r="AB907" t="s">
        <v>16430</v>
      </c>
      <c r="AC907" t="s">
        <v>16431</v>
      </c>
      <c r="AD907" t="s">
        <v>16432</v>
      </c>
      <c r="AE907" t="s">
        <v>16433</v>
      </c>
      <c r="AF907" t="s">
        <v>74</v>
      </c>
      <c r="AG907">
        <v>104</v>
      </c>
      <c r="AH907">
        <v>0</v>
      </c>
      <c r="AI907">
        <v>0</v>
      </c>
      <c r="AJ907">
        <v>8</v>
      </c>
      <c r="AK907">
        <v>8</v>
      </c>
      <c r="AL907" t="s">
        <v>147</v>
      </c>
      <c r="AM907" t="s">
        <v>148</v>
      </c>
      <c r="AN907" t="s">
        <v>149</v>
      </c>
      <c r="AO907" t="s">
        <v>16434</v>
      </c>
      <c r="AP907" t="s">
        <v>16435</v>
      </c>
      <c r="AQ907" t="s">
        <v>74</v>
      </c>
      <c r="AR907" t="s">
        <v>16436</v>
      </c>
      <c r="AS907" t="s">
        <v>16437</v>
      </c>
      <c r="AT907" t="s">
        <v>13778</v>
      </c>
      <c r="AU907">
        <v>2023</v>
      </c>
      <c r="AV907">
        <v>296</v>
      </c>
      <c r="AW907" t="s">
        <v>74</v>
      </c>
      <c r="AX907" t="s">
        <v>74</v>
      </c>
      <c r="AY907" t="s">
        <v>74</v>
      </c>
      <c r="AZ907" t="s">
        <v>74</v>
      </c>
      <c r="BA907" t="s">
        <v>74</v>
      </c>
      <c r="BB907" t="s">
        <v>74</v>
      </c>
      <c r="BC907" t="s">
        <v>74</v>
      </c>
      <c r="BD907">
        <v>113733</v>
      </c>
      <c r="BE907" t="s">
        <v>16438</v>
      </c>
      <c r="BF907" t="str">
        <f>HYPERLINK("http://dx.doi.org/10.1016/j.rse.2023.113733","http://dx.doi.org/10.1016/j.rse.2023.113733")</f>
        <v>http://dx.doi.org/10.1016/j.rse.2023.113733</v>
      </c>
      <c r="BG907" t="s">
        <v>74</v>
      </c>
      <c r="BH907" t="s">
        <v>74</v>
      </c>
      <c r="BI907">
        <v>15</v>
      </c>
      <c r="BJ907" t="s">
        <v>16439</v>
      </c>
      <c r="BK907" t="s">
        <v>100</v>
      </c>
      <c r="BL907" t="s">
        <v>16440</v>
      </c>
      <c r="BM907" t="s">
        <v>16441</v>
      </c>
      <c r="BN907" t="s">
        <v>74</v>
      </c>
      <c r="BO907" t="s">
        <v>295</v>
      </c>
      <c r="BP907" t="s">
        <v>74</v>
      </c>
      <c r="BQ907" t="s">
        <v>74</v>
      </c>
      <c r="BR907" t="s">
        <v>104</v>
      </c>
      <c r="BS907" t="s">
        <v>16442</v>
      </c>
      <c r="BT907" t="str">
        <f>HYPERLINK("https%3A%2F%2Fwww.webofscience.com%2Fwos%2Fwoscc%2Ffull-record%2FWOS:001052783900001","View Full Record in Web of Science")</f>
        <v>View Full Record in Web of Science</v>
      </c>
    </row>
    <row r="908" spans="1:72" x14ac:dyDescent="0.15">
      <c r="A908" t="s">
        <v>72</v>
      </c>
      <c r="B908" t="s">
        <v>16443</v>
      </c>
      <c r="C908" t="s">
        <v>74</v>
      </c>
      <c r="D908" t="s">
        <v>74</v>
      </c>
      <c r="E908" t="s">
        <v>74</v>
      </c>
      <c r="F908" t="s">
        <v>16444</v>
      </c>
      <c r="G908" t="s">
        <v>74</v>
      </c>
      <c r="H908" t="s">
        <v>74</v>
      </c>
      <c r="I908" t="s">
        <v>16445</v>
      </c>
      <c r="J908" t="s">
        <v>12254</v>
      </c>
      <c r="K908" t="s">
        <v>74</v>
      </c>
      <c r="L908" t="s">
        <v>74</v>
      </c>
      <c r="M908" t="s">
        <v>78</v>
      </c>
      <c r="N908" t="s">
        <v>79</v>
      </c>
      <c r="O908" t="s">
        <v>74</v>
      </c>
      <c r="P908" t="s">
        <v>74</v>
      </c>
      <c r="Q908" t="s">
        <v>74</v>
      </c>
      <c r="R908" t="s">
        <v>74</v>
      </c>
      <c r="S908" t="s">
        <v>74</v>
      </c>
      <c r="T908" t="s">
        <v>16446</v>
      </c>
      <c r="U908" t="s">
        <v>16447</v>
      </c>
      <c r="V908" t="s">
        <v>16448</v>
      </c>
      <c r="W908" t="s">
        <v>16449</v>
      </c>
      <c r="X908" t="s">
        <v>16450</v>
      </c>
      <c r="Y908" t="s">
        <v>16451</v>
      </c>
      <c r="Z908" t="s">
        <v>16452</v>
      </c>
      <c r="AA908" t="s">
        <v>74</v>
      </c>
      <c r="AB908" t="s">
        <v>74</v>
      </c>
      <c r="AC908" t="s">
        <v>16453</v>
      </c>
      <c r="AD908" t="s">
        <v>16454</v>
      </c>
      <c r="AE908" t="s">
        <v>16455</v>
      </c>
      <c r="AF908" t="s">
        <v>74</v>
      </c>
      <c r="AG908">
        <v>32</v>
      </c>
      <c r="AH908">
        <v>0</v>
      </c>
      <c r="AI908">
        <v>0</v>
      </c>
      <c r="AJ908">
        <v>0</v>
      </c>
      <c r="AK908">
        <v>0</v>
      </c>
      <c r="AL908" t="s">
        <v>12265</v>
      </c>
      <c r="AM908" t="s">
        <v>12266</v>
      </c>
      <c r="AN908" t="s">
        <v>12267</v>
      </c>
      <c r="AO908" t="s">
        <v>12268</v>
      </c>
      <c r="AP908" t="s">
        <v>12269</v>
      </c>
      <c r="AQ908" t="s">
        <v>74</v>
      </c>
      <c r="AR908" t="s">
        <v>12270</v>
      </c>
      <c r="AS908" t="s">
        <v>12271</v>
      </c>
      <c r="AT908" t="s">
        <v>13778</v>
      </c>
      <c r="AU908">
        <v>2023</v>
      </c>
      <c r="AV908">
        <v>204</v>
      </c>
      <c r="AW908" t="s">
        <v>74</v>
      </c>
      <c r="AX908" t="s">
        <v>74</v>
      </c>
      <c r="AY908" t="s">
        <v>74</v>
      </c>
      <c r="AZ908" t="s">
        <v>74</v>
      </c>
      <c r="BA908" t="s">
        <v>74</v>
      </c>
      <c r="BB908">
        <v>287</v>
      </c>
      <c r="BC908">
        <v>294</v>
      </c>
      <c r="BD908" t="s">
        <v>74</v>
      </c>
      <c r="BE908" t="s">
        <v>16456</v>
      </c>
      <c r="BF908" t="str">
        <f>HYPERLINK("http://dx.doi.org/10.1016/j.amjcard.2023.07.041","http://dx.doi.org/10.1016/j.amjcard.2023.07.041")</f>
        <v>http://dx.doi.org/10.1016/j.amjcard.2023.07.041</v>
      </c>
      <c r="BG908" t="s">
        <v>74</v>
      </c>
      <c r="BH908" t="s">
        <v>74</v>
      </c>
      <c r="BI908">
        <v>8</v>
      </c>
      <c r="BJ908" t="s">
        <v>8079</v>
      </c>
      <c r="BK908" t="s">
        <v>100</v>
      </c>
      <c r="BL908" t="s">
        <v>8080</v>
      </c>
      <c r="BM908" t="s">
        <v>16457</v>
      </c>
      <c r="BN908">
        <v>37567020</v>
      </c>
      <c r="BO908" t="s">
        <v>74</v>
      </c>
      <c r="BP908" t="s">
        <v>74</v>
      </c>
      <c r="BQ908" t="s">
        <v>74</v>
      </c>
      <c r="BR908" t="s">
        <v>104</v>
      </c>
      <c r="BS908" t="s">
        <v>16458</v>
      </c>
      <c r="BT908" t="str">
        <f>HYPERLINK("https%3A%2F%2Fwww.webofscience.com%2Fwos%2Fwoscc%2Ffull-record%2FWOS:001062487300001","View Full Record in Web of Science")</f>
        <v>View Full Record in Web of Science</v>
      </c>
    </row>
    <row r="909" spans="1:72" x14ac:dyDescent="0.15">
      <c r="A909" t="s">
        <v>72</v>
      </c>
      <c r="B909" t="s">
        <v>16459</v>
      </c>
      <c r="C909" t="s">
        <v>74</v>
      </c>
      <c r="D909" t="s">
        <v>74</v>
      </c>
      <c r="E909" t="s">
        <v>74</v>
      </c>
      <c r="F909" t="s">
        <v>16459</v>
      </c>
      <c r="G909" t="s">
        <v>74</v>
      </c>
      <c r="H909" t="s">
        <v>74</v>
      </c>
      <c r="I909" t="s">
        <v>16460</v>
      </c>
      <c r="J909" t="s">
        <v>16461</v>
      </c>
      <c r="K909" t="s">
        <v>74</v>
      </c>
      <c r="L909" t="s">
        <v>74</v>
      </c>
      <c r="M909" t="s">
        <v>78</v>
      </c>
      <c r="N909" t="s">
        <v>79</v>
      </c>
      <c r="O909" t="s">
        <v>74</v>
      </c>
      <c r="P909" t="s">
        <v>74</v>
      </c>
      <c r="Q909" t="s">
        <v>74</v>
      </c>
      <c r="R909" t="s">
        <v>74</v>
      </c>
      <c r="S909" t="s">
        <v>74</v>
      </c>
      <c r="T909" t="s">
        <v>16462</v>
      </c>
      <c r="U909" t="s">
        <v>16463</v>
      </c>
      <c r="V909" t="s">
        <v>16464</v>
      </c>
      <c r="W909" t="s">
        <v>16465</v>
      </c>
      <c r="X909" t="s">
        <v>74</v>
      </c>
      <c r="Y909" t="s">
        <v>16466</v>
      </c>
      <c r="Z909" t="s">
        <v>16467</v>
      </c>
      <c r="AA909" t="s">
        <v>16468</v>
      </c>
      <c r="AB909" t="s">
        <v>74</v>
      </c>
      <c r="AC909" t="s">
        <v>74</v>
      </c>
      <c r="AD909" t="s">
        <v>74</v>
      </c>
      <c r="AE909" t="s">
        <v>74</v>
      </c>
      <c r="AF909" t="s">
        <v>74</v>
      </c>
      <c r="AG909">
        <v>62</v>
      </c>
      <c r="AH909">
        <v>0</v>
      </c>
      <c r="AI909">
        <v>0</v>
      </c>
      <c r="AJ909">
        <v>2</v>
      </c>
      <c r="AK909">
        <v>2</v>
      </c>
      <c r="AL909" t="s">
        <v>90</v>
      </c>
      <c r="AM909" t="s">
        <v>91</v>
      </c>
      <c r="AN909" t="s">
        <v>92</v>
      </c>
      <c r="AO909" t="s">
        <v>16469</v>
      </c>
      <c r="AP909" t="s">
        <v>16470</v>
      </c>
      <c r="AQ909" t="s">
        <v>74</v>
      </c>
      <c r="AR909" t="s">
        <v>16471</v>
      </c>
      <c r="AS909" t="s">
        <v>16472</v>
      </c>
      <c r="AT909" t="s">
        <v>13744</v>
      </c>
      <c r="AU909">
        <v>2023</v>
      </c>
      <c r="AV909">
        <v>156</v>
      </c>
      <c r="AW909" t="s">
        <v>74</v>
      </c>
      <c r="AX909" t="s">
        <v>74</v>
      </c>
      <c r="AY909" t="s">
        <v>74</v>
      </c>
      <c r="AZ909" t="s">
        <v>74</v>
      </c>
      <c r="BA909" t="s">
        <v>74</v>
      </c>
      <c r="BB909" t="s">
        <v>74</v>
      </c>
      <c r="BC909" t="s">
        <v>74</v>
      </c>
      <c r="BD909">
        <v>111106</v>
      </c>
      <c r="BE909" t="s">
        <v>16473</v>
      </c>
      <c r="BF909" t="str">
        <f>HYPERLINK("http://dx.doi.org/10.1016/j.inoche.2023.111106","http://dx.doi.org/10.1016/j.inoche.2023.111106")</f>
        <v>http://dx.doi.org/10.1016/j.inoche.2023.111106</v>
      </c>
      <c r="BG909" t="s">
        <v>74</v>
      </c>
      <c r="BH909" t="s">
        <v>74</v>
      </c>
      <c r="BI909">
        <v>13</v>
      </c>
      <c r="BJ909" t="s">
        <v>5743</v>
      </c>
      <c r="BK909" t="s">
        <v>100</v>
      </c>
      <c r="BL909" t="s">
        <v>395</v>
      </c>
      <c r="BM909" t="s">
        <v>16474</v>
      </c>
      <c r="BN909" t="s">
        <v>74</v>
      </c>
      <c r="BO909" t="s">
        <v>74</v>
      </c>
      <c r="BP909" t="s">
        <v>74</v>
      </c>
      <c r="BQ909" t="s">
        <v>74</v>
      </c>
      <c r="BR909" t="s">
        <v>104</v>
      </c>
      <c r="BS909" t="s">
        <v>16475</v>
      </c>
      <c r="BT909" t="str">
        <f>HYPERLINK("https%3A%2F%2Fwww.webofscience.com%2Fwos%2Fwoscc%2Ffull-record%2FWOS:001052456900001","View Full Record in Web of Science")</f>
        <v>View Full Record in Web of Science</v>
      </c>
    </row>
    <row r="910" spans="1:72" x14ac:dyDescent="0.15">
      <c r="A910" t="s">
        <v>72</v>
      </c>
      <c r="B910" t="s">
        <v>16476</v>
      </c>
      <c r="C910" t="s">
        <v>74</v>
      </c>
      <c r="D910" t="s">
        <v>74</v>
      </c>
      <c r="E910" t="s">
        <v>74</v>
      </c>
      <c r="F910" t="s">
        <v>16477</v>
      </c>
      <c r="G910" t="s">
        <v>74</v>
      </c>
      <c r="H910" t="s">
        <v>74</v>
      </c>
      <c r="I910" t="s">
        <v>16478</v>
      </c>
      <c r="J910" t="s">
        <v>16479</v>
      </c>
      <c r="K910" t="s">
        <v>74</v>
      </c>
      <c r="L910" t="s">
        <v>74</v>
      </c>
      <c r="M910" t="s">
        <v>78</v>
      </c>
      <c r="N910" t="s">
        <v>79</v>
      </c>
      <c r="O910" t="s">
        <v>74</v>
      </c>
      <c r="P910" t="s">
        <v>74</v>
      </c>
      <c r="Q910" t="s">
        <v>74</v>
      </c>
      <c r="R910" t="s">
        <v>74</v>
      </c>
      <c r="S910" t="s">
        <v>74</v>
      </c>
      <c r="T910" t="s">
        <v>16480</v>
      </c>
      <c r="U910" t="s">
        <v>16481</v>
      </c>
      <c r="V910" t="s">
        <v>16482</v>
      </c>
      <c r="W910" t="s">
        <v>16483</v>
      </c>
      <c r="X910" t="s">
        <v>16484</v>
      </c>
      <c r="Y910" t="s">
        <v>16485</v>
      </c>
      <c r="Z910" t="s">
        <v>16486</v>
      </c>
      <c r="AA910" t="s">
        <v>74</v>
      </c>
      <c r="AB910" t="s">
        <v>74</v>
      </c>
      <c r="AC910" t="s">
        <v>16487</v>
      </c>
      <c r="AD910" t="s">
        <v>16488</v>
      </c>
      <c r="AE910" t="s">
        <v>16489</v>
      </c>
      <c r="AF910" t="s">
        <v>74</v>
      </c>
      <c r="AG910">
        <v>75</v>
      </c>
      <c r="AH910">
        <v>0</v>
      </c>
      <c r="AI910">
        <v>0</v>
      </c>
      <c r="AJ910">
        <v>6</v>
      </c>
      <c r="AK910">
        <v>6</v>
      </c>
      <c r="AL910" t="s">
        <v>173</v>
      </c>
      <c r="AM910" t="s">
        <v>121</v>
      </c>
      <c r="AN910" t="s">
        <v>174</v>
      </c>
      <c r="AO910" t="s">
        <v>16490</v>
      </c>
      <c r="AP910" t="s">
        <v>16491</v>
      </c>
      <c r="AQ910" t="s">
        <v>74</v>
      </c>
      <c r="AR910" t="s">
        <v>16492</v>
      </c>
      <c r="AS910" t="s">
        <v>16493</v>
      </c>
      <c r="AT910" t="s">
        <v>13744</v>
      </c>
      <c r="AU910">
        <v>2023</v>
      </c>
      <c r="AV910">
        <v>170</v>
      </c>
      <c r="AW910" t="s">
        <v>74</v>
      </c>
      <c r="AX910" t="s">
        <v>74</v>
      </c>
      <c r="AY910" t="s">
        <v>74</v>
      </c>
      <c r="AZ910" t="s">
        <v>74</v>
      </c>
      <c r="BA910" t="s">
        <v>74</v>
      </c>
      <c r="BB910" t="s">
        <v>74</v>
      </c>
      <c r="BC910" t="s">
        <v>74</v>
      </c>
      <c r="BD910">
        <v>105512</v>
      </c>
      <c r="BE910" t="s">
        <v>16494</v>
      </c>
      <c r="BF910" t="str">
        <f>HYPERLINK("http://dx.doi.org/10.1016/j.ijrmms.2023.105512","http://dx.doi.org/10.1016/j.ijrmms.2023.105512")</f>
        <v>http://dx.doi.org/10.1016/j.ijrmms.2023.105512</v>
      </c>
      <c r="BG910" t="s">
        <v>74</v>
      </c>
      <c r="BH910" t="s">
        <v>74</v>
      </c>
      <c r="BI910">
        <v>17</v>
      </c>
      <c r="BJ910" t="s">
        <v>16495</v>
      </c>
      <c r="BK910" t="s">
        <v>100</v>
      </c>
      <c r="BL910" t="s">
        <v>16496</v>
      </c>
      <c r="BM910" t="s">
        <v>16497</v>
      </c>
      <c r="BN910" t="s">
        <v>74</v>
      </c>
      <c r="BO910" t="s">
        <v>74</v>
      </c>
      <c r="BP910" t="s">
        <v>74</v>
      </c>
      <c r="BQ910" t="s">
        <v>74</v>
      </c>
      <c r="BR910" t="s">
        <v>104</v>
      </c>
      <c r="BS910" t="s">
        <v>16498</v>
      </c>
      <c r="BT910" t="str">
        <f>HYPERLINK("https%3A%2F%2Fwww.webofscience.com%2Fwos%2Fwoscc%2Ffull-record%2FWOS:001041007400001","View Full Record in Web of Science")</f>
        <v>View Full Record in Web of Science</v>
      </c>
    </row>
    <row r="911" spans="1:72" x14ac:dyDescent="0.15">
      <c r="A911" t="s">
        <v>72</v>
      </c>
      <c r="B911" t="s">
        <v>16499</v>
      </c>
      <c r="C911" t="s">
        <v>74</v>
      </c>
      <c r="D911" t="s">
        <v>74</v>
      </c>
      <c r="E911" t="s">
        <v>74</v>
      </c>
      <c r="F911" t="s">
        <v>16500</v>
      </c>
      <c r="G911" t="s">
        <v>74</v>
      </c>
      <c r="H911" t="s">
        <v>74</v>
      </c>
      <c r="I911" t="s">
        <v>16501</v>
      </c>
      <c r="J911" t="s">
        <v>14161</v>
      </c>
      <c r="K911" t="s">
        <v>74</v>
      </c>
      <c r="L911" t="s">
        <v>74</v>
      </c>
      <c r="M911" t="s">
        <v>78</v>
      </c>
      <c r="N911" t="s">
        <v>79</v>
      </c>
      <c r="O911" t="s">
        <v>74</v>
      </c>
      <c r="P911" t="s">
        <v>74</v>
      </c>
      <c r="Q911" t="s">
        <v>74</v>
      </c>
      <c r="R911" t="s">
        <v>74</v>
      </c>
      <c r="S911" t="s">
        <v>74</v>
      </c>
      <c r="T911" t="s">
        <v>16502</v>
      </c>
      <c r="U911" t="s">
        <v>16503</v>
      </c>
      <c r="V911" t="s">
        <v>16504</v>
      </c>
      <c r="W911" t="s">
        <v>16505</v>
      </c>
      <c r="X911" t="s">
        <v>16506</v>
      </c>
      <c r="Y911" t="s">
        <v>16507</v>
      </c>
      <c r="Z911" t="s">
        <v>16508</v>
      </c>
      <c r="AA911" t="s">
        <v>74</v>
      </c>
      <c r="AB911" t="s">
        <v>16509</v>
      </c>
      <c r="AC911" t="s">
        <v>16510</v>
      </c>
      <c r="AD911" t="s">
        <v>16511</v>
      </c>
      <c r="AE911" t="s">
        <v>16512</v>
      </c>
      <c r="AF911" t="s">
        <v>74</v>
      </c>
      <c r="AG911">
        <v>47</v>
      </c>
      <c r="AH911">
        <v>0</v>
      </c>
      <c r="AI911">
        <v>0</v>
      </c>
      <c r="AJ911">
        <v>1</v>
      </c>
      <c r="AK911">
        <v>1</v>
      </c>
      <c r="AL911" t="s">
        <v>90</v>
      </c>
      <c r="AM911" t="s">
        <v>91</v>
      </c>
      <c r="AN911" t="s">
        <v>92</v>
      </c>
      <c r="AO911" t="s">
        <v>74</v>
      </c>
      <c r="AP911" t="s">
        <v>14173</v>
      </c>
      <c r="AQ911" t="s">
        <v>74</v>
      </c>
      <c r="AR911" t="s">
        <v>14174</v>
      </c>
      <c r="AS911" t="s">
        <v>14175</v>
      </c>
      <c r="AT911" t="s">
        <v>13744</v>
      </c>
      <c r="AU911">
        <v>2023</v>
      </c>
      <c r="AV911">
        <v>35</v>
      </c>
      <c r="AW911" t="s">
        <v>74</v>
      </c>
      <c r="AX911" t="s">
        <v>74</v>
      </c>
      <c r="AY911" t="s">
        <v>74</v>
      </c>
      <c r="AZ911" t="s">
        <v>74</v>
      </c>
      <c r="BA911" t="s">
        <v>74</v>
      </c>
      <c r="BB911" t="s">
        <v>74</v>
      </c>
      <c r="BC911" t="s">
        <v>74</v>
      </c>
      <c r="BD911">
        <v>102334</v>
      </c>
      <c r="BE911" t="s">
        <v>16513</v>
      </c>
      <c r="BF911" t="str">
        <f>HYPERLINK("http://dx.doi.org/10.1016/j.pmedr.2023.102334","http://dx.doi.org/10.1016/j.pmedr.2023.102334")</f>
        <v>http://dx.doi.org/10.1016/j.pmedr.2023.102334</v>
      </c>
      <c r="BG911" t="s">
        <v>74</v>
      </c>
      <c r="BH911" t="s">
        <v>74</v>
      </c>
      <c r="BI911">
        <v>7</v>
      </c>
      <c r="BJ911" t="s">
        <v>14177</v>
      </c>
      <c r="BK911" t="s">
        <v>100</v>
      </c>
      <c r="BL911" t="s">
        <v>14177</v>
      </c>
      <c r="BM911" t="s">
        <v>16514</v>
      </c>
      <c r="BN911">
        <v>37546581</v>
      </c>
      <c r="BO911" t="s">
        <v>2583</v>
      </c>
      <c r="BP911" t="s">
        <v>74</v>
      </c>
      <c r="BQ911" t="s">
        <v>74</v>
      </c>
      <c r="BR911" t="s">
        <v>104</v>
      </c>
      <c r="BS911" t="s">
        <v>16515</v>
      </c>
      <c r="BT911" t="str">
        <f>HYPERLINK("https%3A%2F%2Fwww.webofscience.com%2Fwos%2Fwoscc%2Ffull-record%2FWOS:001052216000001","View Full Record in Web of Science")</f>
        <v>View Full Record in Web of Science</v>
      </c>
    </row>
    <row r="912" spans="1:72" x14ac:dyDescent="0.15">
      <c r="A912" t="s">
        <v>72</v>
      </c>
      <c r="B912" t="s">
        <v>16516</v>
      </c>
      <c r="C912" t="s">
        <v>74</v>
      </c>
      <c r="D912" t="s">
        <v>74</v>
      </c>
      <c r="E912" t="s">
        <v>74</v>
      </c>
      <c r="F912" t="s">
        <v>16517</v>
      </c>
      <c r="G912" t="s">
        <v>74</v>
      </c>
      <c r="H912" t="s">
        <v>74</v>
      </c>
      <c r="I912" t="s">
        <v>16518</v>
      </c>
      <c r="J912" t="s">
        <v>16519</v>
      </c>
      <c r="K912" t="s">
        <v>74</v>
      </c>
      <c r="L912" t="s">
        <v>74</v>
      </c>
      <c r="M912" t="s">
        <v>78</v>
      </c>
      <c r="N912" t="s">
        <v>79</v>
      </c>
      <c r="O912" t="s">
        <v>74</v>
      </c>
      <c r="P912" t="s">
        <v>74</v>
      </c>
      <c r="Q912" t="s">
        <v>74</v>
      </c>
      <c r="R912" t="s">
        <v>74</v>
      </c>
      <c r="S912" t="s">
        <v>74</v>
      </c>
      <c r="T912" t="s">
        <v>16520</v>
      </c>
      <c r="U912" t="s">
        <v>16521</v>
      </c>
      <c r="V912" t="s">
        <v>16522</v>
      </c>
      <c r="W912" t="s">
        <v>16523</v>
      </c>
      <c r="X912" t="s">
        <v>16524</v>
      </c>
      <c r="Y912" t="s">
        <v>16525</v>
      </c>
      <c r="Z912" t="s">
        <v>16526</v>
      </c>
      <c r="AA912" t="s">
        <v>16527</v>
      </c>
      <c r="AB912" t="s">
        <v>16528</v>
      </c>
      <c r="AC912" t="s">
        <v>16529</v>
      </c>
      <c r="AD912" t="s">
        <v>16530</v>
      </c>
      <c r="AE912" t="s">
        <v>16531</v>
      </c>
      <c r="AF912" t="s">
        <v>74</v>
      </c>
      <c r="AG912">
        <v>57</v>
      </c>
      <c r="AH912">
        <v>0</v>
      </c>
      <c r="AI912">
        <v>0</v>
      </c>
      <c r="AJ912">
        <v>2</v>
      </c>
      <c r="AK912">
        <v>2</v>
      </c>
      <c r="AL912" t="s">
        <v>475</v>
      </c>
      <c r="AM912" t="s">
        <v>476</v>
      </c>
      <c r="AN912" t="s">
        <v>477</v>
      </c>
      <c r="AO912" t="s">
        <v>16532</v>
      </c>
      <c r="AP912" t="s">
        <v>16533</v>
      </c>
      <c r="AQ912" t="s">
        <v>74</v>
      </c>
      <c r="AR912" t="s">
        <v>16534</v>
      </c>
      <c r="AS912" t="s">
        <v>16535</v>
      </c>
      <c r="AT912" t="s">
        <v>13744</v>
      </c>
      <c r="AU912">
        <v>2023</v>
      </c>
      <c r="AV912">
        <v>426</v>
      </c>
      <c r="AW912" t="s">
        <v>74</v>
      </c>
      <c r="AX912" t="s">
        <v>74</v>
      </c>
      <c r="AY912" t="s">
        <v>74</v>
      </c>
      <c r="AZ912" t="s">
        <v>74</v>
      </c>
      <c r="BA912" t="s">
        <v>74</v>
      </c>
      <c r="BB912">
        <v>247</v>
      </c>
      <c r="BC912">
        <v>256</v>
      </c>
      <c r="BD912" t="s">
        <v>74</v>
      </c>
      <c r="BE912" t="s">
        <v>16536</v>
      </c>
      <c r="BF912" t="str">
        <f>HYPERLINK("http://dx.doi.org/10.1016/j.jcat.2023.07.001","http://dx.doi.org/10.1016/j.jcat.2023.07.001")</f>
        <v>http://dx.doi.org/10.1016/j.jcat.2023.07.001</v>
      </c>
      <c r="BG912" t="s">
        <v>74</v>
      </c>
      <c r="BH912" t="s">
        <v>74</v>
      </c>
      <c r="BI912">
        <v>10</v>
      </c>
      <c r="BJ912" t="s">
        <v>16537</v>
      </c>
      <c r="BK912" t="s">
        <v>100</v>
      </c>
      <c r="BL912" t="s">
        <v>458</v>
      </c>
      <c r="BM912" t="s">
        <v>16538</v>
      </c>
      <c r="BN912" t="s">
        <v>74</v>
      </c>
      <c r="BO912" t="s">
        <v>295</v>
      </c>
      <c r="BP912" t="s">
        <v>74</v>
      </c>
      <c r="BQ912" t="s">
        <v>74</v>
      </c>
      <c r="BR912" t="s">
        <v>104</v>
      </c>
      <c r="BS912" t="s">
        <v>16539</v>
      </c>
      <c r="BT912" t="str">
        <f>HYPERLINK("https%3A%2F%2Fwww.webofscience.com%2Fwos%2Fwoscc%2Ffull-record%2FWOS:001051342400001","View Full Record in Web of Science")</f>
        <v>View Full Record in Web of Science</v>
      </c>
    </row>
    <row r="913" spans="1:72" x14ac:dyDescent="0.15">
      <c r="A913" t="s">
        <v>72</v>
      </c>
      <c r="B913" t="s">
        <v>16540</v>
      </c>
      <c r="C913" t="s">
        <v>74</v>
      </c>
      <c r="D913" t="s">
        <v>74</v>
      </c>
      <c r="E913" t="s">
        <v>74</v>
      </c>
      <c r="F913" t="s">
        <v>16541</v>
      </c>
      <c r="G913" t="s">
        <v>74</v>
      </c>
      <c r="H913" t="s">
        <v>74</v>
      </c>
      <c r="I913" t="s">
        <v>16542</v>
      </c>
      <c r="J913" t="s">
        <v>10694</v>
      </c>
      <c r="K913" t="s">
        <v>74</v>
      </c>
      <c r="L913" t="s">
        <v>74</v>
      </c>
      <c r="M913" t="s">
        <v>78</v>
      </c>
      <c r="N913" t="s">
        <v>79</v>
      </c>
      <c r="O913" t="s">
        <v>74</v>
      </c>
      <c r="P913" t="s">
        <v>74</v>
      </c>
      <c r="Q913" t="s">
        <v>74</v>
      </c>
      <c r="R913" t="s">
        <v>74</v>
      </c>
      <c r="S913" t="s">
        <v>74</v>
      </c>
      <c r="T913" t="s">
        <v>16543</v>
      </c>
      <c r="U913" t="s">
        <v>74</v>
      </c>
      <c r="V913" t="s">
        <v>16544</v>
      </c>
      <c r="W913" t="s">
        <v>16545</v>
      </c>
      <c r="X913" t="s">
        <v>16546</v>
      </c>
      <c r="Y913" t="s">
        <v>16547</v>
      </c>
      <c r="Z913" t="s">
        <v>16548</v>
      </c>
      <c r="AA913" t="s">
        <v>16549</v>
      </c>
      <c r="AB913" t="s">
        <v>16550</v>
      </c>
      <c r="AC913" t="s">
        <v>16551</v>
      </c>
      <c r="AD913" t="s">
        <v>16552</v>
      </c>
      <c r="AE913" t="s">
        <v>16553</v>
      </c>
      <c r="AF913" t="s">
        <v>74</v>
      </c>
      <c r="AG913">
        <v>48</v>
      </c>
      <c r="AH913">
        <v>0</v>
      </c>
      <c r="AI913">
        <v>0</v>
      </c>
      <c r="AJ913">
        <v>2</v>
      </c>
      <c r="AK913">
        <v>2</v>
      </c>
      <c r="AL913" t="s">
        <v>147</v>
      </c>
      <c r="AM913" t="s">
        <v>148</v>
      </c>
      <c r="AN913" t="s">
        <v>149</v>
      </c>
      <c r="AO913" t="s">
        <v>10704</v>
      </c>
      <c r="AP913" t="s">
        <v>10705</v>
      </c>
      <c r="AQ913" t="s">
        <v>74</v>
      </c>
      <c r="AR913" t="s">
        <v>10706</v>
      </c>
      <c r="AS913" t="s">
        <v>10707</v>
      </c>
      <c r="AT913" t="s">
        <v>13744</v>
      </c>
      <c r="AU913">
        <v>2023</v>
      </c>
      <c r="AV913">
        <v>645</v>
      </c>
      <c r="AW913" t="s">
        <v>74</v>
      </c>
      <c r="AX913" t="s">
        <v>74</v>
      </c>
      <c r="AY913" t="s">
        <v>74</v>
      </c>
      <c r="AZ913" t="s">
        <v>74</v>
      </c>
      <c r="BA913" t="s">
        <v>74</v>
      </c>
      <c r="BB913" t="s">
        <v>74</v>
      </c>
      <c r="BC913" t="s">
        <v>74</v>
      </c>
      <c r="BD913">
        <v>119163</v>
      </c>
      <c r="BE913" t="s">
        <v>16554</v>
      </c>
      <c r="BF913" t="str">
        <f>HYPERLINK("http://dx.doi.org/10.1016/j.ins.2023.119163","http://dx.doi.org/10.1016/j.ins.2023.119163")</f>
        <v>http://dx.doi.org/10.1016/j.ins.2023.119163</v>
      </c>
      <c r="BG913" t="s">
        <v>74</v>
      </c>
      <c r="BH913" t="s">
        <v>74</v>
      </c>
      <c r="BI913">
        <v>25</v>
      </c>
      <c r="BJ913" t="s">
        <v>7029</v>
      </c>
      <c r="BK913" t="s">
        <v>100</v>
      </c>
      <c r="BL913" t="s">
        <v>563</v>
      </c>
      <c r="BM913" t="s">
        <v>16555</v>
      </c>
      <c r="BN913" t="s">
        <v>74</v>
      </c>
      <c r="BO913" t="s">
        <v>74</v>
      </c>
      <c r="BP913" t="s">
        <v>74</v>
      </c>
      <c r="BQ913" t="s">
        <v>74</v>
      </c>
      <c r="BR913" t="s">
        <v>104</v>
      </c>
      <c r="BS913" t="s">
        <v>16556</v>
      </c>
      <c r="BT913" t="str">
        <f>HYPERLINK("https%3A%2F%2Fwww.webofscience.com%2Fwos%2Fwoscc%2Ffull-record%2FWOS:001054701600001","View Full Record in Web of Science")</f>
        <v>View Full Record in Web of Science</v>
      </c>
    </row>
    <row r="914" spans="1:72" x14ac:dyDescent="0.15">
      <c r="A914" t="s">
        <v>72</v>
      </c>
      <c r="B914" t="s">
        <v>16557</v>
      </c>
      <c r="C914" t="s">
        <v>74</v>
      </c>
      <c r="D914" t="s">
        <v>74</v>
      </c>
      <c r="E914" t="s">
        <v>74</v>
      </c>
      <c r="F914" t="s">
        <v>16558</v>
      </c>
      <c r="G914" t="s">
        <v>74</v>
      </c>
      <c r="H914" t="s">
        <v>74</v>
      </c>
      <c r="I914" t="s">
        <v>16559</v>
      </c>
      <c r="J914" t="s">
        <v>16560</v>
      </c>
      <c r="K914" t="s">
        <v>74</v>
      </c>
      <c r="L914" t="s">
        <v>74</v>
      </c>
      <c r="M914" t="s">
        <v>78</v>
      </c>
      <c r="N914" t="s">
        <v>79</v>
      </c>
      <c r="O914" t="s">
        <v>74</v>
      </c>
      <c r="P914" t="s">
        <v>74</v>
      </c>
      <c r="Q914" t="s">
        <v>74</v>
      </c>
      <c r="R914" t="s">
        <v>74</v>
      </c>
      <c r="S914" t="s">
        <v>74</v>
      </c>
      <c r="T914" t="s">
        <v>16561</v>
      </c>
      <c r="U914" t="s">
        <v>16562</v>
      </c>
      <c r="V914" t="s">
        <v>16563</v>
      </c>
      <c r="W914" t="s">
        <v>16564</v>
      </c>
      <c r="X914" t="s">
        <v>16565</v>
      </c>
      <c r="Y914" t="s">
        <v>16566</v>
      </c>
      <c r="Z914" t="s">
        <v>16567</v>
      </c>
      <c r="AA914" t="s">
        <v>74</v>
      </c>
      <c r="AB914" t="s">
        <v>74</v>
      </c>
      <c r="AC914" t="s">
        <v>16568</v>
      </c>
      <c r="AD914" t="s">
        <v>16569</v>
      </c>
      <c r="AE914" t="s">
        <v>16570</v>
      </c>
      <c r="AF914" t="s">
        <v>74</v>
      </c>
      <c r="AG914">
        <v>63</v>
      </c>
      <c r="AH914">
        <v>0</v>
      </c>
      <c r="AI914">
        <v>0</v>
      </c>
      <c r="AJ914">
        <v>1</v>
      </c>
      <c r="AK914">
        <v>1</v>
      </c>
      <c r="AL914" t="s">
        <v>173</v>
      </c>
      <c r="AM914" t="s">
        <v>121</v>
      </c>
      <c r="AN914" t="s">
        <v>174</v>
      </c>
      <c r="AO914" t="s">
        <v>16571</v>
      </c>
      <c r="AP914" t="s">
        <v>16572</v>
      </c>
      <c r="AQ914" t="s">
        <v>74</v>
      </c>
      <c r="AR914" t="s">
        <v>16573</v>
      </c>
      <c r="AS914" t="s">
        <v>16574</v>
      </c>
      <c r="AT914" t="s">
        <v>13744</v>
      </c>
      <c r="AU914">
        <v>2023</v>
      </c>
      <c r="AV914">
        <v>144</v>
      </c>
      <c r="AW914" t="s">
        <v>74</v>
      </c>
      <c r="AX914" t="s">
        <v>74</v>
      </c>
      <c r="AY914" t="s">
        <v>74</v>
      </c>
      <c r="AZ914" t="s">
        <v>74</v>
      </c>
      <c r="BA914" t="s">
        <v>74</v>
      </c>
      <c r="BB914" t="s">
        <v>74</v>
      </c>
      <c r="BC914" t="s">
        <v>74</v>
      </c>
      <c r="BD914">
        <v>106384</v>
      </c>
      <c r="BE914" t="s">
        <v>16575</v>
      </c>
      <c r="BF914" t="str">
        <f>HYPERLINK("http://dx.doi.org/10.1016/j.chiabu.2023.106384","http://dx.doi.org/10.1016/j.chiabu.2023.106384")</f>
        <v>http://dx.doi.org/10.1016/j.chiabu.2023.106384</v>
      </c>
      <c r="BG914" t="s">
        <v>74</v>
      </c>
      <c r="BH914" t="s">
        <v>74</v>
      </c>
      <c r="BI914">
        <v>10</v>
      </c>
      <c r="BJ914" t="s">
        <v>16576</v>
      </c>
      <c r="BK914" t="s">
        <v>627</v>
      </c>
      <c r="BL914" t="s">
        <v>16577</v>
      </c>
      <c r="BM914" t="s">
        <v>16578</v>
      </c>
      <c r="BN914">
        <v>37542996</v>
      </c>
      <c r="BO914" t="s">
        <v>74</v>
      </c>
      <c r="BP914" t="s">
        <v>74</v>
      </c>
      <c r="BQ914" t="s">
        <v>74</v>
      </c>
      <c r="BR914" t="s">
        <v>104</v>
      </c>
      <c r="BS914" t="s">
        <v>16579</v>
      </c>
      <c r="BT914" t="str">
        <f>HYPERLINK("https%3A%2F%2Fwww.webofscience.com%2Fwos%2Fwoscc%2Ffull-record%2FWOS:001052043500001","View Full Record in Web of Science")</f>
        <v>View Full Record in Web of Science</v>
      </c>
    </row>
    <row r="915" spans="1:72" x14ac:dyDescent="0.15">
      <c r="A915" t="s">
        <v>72</v>
      </c>
      <c r="B915" t="s">
        <v>16580</v>
      </c>
      <c r="C915" t="s">
        <v>74</v>
      </c>
      <c r="D915" t="s">
        <v>74</v>
      </c>
      <c r="E915" t="s">
        <v>74</v>
      </c>
      <c r="F915" t="s">
        <v>16581</v>
      </c>
      <c r="G915" t="s">
        <v>74</v>
      </c>
      <c r="H915" t="s">
        <v>74</v>
      </c>
      <c r="I915" t="s">
        <v>16582</v>
      </c>
      <c r="J915" t="s">
        <v>8246</v>
      </c>
      <c r="K915" t="s">
        <v>74</v>
      </c>
      <c r="L915" t="s">
        <v>74</v>
      </c>
      <c r="M915" t="s">
        <v>78</v>
      </c>
      <c r="N915" t="s">
        <v>79</v>
      </c>
      <c r="O915" t="s">
        <v>74</v>
      </c>
      <c r="P915" t="s">
        <v>74</v>
      </c>
      <c r="Q915" t="s">
        <v>74</v>
      </c>
      <c r="R915" t="s">
        <v>74</v>
      </c>
      <c r="S915" t="s">
        <v>74</v>
      </c>
      <c r="T915" t="s">
        <v>16583</v>
      </c>
      <c r="U915" t="s">
        <v>74</v>
      </c>
      <c r="V915" t="s">
        <v>16584</v>
      </c>
      <c r="W915" t="s">
        <v>16585</v>
      </c>
      <c r="X915" t="s">
        <v>16586</v>
      </c>
      <c r="Y915" t="s">
        <v>16587</v>
      </c>
      <c r="Z915" t="s">
        <v>16588</v>
      </c>
      <c r="AA915" t="s">
        <v>74</v>
      </c>
      <c r="AB915" t="s">
        <v>16589</v>
      </c>
      <c r="AC915" t="s">
        <v>74</v>
      </c>
      <c r="AD915" t="s">
        <v>74</v>
      </c>
      <c r="AE915" t="s">
        <v>74</v>
      </c>
      <c r="AF915" t="s">
        <v>74</v>
      </c>
      <c r="AG915">
        <v>47</v>
      </c>
      <c r="AH915">
        <v>0</v>
      </c>
      <c r="AI915">
        <v>0</v>
      </c>
      <c r="AJ915">
        <v>3</v>
      </c>
      <c r="AK915">
        <v>3</v>
      </c>
      <c r="AL915" t="s">
        <v>173</v>
      </c>
      <c r="AM915" t="s">
        <v>121</v>
      </c>
      <c r="AN915" t="s">
        <v>174</v>
      </c>
      <c r="AO915" t="s">
        <v>8256</v>
      </c>
      <c r="AP915" t="s">
        <v>8257</v>
      </c>
      <c r="AQ915" t="s">
        <v>74</v>
      </c>
      <c r="AR915" t="s">
        <v>8258</v>
      </c>
      <c r="AS915" t="s">
        <v>8259</v>
      </c>
      <c r="AT915" t="s">
        <v>13744</v>
      </c>
      <c r="AU915">
        <v>2023</v>
      </c>
      <c r="AV915">
        <v>215</v>
      </c>
      <c r="AW915" t="s">
        <v>74</v>
      </c>
      <c r="AX915" t="s">
        <v>74</v>
      </c>
      <c r="AY915" t="s">
        <v>74</v>
      </c>
      <c r="AZ915" t="s">
        <v>74</v>
      </c>
      <c r="BA915" t="s">
        <v>74</v>
      </c>
      <c r="BB915" t="s">
        <v>74</v>
      </c>
      <c r="BC915" t="s">
        <v>74</v>
      </c>
      <c r="BD915">
        <v>118985</v>
      </c>
      <c r="BE915" t="s">
        <v>16590</v>
      </c>
      <c r="BF915" t="str">
        <f>HYPERLINK("http://dx.doi.org/10.1016/j.renene.2023.118985","http://dx.doi.org/10.1016/j.renene.2023.118985")</f>
        <v>http://dx.doi.org/10.1016/j.renene.2023.118985</v>
      </c>
      <c r="BG915" t="s">
        <v>74</v>
      </c>
      <c r="BH915" t="s">
        <v>74</v>
      </c>
      <c r="BI915">
        <v>15</v>
      </c>
      <c r="BJ915" t="s">
        <v>8261</v>
      </c>
      <c r="BK915" t="s">
        <v>100</v>
      </c>
      <c r="BL915" t="s">
        <v>8262</v>
      </c>
      <c r="BM915" t="s">
        <v>16591</v>
      </c>
      <c r="BN915" t="s">
        <v>74</v>
      </c>
      <c r="BO915" t="s">
        <v>504</v>
      </c>
      <c r="BP915" t="s">
        <v>74</v>
      </c>
      <c r="BQ915" t="s">
        <v>74</v>
      </c>
      <c r="BR915" t="s">
        <v>104</v>
      </c>
      <c r="BS915" t="s">
        <v>16592</v>
      </c>
      <c r="BT915" t="str">
        <f>HYPERLINK("https%3A%2F%2Fwww.webofscience.com%2Fwos%2Fwoscc%2Ffull-record%2FWOS:001049257400001","View Full Record in Web of Science")</f>
        <v>View Full Record in Web of Science</v>
      </c>
    </row>
    <row r="916" spans="1:72" x14ac:dyDescent="0.15">
      <c r="A916" t="s">
        <v>72</v>
      </c>
      <c r="B916" t="s">
        <v>16593</v>
      </c>
      <c r="C916" t="s">
        <v>74</v>
      </c>
      <c r="D916" t="s">
        <v>74</v>
      </c>
      <c r="E916" t="s">
        <v>74</v>
      </c>
      <c r="F916" t="s">
        <v>16594</v>
      </c>
      <c r="G916" t="s">
        <v>74</v>
      </c>
      <c r="H916" t="s">
        <v>74</v>
      </c>
      <c r="I916" t="s">
        <v>16595</v>
      </c>
      <c r="J916" t="s">
        <v>16596</v>
      </c>
      <c r="K916" t="s">
        <v>74</v>
      </c>
      <c r="L916" t="s">
        <v>74</v>
      </c>
      <c r="M916" t="s">
        <v>78</v>
      </c>
      <c r="N916" t="s">
        <v>79</v>
      </c>
      <c r="O916" t="s">
        <v>74</v>
      </c>
      <c r="P916" t="s">
        <v>74</v>
      </c>
      <c r="Q916" t="s">
        <v>74</v>
      </c>
      <c r="R916" t="s">
        <v>74</v>
      </c>
      <c r="S916" t="s">
        <v>74</v>
      </c>
      <c r="T916" t="s">
        <v>16597</v>
      </c>
      <c r="U916" t="s">
        <v>16598</v>
      </c>
      <c r="V916" t="s">
        <v>16599</v>
      </c>
      <c r="W916" t="s">
        <v>16600</v>
      </c>
      <c r="X916" t="s">
        <v>16601</v>
      </c>
      <c r="Y916" t="s">
        <v>16602</v>
      </c>
      <c r="Z916" t="s">
        <v>16603</v>
      </c>
      <c r="AA916" t="s">
        <v>74</v>
      </c>
      <c r="AB916" t="s">
        <v>74</v>
      </c>
      <c r="AC916" t="s">
        <v>16604</v>
      </c>
      <c r="AD916" t="s">
        <v>16605</v>
      </c>
      <c r="AE916" t="s">
        <v>16606</v>
      </c>
      <c r="AF916" t="s">
        <v>74</v>
      </c>
      <c r="AG916">
        <v>28</v>
      </c>
      <c r="AH916">
        <v>0</v>
      </c>
      <c r="AI916">
        <v>0</v>
      </c>
      <c r="AJ916">
        <v>1</v>
      </c>
      <c r="AK916">
        <v>1</v>
      </c>
      <c r="AL916" t="s">
        <v>173</v>
      </c>
      <c r="AM916" t="s">
        <v>121</v>
      </c>
      <c r="AN916" t="s">
        <v>174</v>
      </c>
      <c r="AO916" t="s">
        <v>16607</v>
      </c>
      <c r="AP916" t="s">
        <v>16608</v>
      </c>
      <c r="AQ916" t="s">
        <v>74</v>
      </c>
      <c r="AR916" t="s">
        <v>16596</v>
      </c>
      <c r="AS916" t="s">
        <v>16609</v>
      </c>
      <c r="AT916" t="s">
        <v>13744</v>
      </c>
      <c r="AU916">
        <v>2023</v>
      </c>
      <c r="AV916">
        <v>216</v>
      </c>
      <c r="AW916" t="s">
        <v>74</v>
      </c>
      <c r="AX916" t="s">
        <v>74</v>
      </c>
      <c r="AY916" t="s">
        <v>74</v>
      </c>
      <c r="AZ916" t="s">
        <v>74</v>
      </c>
      <c r="BA916" t="s">
        <v>74</v>
      </c>
      <c r="BB916" t="s">
        <v>74</v>
      </c>
      <c r="BC916" t="s">
        <v>74</v>
      </c>
      <c r="BD916">
        <v>112464</v>
      </c>
      <c r="BE916" t="s">
        <v>16610</v>
      </c>
      <c r="BF916" t="str">
        <f>HYPERLINK("http://dx.doi.org/10.1016/j.vacuum.2023.112464","http://dx.doi.org/10.1016/j.vacuum.2023.112464")</f>
        <v>http://dx.doi.org/10.1016/j.vacuum.2023.112464</v>
      </c>
      <c r="BG916" t="s">
        <v>74</v>
      </c>
      <c r="BH916" t="s">
        <v>74</v>
      </c>
      <c r="BI916">
        <v>6</v>
      </c>
      <c r="BJ916" t="s">
        <v>3021</v>
      </c>
      <c r="BK916" t="s">
        <v>100</v>
      </c>
      <c r="BL916" t="s">
        <v>3022</v>
      </c>
      <c r="BM916" t="s">
        <v>16611</v>
      </c>
      <c r="BN916" t="s">
        <v>74</v>
      </c>
      <c r="BO916" t="s">
        <v>74</v>
      </c>
      <c r="BP916" t="s">
        <v>74</v>
      </c>
      <c r="BQ916" t="s">
        <v>74</v>
      </c>
      <c r="BR916" t="s">
        <v>104</v>
      </c>
      <c r="BS916" t="s">
        <v>16612</v>
      </c>
      <c r="BT916" t="str">
        <f>HYPERLINK("https%3A%2F%2Fwww.webofscience.com%2Fwos%2Fwoscc%2Ffull-record%2FWOS:001052513900001","View Full Record in Web of Science")</f>
        <v>View Full Record in Web of Science</v>
      </c>
    </row>
    <row r="917" spans="1:72" x14ac:dyDescent="0.15">
      <c r="A917" t="s">
        <v>72</v>
      </c>
      <c r="B917" t="s">
        <v>16613</v>
      </c>
      <c r="C917" t="s">
        <v>74</v>
      </c>
      <c r="D917" t="s">
        <v>74</v>
      </c>
      <c r="E917" t="s">
        <v>74</v>
      </c>
      <c r="F917" t="s">
        <v>16614</v>
      </c>
      <c r="G917" t="s">
        <v>74</v>
      </c>
      <c r="H917" t="s">
        <v>74</v>
      </c>
      <c r="I917" t="s">
        <v>16615</v>
      </c>
      <c r="J917" t="s">
        <v>16616</v>
      </c>
      <c r="K917" t="s">
        <v>74</v>
      </c>
      <c r="L917" t="s">
        <v>74</v>
      </c>
      <c r="M917" t="s">
        <v>78</v>
      </c>
      <c r="N917" t="s">
        <v>79</v>
      </c>
      <c r="O917" t="s">
        <v>74</v>
      </c>
      <c r="P917" t="s">
        <v>74</v>
      </c>
      <c r="Q917" t="s">
        <v>74</v>
      </c>
      <c r="R917" t="s">
        <v>74</v>
      </c>
      <c r="S917" t="s">
        <v>74</v>
      </c>
      <c r="T917" t="s">
        <v>16617</v>
      </c>
      <c r="U917" t="s">
        <v>16618</v>
      </c>
      <c r="V917" t="s">
        <v>16619</v>
      </c>
      <c r="W917" t="s">
        <v>16620</v>
      </c>
      <c r="X917" t="s">
        <v>16621</v>
      </c>
      <c r="Y917" t="s">
        <v>16622</v>
      </c>
      <c r="Z917" t="s">
        <v>16623</v>
      </c>
      <c r="AA917" t="s">
        <v>74</v>
      </c>
      <c r="AB917" t="s">
        <v>74</v>
      </c>
      <c r="AC917" t="s">
        <v>16624</v>
      </c>
      <c r="AD917" t="s">
        <v>16625</v>
      </c>
      <c r="AE917" t="s">
        <v>16626</v>
      </c>
      <c r="AF917" t="s">
        <v>74</v>
      </c>
      <c r="AG917">
        <v>56</v>
      </c>
      <c r="AH917">
        <v>0</v>
      </c>
      <c r="AI917">
        <v>0</v>
      </c>
      <c r="AJ917">
        <v>1</v>
      </c>
      <c r="AK917">
        <v>1</v>
      </c>
      <c r="AL917" t="s">
        <v>90</v>
      </c>
      <c r="AM917" t="s">
        <v>91</v>
      </c>
      <c r="AN917" t="s">
        <v>92</v>
      </c>
      <c r="AO917" t="s">
        <v>16627</v>
      </c>
      <c r="AP917" t="s">
        <v>74</v>
      </c>
      <c r="AQ917" t="s">
        <v>74</v>
      </c>
      <c r="AR917" t="s">
        <v>16628</v>
      </c>
      <c r="AS917" t="s">
        <v>16629</v>
      </c>
      <c r="AT917" t="s">
        <v>13744</v>
      </c>
      <c r="AU917">
        <v>2023</v>
      </c>
      <c r="AV917">
        <v>549</v>
      </c>
      <c r="AW917" t="s">
        <v>74</v>
      </c>
      <c r="AX917" t="s">
        <v>74</v>
      </c>
      <c r="AY917" t="s">
        <v>74</v>
      </c>
      <c r="AZ917" t="s">
        <v>74</v>
      </c>
      <c r="BA917" t="s">
        <v>74</v>
      </c>
      <c r="BB917" t="s">
        <v>74</v>
      </c>
      <c r="BC917" t="s">
        <v>74</v>
      </c>
      <c r="BD917">
        <v>113463</v>
      </c>
      <c r="BE917" t="s">
        <v>16630</v>
      </c>
      <c r="BF917" t="str">
        <f>HYPERLINK("http://dx.doi.org/10.1016/j.mcat.2023.113463","http://dx.doi.org/10.1016/j.mcat.2023.113463")</f>
        <v>http://dx.doi.org/10.1016/j.mcat.2023.113463</v>
      </c>
      <c r="BG917" t="s">
        <v>74</v>
      </c>
      <c r="BH917" t="s">
        <v>74</v>
      </c>
      <c r="BI917">
        <v>10</v>
      </c>
      <c r="BJ917" t="s">
        <v>394</v>
      </c>
      <c r="BK917" t="s">
        <v>100</v>
      </c>
      <c r="BL917" t="s">
        <v>395</v>
      </c>
      <c r="BM917" t="s">
        <v>16631</v>
      </c>
      <c r="BN917" t="s">
        <v>74</v>
      </c>
      <c r="BO917" t="s">
        <v>74</v>
      </c>
      <c r="BP917" t="s">
        <v>74</v>
      </c>
      <c r="BQ917" t="s">
        <v>74</v>
      </c>
      <c r="BR917" t="s">
        <v>104</v>
      </c>
      <c r="BS917" t="s">
        <v>16632</v>
      </c>
      <c r="BT917" t="str">
        <f>HYPERLINK("https%3A%2F%2Fwww.webofscience.com%2Fwos%2Fwoscc%2Ffull-record%2FWOS:001066377500001","View Full Record in Web of Science")</f>
        <v>View Full Record in Web of Science</v>
      </c>
    </row>
    <row r="918" spans="1:72" x14ac:dyDescent="0.15">
      <c r="A918" t="s">
        <v>72</v>
      </c>
      <c r="B918" t="s">
        <v>16633</v>
      </c>
      <c r="C918" t="s">
        <v>74</v>
      </c>
      <c r="D918" t="s">
        <v>74</v>
      </c>
      <c r="E918" t="s">
        <v>74</v>
      </c>
      <c r="F918" t="s">
        <v>16634</v>
      </c>
      <c r="G918" t="s">
        <v>74</v>
      </c>
      <c r="H918" t="s">
        <v>74</v>
      </c>
      <c r="I918" t="s">
        <v>16635</v>
      </c>
      <c r="J918" t="s">
        <v>16636</v>
      </c>
      <c r="K918" t="s">
        <v>74</v>
      </c>
      <c r="L918" t="s">
        <v>74</v>
      </c>
      <c r="M918" t="s">
        <v>78</v>
      </c>
      <c r="N918" t="s">
        <v>79</v>
      </c>
      <c r="O918" t="s">
        <v>74</v>
      </c>
      <c r="P918" t="s">
        <v>74</v>
      </c>
      <c r="Q918" t="s">
        <v>74</v>
      </c>
      <c r="R918" t="s">
        <v>74</v>
      </c>
      <c r="S918" t="s">
        <v>74</v>
      </c>
      <c r="T918" t="s">
        <v>16637</v>
      </c>
      <c r="U918" t="s">
        <v>16638</v>
      </c>
      <c r="V918" t="s">
        <v>16639</v>
      </c>
      <c r="W918" t="s">
        <v>16640</v>
      </c>
      <c r="X918" t="s">
        <v>16641</v>
      </c>
      <c r="Y918" t="s">
        <v>16642</v>
      </c>
      <c r="Z918" t="s">
        <v>16643</v>
      </c>
      <c r="AA918" t="s">
        <v>74</v>
      </c>
      <c r="AB918" t="s">
        <v>74</v>
      </c>
      <c r="AC918" t="s">
        <v>16644</v>
      </c>
      <c r="AD918" t="s">
        <v>16645</v>
      </c>
      <c r="AE918" t="s">
        <v>16646</v>
      </c>
      <c r="AF918" t="s">
        <v>74</v>
      </c>
      <c r="AG918">
        <v>52</v>
      </c>
      <c r="AH918">
        <v>0</v>
      </c>
      <c r="AI918">
        <v>0</v>
      </c>
      <c r="AJ918">
        <v>7</v>
      </c>
      <c r="AK918">
        <v>7</v>
      </c>
      <c r="AL918" t="s">
        <v>120</v>
      </c>
      <c r="AM918" t="s">
        <v>121</v>
      </c>
      <c r="AN918" t="s">
        <v>122</v>
      </c>
      <c r="AO918" t="s">
        <v>16647</v>
      </c>
      <c r="AP918" t="s">
        <v>16648</v>
      </c>
      <c r="AQ918" t="s">
        <v>74</v>
      </c>
      <c r="AR918" t="s">
        <v>16649</v>
      </c>
      <c r="AS918" t="s">
        <v>16650</v>
      </c>
      <c r="AT918" t="s">
        <v>13744</v>
      </c>
      <c r="AU918">
        <v>2023</v>
      </c>
      <c r="AV918">
        <v>110</v>
      </c>
      <c r="AW918" t="s">
        <v>74</v>
      </c>
      <c r="AX918" t="s">
        <v>74</v>
      </c>
      <c r="AY918" t="s">
        <v>74</v>
      </c>
      <c r="AZ918" t="s">
        <v>74</v>
      </c>
      <c r="BA918" t="s">
        <v>74</v>
      </c>
      <c r="BB918" t="s">
        <v>74</v>
      </c>
      <c r="BC918" t="s">
        <v>74</v>
      </c>
      <c r="BD918">
        <v>101352</v>
      </c>
      <c r="BE918" t="s">
        <v>16651</v>
      </c>
      <c r="BF918" t="str">
        <f>HYPERLINK("http://dx.doi.org/10.1016/j.joei.2023.101352","http://dx.doi.org/10.1016/j.joei.2023.101352")</f>
        <v>http://dx.doi.org/10.1016/j.joei.2023.101352</v>
      </c>
      <c r="BG918" t="s">
        <v>74</v>
      </c>
      <c r="BH918" t="s">
        <v>74</v>
      </c>
      <c r="BI918">
        <v>11</v>
      </c>
      <c r="BJ918" t="s">
        <v>2999</v>
      </c>
      <c r="BK918" t="s">
        <v>100</v>
      </c>
      <c r="BL918" t="s">
        <v>2999</v>
      </c>
      <c r="BM918" t="s">
        <v>16652</v>
      </c>
      <c r="BN918" t="s">
        <v>74</v>
      </c>
      <c r="BO918" t="s">
        <v>74</v>
      </c>
      <c r="BP918" t="s">
        <v>74</v>
      </c>
      <c r="BQ918" t="s">
        <v>74</v>
      </c>
      <c r="BR918" t="s">
        <v>104</v>
      </c>
      <c r="BS918" t="s">
        <v>16653</v>
      </c>
      <c r="BT918" t="str">
        <f>HYPERLINK("https%3A%2F%2Fwww.webofscience.com%2Fwos%2Fwoscc%2Ffull-record%2FWOS:001052237400001","View Full Record in Web of Science")</f>
        <v>View Full Record in Web of Science</v>
      </c>
    </row>
    <row r="919" spans="1:72" x14ac:dyDescent="0.15">
      <c r="A919" t="s">
        <v>72</v>
      </c>
      <c r="B919" t="s">
        <v>16654</v>
      </c>
      <c r="C919" t="s">
        <v>74</v>
      </c>
      <c r="D919" t="s">
        <v>74</v>
      </c>
      <c r="E919" t="s">
        <v>74</v>
      </c>
      <c r="F919" t="s">
        <v>16655</v>
      </c>
      <c r="G919" t="s">
        <v>74</v>
      </c>
      <c r="H919" t="s">
        <v>74</v>
      </c>
      <c r="I919" t="s">
        <v>16656</v>
      </c>
      <c r="J919" t="s">
        <v>16657</v>
      </c>
      <c r="K919" t="s">
        <v>74</v>
      </c>
      <c r="L919" t="s">
        <v>74</v>
      </c>
      <c r="M919" t="s">
        <v>78</v>
      </c>
      <c r="N919" t="s">
        <v>79</v>
      </c>
      <c r="O919" t="s">
        <v>74</v>
      </c>
      <c r="P919" t="s">
        <v>74</v>
      </c>
      <c r="Q919" t="s">
        <v>74</v>
      </c>
      <c r="R919" t="s">
        <v>74</v>
      </c>
      <c r="S919" t="s">
        <v>74</v>
      </c>
      <c r="T919" t="s">
        <v>16658</v>
      </c>
      <c r="U919" t="s">
        <v>16659</v>
      </c>
      <c r="V919" t="s">
        <v>16660</v>
      </c>
      <c r="W919" t="s">
        <v>16661</v>
      </c>
      <c r="X919" t="s">
        <v>16662</v>
      </c>
      <c r="Y919" t="s">
        <v>16663</v>
      </c>
      <c r="Z919" t="s">
        <v>16664</v>
      </c>
      <c r="AA919" t="s">
        <v>74</v>
      </c>
      <c r="AB919" t="s">
        <v>74</v>
      </c>
      <c r="AC919" t="s">
        <v>16665</v>
      </c>
      <c r="AD919" t="s">
        <v>16666</v>
      </c>
      <c r="AE919" t="s">
        <v>16667</v>
      </c>
      <c r="AF919" t="s">
        <v>74</v>
      </c>
      <c r="AG919">
        <v>27</v>
      </c>
      <c r="AH919">
        <v>0</v>
      </c>
      <c r="AI919">
        <v>0</v>
      </c>
      <c r="AJ919">
        <v>1</v>
      </c>
      <c r="AK919">
        <v>1</v>
      </c>
      <c r="AL919" t="s">
        <v>173</v>
      </c>
      <c r="AM919" t="s">
        <v>121</v>
      </c>
      <c r="AN919" t="s">
        <v>174</v>
      </c>
      <c r="AO919" t="s">
        <v>16668</v>
      </c>
      <c r="AP919" t="s">
        <v>16669</v>
      </c>
      <c r="AQ919" t="s">
        <v>74</v>
      </c>
      <c r="AR919" t="s">
        <v>16670</v>
      </c>
      <c r="AS919" t="s">
        <v>16671</v>
      </c>
      <c r="AT919" t="s">
        <v>13744</v>
      </c>
      <c r="AU919">
        <v>2023</v>
      </c>
      <c r="AV919">
        <v>140</v>
      </c>
      <c r="AW919" t="s">
        <v>74</v>
      </c>
      <c r="AX919" t="s">
        <v>74</v>
      </c>
      <c r="AY919" t="s">
        <v>74</v>
      </c>
      <c r="AZ919" t="s">
        <v>74</v>
      </c>
      <c r="BA919" t="s">
        <v>74</v>
      </c>
      <c r="BB919" t="s">
        <v>74</v>
      </c>
      <c r="BC919" t="s">
        <v>74</v>
      </c>
      <c r="BD919">
        <v>105303</v>
      </c>
      <c r="BE919" t="s">
        <v>16672</v>
      </c>
      <c r="BF919" t="str">
        <f>HYPERLINK("http://dx.doi.org/10.1016/j.tust.2023.105303","http://dx.doi.org/10.1016/j.tust.2023.105303")</f>
        <v>http://dx.doi.org/10.1016/j.tust.2023.105303</v>
      </c>
      <c r="BG919" t="s">
        <v>74</v>
      </c>
      <c r="BH919" t="s">
        <v>74</v>
      </c>
      <c r="BI919">
        <v>10</v>
      </c>
      <c r="BJ919" t="s">
        <v>3898</v>
      </c>
      <c r="BK919" t="s">
        <v>100</v>
      </c>
      <c r="BL919" t="s">
        <v>3899</v>
      </c>
      <c r="BM919" t="s">
        <v>16673</v>
      </c>
      <c r="BN919" t="s">
        <v>74</v>
      </c>
      <c r="BO919" t="s">
        <v>74</v>
      </c>
      <c r="BP919" t="s">
        <v>74</v>
      </c>
      <c r="BQ919" t="s">
        <v>74</v>
      </c>
      <c r="BR919" t="s">
        <v>104</v>
      </c>
      <c r="BS919" t="s">
        <v>16674</v>
      </c>
      <c r="BT919" t="str">
        <f>HYPERLINK("https%3A%2F%2Fwww.webofscience.com%2Fwos%2Fwoscc%2Ffull-record%2FWOS:001058918900001","View Full Record in Web of Science")</f>
        <v>View Full Record in Web of Science</v>
      </c>
    </row>
    <row r="920" spans="1:72" x14ac:dyDescent="0.15">
      <c r="A920" t="s">
        <v>72</v>
      </c>
      <c r="B920" t="s">
        <v>16675</v>
      </c>
      <c r="C920" t="s">
        <v>74</v>
      </c>
      <c r="D920" t="s">
        <v>74</v>
      </c>
      <c r="E920" t="s">
        <v>74</v>
      </c>
      <c r="F920" t="s">
        <v>16676</v>
      </c>
      <c r="G920" t="s">
        <v>74</v>
      </c>
      <c r="H920" t="s">
        <v>74</v>
      </c>
      <c r="I920" t="s">
        <v>16677</v>
      </c>
      <c r="J920" t="s">
        <v>7867</v>
      </c>
      <c r="K920" t="s">
        <v>74</v>
      </c>
      <c r="L920" t="s">
        <v>74</v>
      </c>
      <c r="M920" t="s">
        <v>78</v>
      </c>
      <c r="N920" t="s">
        <v>79</v>
      </c>
      <c r="O920" t="s">
        <v>74</v>
      </c>
      <c r="P920" t="s">
        <v>74</v>
      </c>
      <c r="Q920" t="s">
        <v>74</v>
      </c>
      <c r="R920" t="s">
        <v>74</v>
      </c>
      <c r="S920" t="s">
        <v>74</v>
      </c>
      <c r="T920" t="s">
        <v>16678</v>
      </c>
      <c r="U920" t="s">
        <v>16679</v>
      </c>
      <c r="V920" t="s">
        <v>16680</v>
      </c>
      <c r="W920" t="s">
        <v>16681</v>
      </c>
      <c r="X920" t="s">
        <v>16682</v>
      </c>
      <c r="Y920" t="s">
        <v>16683</v>
      </c>
      <c r="Z920" t="s">
        <v>16684</v>
      </c>
      <c r="AA920" t="s">
        <v>74</v>
      </c>
      <c r="AB920" t="s">
        <v>74</v>
      </c>
      <c r="AC920" t="s">
        <v>16685</v>
      </c>
      <c r="AD920" t="s">
        <v>252</v>
      </c>
      <c r="AE920" t="s">
        <v>16686</v>
      </c>
      <c r="AF920" t="s">
        <v>74</v>
      </c>
      <c r="AG920">
        <v>37</v>
      </c>
      <c r="AH920">
        <v>0</v>
      </c>
      <c r="AI920">
        <v>0</v>
      </c>
      <c r="AJ920">
        <v>17</v>
      </c>
      <c r="AK920">
        <v>17</v>
      </c>
      <c r="AL920" t="s">
        <v>7022</v>
      </c>
      <c r="AM920" t="s">
        <v>121</v>
      </c>
      <c r="AN920" t="s">
        <v>7023</v>
      </c>
      <c r="AO920" t="s">
        <v>7878</v>
      </c>
      <c r="AP920" t="s">
        <v>7879</v>
      </c>
      <c r="AQ920" t="s">
        <v>74</v>
      </c>
      <c r="AR920" t="s">
        <v>7880</v>
      </c>
      <c r="AS920" t="s">
        <v>7881</v>
      </c>
      <c r="AT920" t="s">
        <v>13778</v>
      </c>
      <c r="AU920">
        <v>2023</v>
      </c>
      <c r="AV920">
        <v>237</v>
      </c>
      <c r="AW920" t="s">
        <v>74</v>
      </c>
      <c r="AX920" t="s">
        <v>74</v>
      </c>
      <c r="AY920" t="s">
        <v>74</v>
      </c>
      <c r="AZ920" t="s">
        <v>74</v>
      </c>
      <c r="BA920" t="s">
        <v>74</v>
      </c>
      <c r="BB920" t="s">
        <v>74</v>
      </c>
      <c r="BC920" t="s">
        <v>74</v>
      </c>
      <c r="BD920">
        <v>115547</v>
      </c>
      <c r="BE920" t="s">
        <v>16687</v>
      </c>
      <c r="BF920" t="str">
        <f>HYPERLINK("http://dx.doi.org/10.1016/j.bios.2023.115547","http://dx.doi.org/10.1016/j.bios.2023.115547")</f>
        <v>http://dx.doi.org/10.1016/j.bios.2023.115547</v>
      </c>
      <c r="BG920" t="s">
        <v>74</v>
      </c>
      <c r="BH920" t="s">
        <v>74</v>
      </c>
      <c r="BI920">
        <v>9</v>
      </c>
      <c r="BJ920" t="s">
        <v>7883</v>
      </c>
      <c r="BK920" t="s">
        <v>100</v>
      </c>
      <c r="BL920" t="s">
        <v>7884</v>
      </c>
      <c r="BM920" t="s">
        <v>16688</v>
      </c>
      <c r="BN920">
        <v>37515947</v>
      </c>
      <c r="BO920" t="s">
        <v>74</v>
      </c>
      <c r="BP920" t="s">
        <v>74</v>
      </c>
      <c r="BQ920" t="s">
        <v>74</v>
      </c>
      <c r="BR920" t="s">
        <v>104</v>
      </c>
      <c r="BS920" t="s">
        <v>16689</v>
      </c>
      <c r="BT920" t="str">
        <f>HYPERLINK("https%3A%2F%2Fwww.webofscience.com%2Fwos%2Fwoscc%2Ffull-record%2FWOS:001047006900001","View Full Record in Web of Science")</f>
        <v>View Full Record in Web of Science</v>
      </c>
    </row>
    <row r="921" spans="1:72" x14ac:dyDescent="0.15">
      <c r="A921" t="s">
        <v>72</v>
      </c>
      <c r="B921" t="s">
        <v>16690</v>
      </c>
      <c r="C921" t="s">
        <v>74</v>
      </c>
      <c r="D921" t="s">
        <v>74</v>
      </c>
      <c r="E921" t="s">
        <v>74</v>
      </c>
      <c r="F921" t="s">
        <v>16691</v>
      </c>
      <c r="G921" t="s">
        <v>74</v>
      </c>
      <c r="H921" t="s">
        <v>74</v>
      </c>
      <c r="I921" t="s">
        <v>16692</v>
      </c>
      <c r="J921" t="s">
        <v>16693</v>
      </c>
      <c r="K921" t="s">
        <v>74</v>
      </c>
      <c r="L921" t="s">
        <v>74</v>
      </c>
      <c r="M921" t="s">
        <v>78</v>
      </c>
      <c r="N921" t="s">
        <v>8335</v>
      </c>
      <c r="O921" t="s">
        <v>74</v>
      </c>
      <c r="P921" t="s">
        <v>74</v>
      </c>
      <c r="Q921" t="s">
        <v>74</v>
      </c>
      <c r="R921" t="s">
        <v>74</v>
      </c>
      <c r="S921" t="s">
        <v>74</v>
      </c>
      <c r="T921" t="s">
        <v>16694</v>
      </c>
      <c r="U921" t="s">
        <v>16695</v>
      </c>
      <c r="V921" t="s">
        <v>16696</v>
      </c>
      <c r="W921" t="s">
        <v>16697</v>
      </c>
      <c r="X921" t="s">
        <v>16698</v>
      </c>
      <c r="Y921" t="s">
        <v>16699</v>
      </c>
      <c r="Z921" t="s">
        <v>16700</v>
      </c>
      <c r="AA921" t="s">
        <v>74</v>
      </c>
      <c r="AB921" t="s">
        <v>74</v>
      </c>
      <c r="AC921" t="s">
        <v>74</v>
      </c>
      <c r="AD921" t="s">
        <v>74</v>
      </c>
      <c r="AE921" t="s">
        <v>74</v>
      </c>
      <c r="AF921" t="s">
        <v>74</v>
      </c>
      <c r="AG921">
        <v>15</v>
      </c>
      <c r="AH921">
        <v>0</v>
      </c>
      <c r="AI921">
        <v>0</v>
      </c>
      <c r="AJ921">
        <v>2</v>
      </c>
      <c r="AK921">
        <v>2</v>
      </c>
      <c r="AL921" t="s">
        <v>90</v>
      </c>
      <c r="AM921" t="s">
        <v>91</v>
      </c>
      <c r="AN921" t="s">
        <v>92</v>
      </c>
      <c r="AO921" t="s">
        <v>16701</v>
      </c>
      <c r="AP921" t="s">
        <v>16702</v>
      </c>
      <c r="AQ921" t="s">
        <v>74</v>
      </c>
      <c r="AR921" t="s">
        <v>16703</v>
      </c>
      <c r="AS921" t="s">
        <v>16704</v>
      </c>
      <c r="AT921" t="s">
        <v>13744</v>
      </c>
      <c r="AU921">
        <v>2023</v>
      </c>
      <c r="AV921">
        <v>1870</v>
      </c>
      <c r="AW921">
        <v>7</v>
      </c>
      <c r="AX921" t="s">
        <v>74</v>
      </c>
      <c r="AY921" t="s">
        <v>74</v>
      </c>
      <c r="AZ921" t="s">
        <v>74</v>
      </c>
      <c r="BA921" t="s">
        <v>74</v>
      </c>
      <c r="BB921" t="s">
        <v>74</v>
      </c>
      <c r="BC921" t="s">
        <v>74</v>
      </c>
      <c r="BD921">
        <v>119502</v>
      </c>
      <c r="BE921" t="s">
        <v>16705</v>
      </c>
      <c r="BF921" t="str">
        <f>HYPERLINK("http://dx.doi.org/10.1016/j.bbamcr.2023.119502","http://dx.doi.org/10.1016/j.bbamcr.2023.119502")</f>
        <v>http://dx.doi.org/10.1016/j.bbamcr.2023.119502</v>
      </c>
      <c r="BG921" t="s">
        <v>74</v>
      </c>
      <c r="BH921" t="s">
        <v>74</v>
      </c>
      <c r="BI921">
        <v>3</v>
      </c>
      <c r="BJ921" t="s">
        <v>16706</v>
      </c>
      <c r="BK921" t="s">
        <v>100</v>
      </c>
      <c r="BL921" t="s">
        <v>16706</v>
      </c>
      <c r="BM921" t="s">
        <v>16707</v>
      </c>
      <c r="BN921">
        <v>37268023</v>
      </c>
      <c r="BO921" t="s">
        <v>74</v>
      </c>
      <c r="BP921" t="s">
        <v>74</v>
      </c>
      <c r="BQ921" t="s">
        <v>74</v>
      </c>
      <c r="BR921" t="s">
        <v>104</v>
      </c>
      <c r="BS921" t="s">
        <v>16708</v>
      </c>
      <c r="BT921" t="str">
        <f>HYPERLINK("https%3A%2F%2Fwww.webofscience.com%2Fwos%2Fwoscc%2Ffull-record%2FWOS:001059161000001","View Full Record in Web of Science")</f>
        <v>View Full Record in Web of Science</v>
      </c>
    </row>
    <row r="922" spans="1:72" x14ac:dyDescent="0.15">
      <c r="A922" t="s">
        <v>72</v>
      </c>
      <c r="B922" t="s">
        <v>16709</v>
      </c>
      <c r="C922" t="s">
        <v>74</v>
      </c>
      <c r="D922" t="s">
        <v>74</v>
      </c>
      <c r="E922" t="s">
        <v>74</v>
      </c>
      <c r="F922" t="s">
        <v>16710</v>
      </c>
      <c r="G922" t="s">
        <v>74</v>
      </c>
      <c r="H922" t="s">
        <v>74</v>
      </c>
      <c r="I922" t="s">
        <v>16711</v>
      </c>
      <c r="J922" t="s">
        <v>16712</v>
      </c>
      <c r="K922" t="s">
        <v>74</v>
      </c>
      <c r="L922" t="s">
        <v>74</v>
      </c>
      <c r="M922" t="s">
        <v>78</v>
      </c>
      <c r="N922" t="s">
        <v>79</v>
      </c>
      <c r="O922" t="s">
        <v>74</v>
      </c>
      <c r="P922" t="s">
        <v>74</v>
      </c>
      <c r="Q922" t="s">
        <v>74</v>
      </c>
      <c r="R922" t="s">
        <v>74</v>
      </c>
      <c r="S922" t="s">
        <v>74</v>
      </c>
      <c r="T922" t="s">
        <v>16713</v>
      </c>
      <c r="U922" t="s">
        <v>16714</v>
      </c>
      <c r="V922" t="s">
        <v>16715</v>
      </c>
      <c r="W922" t="s">
        <v>16716</v>
      </c>
      <c r="X922" t="s">
        <v>16717</v>
      </c>
      <c r="Y922" t="s">
        <v>16718</v>
      </c>
      <c r="Z922" t="s">
        <v>74</v>
      </c>
      <c r="AA922" t="s">
        <v>74</v>
      </c>
      <c r="AB922" t="s">
        <v>16719</v>
      </c>
      <c r="AC922" t="s">
        <v>74</v>
      </c>
      <c r="AD922" t="s">
        <v>74</v>
      </c>
      <c r="AE922" t="s">
        <v>74</v>
      </c>
      <c r="AF922" t="s">
        <v>74</v>
      </c>
      <c r="AG922">
        <v>49</v>
      </c>
      <c r="AH922">
        <v>0</v>
      </c>
      <c r="AI922">
        <v>0</v>
      </c>
      <c r="AJ922">
        <v>0</v>
      </c>
      <c r="AK922">
        <v>0</v>
      </c>
      <c r="AL922" t="s">
        <v>15993</v>
      </c>
      <c r="AM922" t="s">
        <v>555</v>
      </c>
      <c r="AN922" t="s">
        <v>15994</v>
      </c>
      <c r="AO922" t="s">
        <v>16720</v>
      </c>
      <c r="AP922" t="s">
        <v>16721</v>
      </c>
      <c r="AQ922" t="s">
        <v>74</v>
      </c>
      <c r="AR922" t="s">
        <v>16722</v>
      </c>
      <c r="AS922" t="s">
        <v>16723</v>
      </c>
      <c r="AT922" t="s">
        <v>13744</v>
      </c>
      <c r="AU922">
        <v>2023</v>
      </c>
      <c r="AV922">
        <v>111</v>
      </c>
      <c r="AW922" t="s">
        <v>74</v>
      </c>
      <c r="AX922" t="s">
        <v>74</v>
      </c>
      <c r="AY922" t="s">
        <v>74</v>
      </c>
      <c r="AZ922" t="s">
        <v>74</v>
      </c>
      <c r="BA922" t="s">
        <v>74</v>
      </c>
      <c r="BB922">
        <v>58</v>
      </c>
      <c r="BC922">
        <v>67</v>
      </c>
      <c r="BD922" t="s">
        <v>74</v>
      </c>
      <c r="BE922" t="s">
        <v>16724</v>
      </c>
      <c r="BF922" t="str">
        <f>HYPERLINK("http://dx.doi.org/10.1016/j.seizure.2023.07.016","http://dx.doi.org/10.1016/j.seizure.2023.07.016")</f>
        <v>http://dx.doi.org/10.1016/j.seizure.2023.07.016</v>
      </c>
      <c r="BG922" t="s">
        <v>74</v>
      </c>
      <c r="BH922" t="s">
        <v>74</v>
      </c>
      <c r="BI922">
        <v>10</v>
      </c>
      <c r="BJ922" t="s">
        <v>16725</v>
      </c>
      <c r="BK922" t="s">
        <v>100</v>
      </c>
      <c r="BL922" t="s">
        <v>4189</v>
      </c>
      <c r="BM922" t="s">
        <v>16726</v>
      </c>
      <c r="BN922">
        <v>37536152</v>
      </c>
      <c r="BO922" t="s">
        <v>74</v>
      </c>
      <c r="BP922" t="s">
        <v>74</v>
      </c>
      <c r="BQ922" t="s">
        <v>74</v>
      </c>
      <c r="BR922" t="s">
        <v>104</v>
      </c>
      <c r="BS922" t="s">
        <v>16727</v>
      </c>
      <c r="BT922" t="str">
        <f>HYPERLINK("https%3A%2F%2Fwww.webofscience.com%2Fwos%2Fwoscc%2Ffull-record%2FWOS:001069243000001","View Full Record in Web of Science")</f>
        <v>View Full Record in Web of Science</v>
      </c>
    </row>
    <row r="923" spans="1:72" x14ac:dyDescent="0.15">
      <c r="A923" t="s">
        <v>72</v>
      </c>
      <c r="B923" t="s">
        <v>16728</v>
      </c>
      <c r="C923" t="s">
        <v>74</v>
      </c>
      <c r="D923" t="s">
        <v>74</v>
      </c>
      <c r="E923" t="s">
        <v>74</v>
      </c>
      <c r="F923" t="s">
        <v>16729</v>
      </c>
      <c r="G923" t="s">
        <v>74</v>
      </c>
      <c r="H923" t="s">
        <v>16730</v>
      </c>
      <c r="I923" t="s">
        <v>16731</v>
      </c>
      <c r="J923" t="s">
        <v>16732</v>
      </c>
      <c r="K923" t="s">
        <v>74</v>
      </c>
      <c r="L923" t="s">
        <v>74</v>
      </c>
      <c r="M923" t="s">
        <v>78</v>
      </c>
      <c r="N923" t="s">
        <v>79</v>
      </c>
      <c r="O923" t="s">
        <v>74</v>
      </c>
      <c r="P923" t="s">
        <v>74</v>
      </c>
      <c r="Q923" t="s">
        <v>74</v>
      </c>
      <c r="R923" t="s">
        <v>74</v>
      </c>
      <c r="S923" t="s">
        <v>74</v>
      </c>
      <c r="T923" t="s">
        <v>16733</v>
      </c>
      <c r="U923" t="s">
        <v>16734</v>
      </c>
      <c r="V923" t="s">
        <v>16735</v>
      </c>
      <c r="W923" t="s">
        <v>16736</v>
      </c>
      <c r="X923" t="s">
        <v>16737</v>
      </c>
      <c r="Y923" t="s">
        <v>16738</v>
      </c>
      <c r="Z923" t="s">
        <v>16739</v>
      </c>
      <c r="AA923" t="s">
        <v>74</v>
      </c>
      <c r="AB923" t="s">
        <v>16740</v>
      </c>
      <c r="AC923" t="s">
        <v>16741</v>
      </c>
      <c r="AD923" t="s">
        <v>16741</v>
      </c>
      <c r="AE923" t="s">
        <v>16742</v>
      </c>
      <c r="AF923" t="s">
        <v>74</v>
      </c>
      <c r="AG923">
        <v>54</v>
      </c>
      <c r="AH923">
        <v>0</v>
      </c>
      <c r="AI923">
        <v>0</v>
      </c>
      <c r="AJ923">
        <v>0</v>
      </c>
      <c r="AK923">
        <v>0</v>
      </c>
      <c r="AL923" t="s">
        <v>147</v>
      </c>
      <c r="AM923" t="s">
        <v>148</v>
      </c>
      <c r="AN923" t="s">
        <v>149</v>
      </c>
      <c r="AO923" t="s">
        <v>16743</v>
      </c>
      <c r="AP923" t="s">
        <v>16744</v>
      </c>
      <c r="AQ923" t="s">
        <v>74</v>
      </c>
      <c r="AR923" t="s">
        <v>16745</v>
      </c>
      <c r="AS923" t="s">
        <v>16746</v>
      </c>
      <c r="AT923" t="s">
        <v>13744</v>
      </c>
      <c r="AU923">
        <v>2023</v>
      </c>
      <c r="AV923">
        <v>86</v>
      </c>
      <c r="AW923" t="s">
        <v>74</v>
      </c>
      <c r="AX923" t="s">
        <v>74</v>
      </c>
      <c r="AY923" t="s">
        <v>74</v>
      </c>
      <c r="AZ923" t="s">
        <v>74</v>
      </c>
      <c r="BA923" t="s">
        <v>74</v>
      </c>
      <c r="BB923">
        <v>1</v>
      </c>
      <c r="BC923">
        <v>7</v>
      </c>
      <c r="BD923" t="s">
        <v>74</v>
      </c>
      <c r="BE923" t="s">
        <v>16747</v>
      </c>
      <c r="BF923" t="str">
        <f>HYPERLINK("http://dx.doi.org/10.1016/j.annepidem.2023.07.009","http://dx.doi.org/10.1016/j.annepidem.2023.07.009")</f>
        <v>http://dx.doi.org/10.1016/j.annepidem.2023.07.009</v>
      </c>
      <c r="BG923" t="s">
        <v>74</v>
      </c>
      <c r="BH923" t="s">
        <v>74</v>
      </c>
      <c r="BI923">
        <v>7</v>
      </c>
      <c r="BJ923" t="s">
        <v>14177</v>
      </c>
      <c r="BK923" t="s">
        <v>100</v>
      </c>
      <c r="BL923" t="s">
        <v>14177</v>
      </c>
      <c r="BM923" t="s">
        <v>16748</v>
      </c>
      <c r="BN923">
        <v>37524216</v>
      </c>
      <c r="BO923" t="s">
        <v>295</v>
      </c>
      <c r="BP923" t="s">
        <v>74</v>
      </c>
      <c r="BQ923" t="s">
        <v>74</v>
      </c>
      <c r="BR923" t="s">
        <v>104</v>
      </c>
      <c r="BS923" t="s">
        <v>16749</v>
      </c>
      <c r="BT923" t="str">
        <f>HYPERLINK("https%3A%2F%2Fwww.webofscience.com%2Fwos%2Fwoscc%2Ffull-record%2FWOS:001065054800001","View Full Record in Web of Science")</f>
        <v>View Full Record in Web of Science</v>
      </c>
    </row>
    <row r="924" spans="1:72" x14ac:dyDescent="0.15">
      <c r="A924" t="s">
        <v>72</v>
      </c>
      <c r="B924" t="s">
        <v>16750</v>
      </c>
      <c r="C924" t="s">
        <v>74</v>
      </c>
      <c r="D924" t="s">
        <v>74</v>
      </c>
      <c r="E924" t="s">
        <v>74</v>
      </c>
      <c r="F924" t="s">
        <v>16751</v>
      </c>
      <c r="G924" t="s">
        <v>74</v>
      </c>
      <c r="H924" t="s">
        <v>74</v>
      </c>
      <c r="I924" t="s">
        <v>16752</v>
      </c>
      <c r="J924" t="s">
        <v>16753</v>
      </c>
      <c r="K924" t="s">
        <v>74</v>
      </c>
      <c r="L924" t="s">
        <v>74</v>
      </c>
      <c r="M924" t="s">
        <v>78</v>
      </c>
      <c r="N924" t="s">
        <v>79</v>
      </c>
      <c r="O924" t="s">
        <v>74</v>
      </c>
      <c r="P924" t="s">
        <v>74</v>
      </c>
      <c r="Q924" t="s">
        <v>74</v>
      </c>
      <c r="R924" t="s">
        <v>74</v>
      </c>
      <c r="S924" t="s">
        <v>74</v>
      </c>
      <c r="T924" t="s">
        <v>16754</v>
      </c>
      <c r="U924" t="s">
        <v>16755</v>
      </c>
      <c r="V924" t="s">
        <v>16756</v>
      </c>
      <c r="W924" t="s">
        <v>16757</v>
      </c>
      <c r="X924" t="s">
        <v>16758</v>
      </c>
      <c r="Y924" t="s">
        <v>16759</v>
      </c>
      <c r="Z924" t="s">
        <v>16760</v>
      </c>
      <c r="AA924" t="s">
        <v>74</v>
      </c>
      <c r="AB924" t="s">
        <v>16761</v>
      </c>
      <c r="AC924" t="s">
        <v>16762</v>
      </c>
      <c r="AD924" t="s">
        <v>16763</v>
      </c>
      <c r="AE924" t="s">
        <v>16764</v>
      </c>
      <c r="AF924" t="s">
        <v>74</v>
      </c>
      <c r="AG924">
        <v>19</v>
      </c>
      <c r="AH924">
        <v>0</v>
      </c>
      <c r="AI924">
        <v>0</v>
      </c>
      <c r="AJ924">
        <v>1</v>
      </c>
      <c r="AK924">
        <v>1</v>
      </c>
      <c r="AL924" t="s">
        <v>147</v>
      </c>
      <c r="AM924" t="s">
        <v>148</v>
      </c>
      <c r="AN924" t="s">
        <v>149</v>
      </c>
      <c r="AO924" t="s">
        <v>16765</v>
      </c>
      <c r="AP924" t="s">
        <v>16766</v>
      </c>
      <c r="AQ924" t="s">
        <v>74</v>
      </c>
      <c r="AR924" t="s">
        <v>16767</v>
      </c>
      <c r="AS924" t="s">
        <v>16768</v>
      </c>
      <c r="AT924" t="s">
        <v>13744</v>
      </c>
      <c r="AU924">
        <v>2023</v>
      </c>
      <c r="AV924">
        <v>256</v>
      </c>
      <c r="AW924" t="s">
        <v>74</v>
      </c>
      <c r="AX924" t="s">
        <v>74</v>
      </c>
      <c r="AY924" t="s">
        <v>74</v>
      </c>
      <c r="AZ924" t="s">
        <v>74</v>
      </c>
      <c r="BA924" t="s">
        <v>74</v>
      </c>
      <c r="BB924" t="s">
        <v>74</v>
      </c>
      <c r="BC924" t="s">
        <v>74</v>
      </c>
      <c r="BD924">
        <v>112951</v>
      </c>
      <c r="BE924" t="s">
        <v>16769</v>
      </c>
      <c r="BF924" t="str">
        <f>HYPERLINK("http://dx.doi.org/10.1016/j.combustflame.2023.112951","http://dx.doi.org/10.1016/j.combustflame.2023.112951")</f>
        <v>http://dx.doi.org/10.1016/j.combustflame.2023.112951</v>
      </c>
      <c r="BG924" t="s">
        <v>74</v>
      </c>
      <c r="BH924" t="s">
        <v>74</v>
      </c>
      <c r="BI924">
        <v>3</v>
      </c>
      <c r="BJ924" t="s">
        <v>16770</v>
      </c>
      <c r="BK924" t="s">
        <v>100</v>
      </c>
      <c r="BL924" t="s">
        <v>16771</v>
      </c>
      <c r="BM924" t="s">
        <v>16772</v>
      </c>
      <c r="BN924" t="s">
        <v>74</v>
      </c>
      <c r="BO924" t="s">
        <v>74</v>
      </c>
      <c r="BP924" t="s">
        <v>74</v>
      </c>
      <c r="BQ924" t="s">
        <v>74</v>
      </c>
      <c r="BR924" t="s">
        <v>104</v>
      </c>
      <c r="BS924" t="s">
        <v>16773</v>
      </c>
      <c r="BT924" t="str">
        <f>HYPERLINK("https%3A%2F%2Fwww.webofscience.com%2Fwos%2Fwoscc%2Ffull-record%2FWOS:001047071700001","View Full Record in Web of Science")</f>
        <v>View Full Record in Web of Science</v>
      </c>
    </row>
    <row r="925" spans="1:72" x14ac:dyDescent="0.15">
      <c r="A925" t="s">
        <v>72</v>
      </c>
      <c r="B925" t="s">
        <v>16774</v>
      </c>
      <c r="C925" t="s">
        <v>74</v>
      </c>
      <c r="D925" t="s">
        <v>74</v>
      </c>
      <c r="E925" t="s">
        <v>74</v>
      </c>
      <c r="F925" t="s">
        <v>16775</v>
      </c>
      <c r="G925" t="s">
        <v>74</v>
      </c>
      <c r="H925" t="s">
        <v>74</v>
      </c>
      <c r="I925" t="s">
        <v>16776</v>
      </c>
      <c r="J925" t="s">
        <v>12526</v>
      </c>
      <c r="K925" t="s">
        <v>74</v>
      </c>
      <c r="L925" t="s">
        <v>74</v>
      </c>
      <c r="M925" t="s">
        <v>78</v>
      </c>
      <c r="N925" t="s">
        <v>79</v>
      </c>
      <c r="O925" t="s">
        <v>74</v>
      </c>
      <c r="P925" t="s">
        <v>74</v>
      </c>
      <c r="Q925" t="s">
        <v>74</v>
      </c>
      <c r="R925" t="s">
        <v>74</v>
      </c>
      <c r="S925" t="s">
        <v>74</v>
      </c>
      <c r="T925" t="s">
        <v>16777</v>
      </c>
      <c r="U925" t="s">
        <v>16778</v>
      </c>
      <c r="V925" t="s">
        <v>16779</v>
      </c>
      <c r="W925" t="s">
        <v>16780</v>
      </c>
      <c r="X925" t="s">
        <v>16781</v>
      </c>
      <c r="Y925" t="s">
        <v>16782</v>
      </c>
      <c r="Z925" t="s">
        <v>16783</v>
      </c>
      <c r="AA925" t="s">
        <v>16784</v>
      </c>
      <c r="AB925" t="s">
        <v>16785</v>
      </c>
      <c r="AC925" t="s">
        <v>16786</v>
      </c>
      <c r="AD925" t="s">
        <v>16787</v>
      </c>
      <c r="AE925" t="s">
        <v>16788</v>
      </c>
      <c r="AF925" t="s">
        <v>74</v>
      </c>
      <c r="AG925">
        <v>49</v>
      </c>
      <c r="AH925">
        <v>0</v>
      </c>
      <c r="AI925">
        <v>0</v>
      </c>
      <c r="AJ925">
        <v>6</v>
      </c>
      <c r="AK925">
        <v>6</v>
      </c>
      <c r="AL925" t="s">
        <v>955</v>
      </c>
      <c r="AM925" t="s">
        <v>956</v>
      </c>
      <c r="AN925" t="s">
        <v>957</v>
      </c>
      <c r="AO925" t="s">
        <v>12538</v>
      </c>
      <c r="AP925" t="s">
        <v>12539</v>
      </c>
      <c r="AQ925" t="s">
        <v>74</v>
      </c>
      <c r="AR925" t="s">
        <v>12540</v>
      </c>
      <c r="AS925" t="s">
        <v>12541</v>
      </c>
      <c r="AT925" t="s">
        <v>13778</v>
      </c>
      <c r="AU925">
        <v>2023</v>
      </c>
      <c r="AV925">
        <v>307</v>
      </c>
      <c r="AW925" t="s">
        <v>74</v>
      </c>
      <c r="AX925" t="s">
        <v>74</v>
      </c>
      <c r="AY925" t="s">
        <v>74</v>
      </c>
      <c r="AZ925" t="s">
        <v>74</v>
      </c>
      <c r="BA925" t="s">
        <v>74</v>
      </c>
      <c r="BB925" t="s">
        <v>74</v>
      </c>
      <c r="BC925" t="s">
        <v>74</v>
      </c>
      <c r="BD925">
        <v>128161</v>
      </c>
      <c r="BE925" t="s">
        <v>16789</v>
      </c>
      <c r="BF925" t="str">
        <f>HYPERLINK("http://dx.doi.org/10.1016/j.matchemphys.2023.128161","http://dx.doi.org/10.1016/j.matchemphys.2023.128161")</f>
        <v>http://dx.doi.org/10.1016/j.matchemphys.2023.128161</v>
      </c>
      <c r="BG925" t="s">
        <v>74</v>
      </c>
      <c r="BH925" t="s">
        <v>74</v>
      </c>
      <c r="BI925">
        <v>9</v>
      </c>
      <c r="BJ925" t="s">
        <v>1111</v>
      </c>
      <c r="BK925" t="s">
        <v>100</v>
      </c>
      <c r="BL925" t="s">
        <v>1112</v>
      </c>
      <c r="BM925" t="s">
        <v>16790</v>
      </c>
      <c r="BN925" t="s">
        <v>74</v>
      </c>
      <c r="BO925" t="s">
        <v>74</v>
      </c>
      <c r="BP925" t="s">
        <v>74</v>
      </c>
      <c r="BQ925" t="s">
        <v>74</v>
      </c>
      <c r="BR925" t="s">
        <v>104</v>
      </c>
      <c r="BS925" t="s">
        <v>16791</v>
      </c>
      <c r="BT925" t="str">
        <f>HYPERLINK("https%3A%2F%2Fwww.webofscience.com%2Fwos%2Fwoscc%2Ffull-record%2FWOS:001050130200001","View Full Record in Web of Science")</f>
        <v>View Full Record in Web of Science</v>
      </c>
    </row>
    <row r="926" spans="1:72" x14ac:dyDescent="0.15">
      <c r="A926" t="s">
        <v>72</v>
      </c>
      <c r="B926" t="s">
        <v>16792</v>
      </c>
      <c r="C926" t="s">
        <v>74</v>
      </c>
      <c r="D926" t="s">
        <v>74</v>
      </c>
      <c r="E926" t="s">
        <v>74</v>
      </c>
      <c r="F926" t="s">
        <v>16793</v>
      </c>
      <c r="G926" t="s">
        <v>74</v>
      </c>
      <c r="H926" t="s">
        <v>74</v>
      </c>
      <c r="I926" t="s">
        <v>16794</v>
      </c>
      <c r="J926" t="s">
        <v>16795</v>
      </c>
      <c r="K926" t="s">
        <v>74</v>
      </c>
      <c r="L926" t="s">
        <v>74</v>
      </c>
      <c r="M926" t="s">
        <v>78</v>
      </c>
      <c r="N926" t="s">
        <v>79</v>
      </c>
      <c r="O926" t="s">
        <v>74</v>
      </c>
      <c r="P926" t="s">
        <v>74</v>
      </c>
      <c r="Q926" t="s">
        <v>74</v>
      </c>
      <c r="R926" t="s">
        <v>74</v>
      </c>
      <c r="S926" t="s">
        <v>74</v>
      </c>
      <c r="T926" t="s">
        <v>16796</v>
      </c>
      <c r="U926" t="s">
        <v>16797</v>
      </c>
      <c r="V926" t="s">
        <v>16798</v>
      </c>
      <c r="W926" t="s">
        <v>16799</v>
      </c>
      <c r="X926" t="s">
        <v>16800</v>
      </c>
      <c r="Y926" t="s">
        <v>16801</v>
      </c>
      <c r="Z926" t="s">
        <v>16802</v>
      </c>
      <c r="AA926" t="s">
        <v>74</v>
      </c>
      <c r="AB926" t="s">
        <v>74</v>
      </c>
      <c r="AC926" t="s">
        <v>16803</v>
      </c>
      <c r="AD926" t="s">
        <v>16804</v>
      </c>
      <c r="AE926" t="s">
        <v>16805</v>
      </c>
      <c r="AF926" t="s">
        <v>74</v>
      </c>
      <c r="AG926">
        <v>38</v>
      </c>
      <c r="AH926">
        <v>0</v>
      </c>
      <c r="AI926">
        <v>0</v>
      </c>
      <c r="AJ926">
        <v>1</v>
      </c>
      <c r="AK926">
        <v>1</v>
      </c>
      <c r="AL926" t="s">
        <v>90</v>
      </c>
      <c r="AM926" t="s">
        <v>91</v>
      </c>
      <c r="AN926" t="s">
        <v>92</v>
      </c>
      <c r="AO926" t="s">
        <v>16806</v>
      </c>
      <c r="AP926" t="s">
        <v>16807</v>
      </c>
      <c r="AQ926" t="s">
        <v>74</v>
      </c>
      <c r="AR926" t="s">
        <v>16808</v>
      </c>
      <c r="AS926" t="s">
        <v>16809</v>
      </c>
      <c r="AT926" t="s">
        <v>13744</v>
      </c>
      <c r="AU926">
        <v>2023</v>
      </c>
      <c r="AV926">
        <v>1867</v>
      </c>
      <c r="AW926">
        <v>10</v>
      </c>
      <c r="AX926" t="s">
        <v>74</v>
      </c>
      <c r="AY926" t="s">
        <v>74</v>
      </c>
      <c r="AZ926" t="s">
        <v>74</v>
      </c>
      <c r="BA926" t="s">
        <v>74</v>
      </c>
      <c r="BB926" t="s">
        <v>74</v>
      </c>
      <c r="BC926" t="s">
        <v>74</v>
      </c>
      <c r="BD926">
        <v>130428</v>
      </c>
      <c r="BE926" t="s">
        <v>16810</v>
      </c>
      <c r="BF926" t="str">
        <f>HYPERLINK("http://dx.doi.org/10.1016/j.bbagen.2023.130428","http://dx.doi.org/10.1016/j.bbagen.2023.130428")</f>
        <v>http://dx.doi.org/10.1016/j.bbagen.2023.130428</v>
      </c>
      <c r="BG926" t="s">
        <v>74</v>
      </c>
      <c r="BH926" t="s">
        <v>74</v>
      </c>
      <c r="BI926">
        <v>6</v>
      </c>
      <c r="BJ926" t="s">
        <v>3342</v>
      </c>
      <c r="BK926" t="s">
        <v>100</v>
      </c>
      <c r="BL926" t="s">
        <v>3342</v>
      </c>
      <c r="BM926" t="s">
        <v>16811</v>
      </c>
      <c r="BN926">
        <v>37488010</v>
      </c>
      <c r="BO926" t="s">
        <v>74</v>
      </c>
      <c r="BP926" t="s">
        <v>74</v>
      </c>
      <c r="BQ926" t="s">
        <v>74</v>
      </c>
      <c r="BR926" t="s">
        <v>104</v>
      </c>
      <c r="BS926" t="s">
        <v>16812</v>
      </c>
      <c r="BT926" t="str">
        <f>HYPERLINK("https%3A%2F%2Fwww.webofscience.com%2Fwos%2Fwoscc%2Ffull-record%2FWOS:001057537700001","View Full Record in Web of Science")</f>
        <v>View Full Record in Web of Science</v>
      </c>
    </row>
    <row r="927" spans="1:72" x14ac:dyDescent="0.15">
      <c r="A927" t="s">
        <v>72</v>
      </c>
      <c r="B927" t="s">
        <v>16813</v>
      </c>
      <c r="C927" t="s">
        <v>74</v>
      </c>
      <c r="D927" t="s">
        <v>74</v>
      </c>
      <c r="E927" t="s">
        <v>74</v>
      </c>
      <c r="F927" t="s">
        <v>16814</v>
      </c>
      <c r="G927" t="s">
        <v>74</v>
      </c>
      <c r="H927" t="s">
        <v>74</v>
      </c>
      <c r="I927" t="s">
        <v>16815</v>
      </c>
      <c r="J927" t="s">
        <v>16816</v>
      </c>
      <c r="K927" t="s">
        <v>74</v>
      </c>
      <c r="L927" t="s">
        <v>74</v>
      </c>
      <c r="M927" t="s">
        <v>78</v>
      </c>
      <c r="N927" t="s">
        <v>79</v>
      </c>
      <c r="O927" t="s">
        <v>74</v>
      </c>
      <c r="P927" t="s">
        <v>74</v>
      </c>
      <c r="Q927" t="s">
        <v>74</v>
      </c>
      <c r="R927" t="s">
        <v>74</v>
      </c>
      <c r="S927" t="s">
        <v>74</v>
      </c>
      <c r="T927" t="s">
        <v>16817</v>
      </c>
      <c r="U927" t="s">
        <v>16818</v>
      </c>
      <c r="V927" t="s">
        <v>16819</v>
      </c>
      <c r="W927" t="s">
        <v>16820</v>
      </c>
      <c r="X927" t="s">
        <v>16821</v>
      </c>
      <c r="Y927" t="s">
        <v>16822</v>
      </c>
      <c r="Z927" t="s">
        <v>16823</v>
      </c>
      <c r="AA927" t="s">
        <v>74</v>
      </c>
      <c r="AB927" t="s">
        <v>74</v>
      </c>
      <c r="AC927" t="s">
        <v>74</v>
      </c>
      <c r="AD927" t="s">
        <v>74</v>
      </c>
      <c r="AE927" t="s">
        <v>74</v>
      </c>
      <c r="AF927" t="s">
        <v>74</v>
      </c>
      <c r="AG927">
        <v>28</v>
      </c>
      <c r="AH927">
        <v>0</v>
      </c>
      <c r="AI927">
        <v>0</v>
      </c>
      <c r="AJ927">
        <v>0</v>
      </c>
      <c r="AK927">
        <v>0</v>
      </c>
      <c r="AL927" t="s">
        <v>173</v>
      </c>
      <c r="AM927" t="s">
        <v>121</v>
      </c>
      <c r="AN927" t="s">
        <v>174</v>
      </c>
      <c r="AO927" t="s">
        <v>16824</v>
      </c>
      <c r="AP927" t="s">
        <v>16825</v>
      </c>
      <c r="AQ927" t="s">
        <v>74</v>
      </c>
      <c r="AR927" t="s">
        <v>16826</v>
      </c>
      <c r="AS927" t="s">
        <v>16827</v>
      </c>
      <c r="AT927" t="s">
        <v>13744</v>
      </c>
      <c r="AU927">
        <v>2023</v>
      </c>
      <c r="AV927">
        <v>132</v>
      </c>
      <c r="AW927" t="s">
        <v>74</v>
      </c>
      <c r="AX927" t="s">
        <v>74</v>
      </c>
      <c r="AY927" t="s">
        <v>74</v>
      </c>
      <c r="AZ927" t="s">
        <v>74</v>
      </c>
      <c r="BA927" t="s">
        <v>74</v>
      </c>
      <c r="BB927" t="s">
        <v>74</v>
      </c>
      <c r="BC927" t="s">
        <v>74</v>
      </c>
      <c r="BD927">
        <v>104166</v>
      </c>
      <c r="BE927" t="s">
        <v>16828</v>
      </c>
      <c r="BF927" t="str">
        <f>HYPERLINK("http://dx.doi.org/10.1016/j.mechrescom.2023.104166","http://dx.doi.org/10.1016/j.mechrescom.2023.104166")</f>
        <v>http://dx.doi.org/10.1016/j.mechrescom.2023.104166</v>
      </c>
      <c r="BG927" t="s">
        <v>74</v>
      </c>
      <c r="BH927" t="s">
        <v>74</v>
      </c>
      <c r="BI927">
        <v>7</v>
      </c>
      <c r="BJ927" t="s">
        <v>10546</v>
      </c>
      <c r="BK927" t="s">
        <v>100</v>
      </c>
      <c r="BL927" t="s">
        <v>10546</v>
      </c>
      <c r="BM927" t="s">
        <v>16829</v>
      </c>
      <c r="BN927" t="s">
        <v>74</v>
      </c>
      <c r="BO927" t="s">
        <v>74</v>
      </c>
      <c r="BP927" t="s">
        <v>74</v>
      </c>
      <c r="BQ927" t="s">
        <v>74</v>
      </c>
      <c r="BR927" t="s">
        <v>104</v>
      </c>
      <c r="BS927" t="s">
        <v>16830</v>
      </c>
      <c r="BT927" t="str">
        <f>HYPERLINK("https%3A%2F%2Fwww.webofscience.com%2Fwos%2Fwoscc%2Ffull-record%2FWOS:001059960200001","View Full Record in Web of Science")</f>
        <v>View Full Record in Web of Science</v>
      </c>
    </row>
    <row r="928" spans="1:72" x14ac:dyDescent="0.15">
      <c r="A928" t="s">
        <v>72</v>
      </c>
      <c r="B928" t="s">
        <v>16831</v>
      </c>
      <c r="C928" t="s">
        <v>74</v>
      </c>
      <c r="D928" t="s">
        <v>74</v>
      </c>
      <c r="E928" t="s">
        <v>74</v>
      </c>
      <c r="F928" t="s">
        <v>16832</v>
      </c>
      <c r="G928" t="s">
        <v>74</v>
      </c>
      <c r="H928" t="s">
        <v>74</v>
      </c>
      <c r="I928" t="s">
        <v>16833</v>
      </c>
      <c r="J928" t="s">
        <v>6645</v>
      </c>
      <c r="K928" t="s">
        <v>74</v>
      </c>
      <c r="L928" t="s">
        <v>74</v>
      </c>
      <c r="M928" t="s">
        <v>78</v>
      </c>
      <c r="N928" t="s">
        <v>79</v>
      </c>
      <c r="O928" t="s">
        <v>74</v>
      </c>
      <c r="P928" t="s">
        <v>74</v>
      </c>
      <c r="Q928" t="s">
        <v>74</v>
      </c>
      <c r="R928" t="s">
        <v>74</v>
      </c>
      <c r="S928" t="s">
        <v>74</v>
      </c>
      <c r="T928" t="s">
        <v>16834</v>
      </c>
      <c r="U928" t="s">
        <v>16835</v>
      </c>
      <c r="V928" t="s">
        <v>16836</v>
      </c>
      <c r="W928" t="s">
        <v>16837</v>
      </c>
      <c r="X928" t="s">
        <v>16838</v>
      </c>
      <c r="Y928" t="s">
        <v>16839</v>
      </c>
      <c r="Z928" t="s">
        <v>16840</v>
      </c>
      <c r="AA928" t="s">
        <v>16841</v>
      </c>
      <c r="AB928" t="s">
        <v>16842</v>
      </c>
      <c r="AC928" t="s">
        <v>74</v>
      </c>
      <c r="AD928" t="s">
        <v>74</v>
      </c>
      <c r="AE928" t="s">
        <v>74</v>
      </c>
      <c r="AF928" t="s">
        <v>74</v>
      </c>
      <c r="AG928">
        <v>36</v>
      </c>
      <c r="AH928">
        <v>1</v>
      </c>
      <c r="AI928">
        <v>1</v>
      </c>
      <c r="AJ928">
        <v>4</v>
      </c>
      <c r="AK928">
        <v>4</v>
      </c>
      <c r="AL928" t="s">
        <v>90</v>
      </c>
      <c r="AM928" t="s">
        <v>91</v>
      </c>
      <c r="AN928" t="s">
        <v>92</v>
      </c>
      <c r="AO928" t="s">
        <v>74</v>
      </c>
      <c r="AP928" t="s">
        <v>6656</v>
      </c>
      <c r="AQ928" t="s">
        <v>74</v>
      </c>
      <c r="AR928" t="s">
        <v>6657</v>
      </c>
      <c r="AS928" t="s">
        <v>6658</v>
      </c>
      <c r="AT928" t="s">
        <v>13778</v>
      </c>
      <c r="AU928">
        <v>2023</v>
      </c>
      <c r="AV928">
        <v>76</v>
      </c>
      <c r="AW928" t="s">
        <v>74</v>
      </c>
      <c r="AX928" t="s">
        <v>74</v>
      </c>
      <c r="AY928" t="s">
        <v>74</v>
      </c>
      <c r="AZ928" t="s">
        <v>74</v>
      </c>
      <c r="BA928" t="s">
        <v>74</v>
      </c>
      <c r="BB928" t="s">
        <v>74</v>
      </c>
      <c r="BC928" t="s">
        <v>74</v>
      </c>
      <c r="BD928">
        <v>107316</v>
      </c>
      <c r="BE928" t="s">
        <v>16843</v>
      </c>
      <c r="BF928" t="str">
        <f>HYPERLINK("http://dx.doi.org/10.1016/j.jobe.2023.107316","http://dx.doi.org/10.1016/j.jobe.2023.107316")</f>
        <v>http://dx.doi.org/10.1016/j.jobe.2023.107316</v>
      </c>
      <c r="BG928" t="s">
        <v>74</v>
      </c>
      <c r="BH928" t="s">
        <v>74</v>
      </c>
      <c r="BI928">
        <v>13</v>
      </c>
      <c r="BJ928" t="s">
        <v>3898</v>
      </c>
      <c r="BK928" t="s">
        <v>100</v>
      </c>
      <c r="BL928" t="s">
        <v>3899</v>
      </c>
      <c r="BM928" t="s">
        <v>16844</v>
      </c>
      <c r="BN928" t="s">
        <v>74</v>
      </c>
      <c r="BO928" t="s">
        <v>74</v>
      </c>
      <c r="BP928" t="s">
        <v>74</v>
      </c>
      <c r="BQ928" t="s">
        <v>74</v>
      </c>
      <c r="BR928" t="s">
        <v>104</v>
      </c>
      <c r="BS928" t="s">
        <v>16845</v>
      </c>
      <c r="BT928" t="str">
        <f>HYPERLINK("https%3A%2F%2Fwww.webofscience.com%2Fwos%2Fwoscc%2Ffull-record%2FWOS:001045942400001","View Full Record in Web of Science")</f>
        <v>View Full Record in Web of Science</v>
      </c>
    </row>
    <row r="929" spans="1:72" x14ac:dyDescent="0.15">
      <c r="A929" t="s">
        <v>72</v>
      </c>
      <c r="B929" t="s">
        <v>16846</v>
      </c>
      <c r="C929" t="s">
        <v>74</v>
      </c>
      <c r="D929" t="s">
        <v>74</v>
      </c>
      <c r="E929" t="s">
        <v>74</v>
      </c>
      <c r="F929" t="s">
        <v>16847</v>
      </c>
      <c r="G929" t="s">
        <v>74</v>
      </c>
      <c r="H929" t="s">
        <v>74</v>
      </c>
      <c r="I929" t="s">
        <v>16848</v>
      </c>
      <c r="J929" t="s">
        <v>7809</v>
      </c>
      <c r="K929" t="s">
        <v>74</v>
      </c>
      <c r="L929" t="s">
        <v>74</v>
      </c>
      <c r="M929" t="s">
        <v>78</v>
      </c>
      <c r="N929" t="s">
        <v>79</v>
      </c>
      <c r="O929" t="s">
        <v>74</v>
      </c>
      <c r="P929" t="s">
        <v>74</v>
      </c>
      <c r="Q929" t="s">
        <v>74</v>
      </c>
      <c r="R929" t="s">
        <v>74</v>
      </c>
      <c r="S929" t="s">
        <v>74</v>
      </c>
      <c r="T929" t="s">
        <v>16849</v>
      </c>
      <c r="U929" t="s">
        <v>16850</v>
      </c>
      <c r="V929" t="s">
        <v>16851</v>
      </c>
      <c r="W929" t="s">
        <v>16852</v>
      </c>
      <c r="X929" t="s">
        <v>16853</v>
      </c>
      <c r="Y929" t="s">
        <v>16854</v>
      </c>
      <c r="Z929" t="s">
        <v>16855</v>
      </c>
      <c r="AA929" t="s">
        <v>74</v>
      </c>
      <c r="AB929" t="s">
        <v>74</v>
      </c>
      <c r="AC929" t="s">
        <v>74</v>
      </c>
      <c r="AD929" t="s">
        <v>74</v>
      </c>
      <c r="AE929" t="s">
        <v>74</v>
      </c>
      <c r="AF929" t="s">
        <v>74</v>
      </c>
      <c r="AG929">
        <v>71</v>
      </c>
      <c r="AH929">
        <v>0</v>
      </c>
      <c r="AI929">
        <v>0</v>
      </c>
      <c r="AJ929">
        <v>5</v>
      </c>
      <c r="AK929">
        <v>5</v>
      </c>
      <c r="AL929" t="s">
        <v>90</v>
      </c>
      <c r="AM929" t="s">
        <v>91</v>
      </c>
      <c r="AN929" t="s">
        <v>92</v>
      </c>
      <c r="AO929" t="s">
        <v>7822</v>
      </c>
      <c r="AP929" t="s">
        <v>7823</v>
      </c>
      <c r="AQ929" t="s">
        <v>74</v>
      </c>
      <c r="AR929" t="s">
        <v>7809</v>
      </c>
      <c r="AS929" t="s">
        <v>7824</v>
      </c>
      <c r="AT929" t="s">
        <v>13744</v>
      </c>
      <c r="AU929">
        <v>2023</v>
      </c>
      <c r="AV929">
        <v>231</v>
      </c>
      <c r="AW929" t="s">
        <v>74</v>
      </c>
      <c r="AX929" t="s">
        <v>74</v>
      </c>
      <c r="AY929" t="s">
        <v>74</v>
      </c>
      <c r="AZ929" t="s">
        <v>74</v>
      </c>
      <c r="BA929" t="s">
        <v>74</v>
      </c>
      <c r="BB929" t="s">
        <v>74</v>
      </c>
      <c r="BC929" t="s">
        <v>74</v>
      </c>
      <c r="BD929">
        <v>107363</v>
      </c>
      <c r="BE929" t="s">
        <v>16856</v>
      </c>
      <c r="BF929" t="str">
        <f>HYPERLINK("http://dx.doi.org/10.1016/j.catena.2023.107363","http://dx.doi.org/10.1016/j.catena.2023.107363")</f>
        <v>http://dx.doi.org/10.1016/j.catena.2023.107363</v>
      </c>
      <c r="BG929" t="s">
        <v>74</v>
      </c>
      <c r="BH929" t="s">
        <v>74</v>
      </c>
      <c r="BI929">
        <v>15</v>
      </c>
      <c r="BJ929" t="s">
        <v>7826</v>
      </c>
      <c r="BK929" t="s">
        <v>100</v>
      </c>
      <c r="BL929" t="s">
        <v>7827</v>
      </c>
      <c r="BM929" t="s">
        <v>16857</v>
      </c>
      <c r="BN929" t="s">
        <v>74</v>
      </c>
      <c r="BO929" t="s">
        <v>74</v>
      </c>
      <c r="BP929" t="s">
        <v>74</v>
      </c>
      <c r="BQ929" t="s">
        <v>74</v>
      </c>
      <c r="BR929" t="s">
        <v>104</v>
      </c>
      <c r="BS929" t="s">
        <v>16858</v>
      </c>
      <c r="BT929" t="str">
        <f>HYPERLINK("https%3A%2F%2Fwww.webofscience.com%2Fwos%2Fwoscc%2Ffull-record%2FWOS:001039246300001","View Full Record in Web of Science")</f>
        <v>View Full Record in Web of Science</v>
      </c>
    </row>
    <row r="930" spans="1:72" x14ac:dyDescent="0.15">
      <c r="A930" t="s">
        <v>72</v>
      </c>
      <c r="B930" t="s">
        <v>16859</v>
      </c>
      <c r="C930" t="s">
        <v>74</v>
      </c>
      <c r="D930" t="s">
        <v>74</v>
      </c>
      <c r="E930" t="s">
        <v>74</v>
      </c>
      <c r="F930" t="s">
        <v>16860</v>
      </c>
      <c r="G930" t="s">
        <v>74</v>
      </c>
      <c r="H930" t="s">
        <v>74</v>
      </c>
      <c r="I930" t="s">
        <v>16861</v>
      </c>
      <c r="J930" t="s">
        <v>16862</v>
      </c>
      <c r="K930" t="s">
        <v>74</v>
      </c>
      <c r="L930" t="s">
        <v>74</v>
      </c>
      <c r="M930" t="s">
        <v>78</v>
      </c>
      <c r="N930" t="s">
        <v>79</v>
      </c>
      <c r="O930" t="s">
        <v>74</v>
      </c>
      <c r="P930" t="s">
        <v>74</v>
      </c>
      <c r="Q930" t="s">
        <v>74</v>
      </c>
      <c r="R930" t="s">
        <v>74</v>
      </c>
      <c r="S930" t="s">
        <v>74</v>
      </c>
      <c r="T930" t="s">
        <v>16863</v>
      </c>
      <c r="U930" t="s">
        <v>16864</v>
      </c>
      <c r="V930" t="s">
        <v>16865</v>
      </c>
      <c r="W930" t="s">
        <v>16866</v>
      </c>
      <c r="X930" t="s">
        <v>16867</v>
      </c>
      <c r="Y930" t="s">
        <v>16868</v>
      </c>
      <c r="Z930" t="s">
        <v>16869</v>
      </c>
      <c r="AA930" t="s">
        <v>74</v>
      </c>
      <c r="AB930" t="s">
        <v>74</v>
      </c>
      <c r="AC930" t="s">
        <v>16870</v>
      </c>
      <c r="AD930" t="s">
        <v>16870</v>
      </c>
      <c r="AE930" t="s">
        <v>16871</v>
      </c>
      <c r="AF930" t="s">
        <v>74</v>
      </c>
      <c r="AG930">
        <v>55</v>
      </c>
      <c r="AH930">
        <v>0</v>
      </c>
      <c r="AI930">
        <v>0</v>
      </c>
      <c r="AJ930">
        <v>0</v>
      </c>
      <c r="AK930">
        <v>0</v>
      </c>
      <c r="AL930" t="s">
        <v>173</v>
      </c>
      <c r="AM930" t="s">
        <v>121</v>
      </c>
      <c r="AN930" t="s">
        <v>174</v>
      </c>
      <c r="AO930" t="s">
        <v>16872</v>
      </c>
      <c r="AP930" t="s">
        <v>16873</v>
      </c>
      <c r="AQ930" t="s">
        <v>74</v>
      </c>
      <c r="AR930" t="s">
        <v>16874</v>
      </c>
      <c r="AS930" t="s">
        <v>16875</v>
      </c>
      <c r="AT930" t="s">
        <v>13778</v>
      </c>
      <c r="AU930">
        <v>2023</v>
      </c>
      <c r="AV930">
        <v>235</v>
      </c>
      <c r="AW930" t="s">
        <v>74</v>
      </c>
      <c r="AX930" t="s">
        <v>74</v>
      </c>
      <c r="AY930" t="s">
        <v>74</v>
      </c>
      <c r="AZ930" t="s">
        <v>74</v>
      </c>
      <c r="BA930" t="s">
        <v>74</v>
      </c>
      <c r="BB930" t="s">
        <v>74</v>
      </c>
      <c r="BC930" t="s">
        <v>74</v>
      </c>
      <c r="BD930">
        <v>105746</v>
      </c>
      <c r="BE930" t="s">
        <v>16876</v>
      </c>
      <c r="BF930" t="str">
        <f>HYPERLINK("http://dx.doi.org/10.1016/j.pss.2023.105746","http://dx.doi.org/10.1016/j.pss.2023.105746")</f>
        <v>http://dx.doi.org/10.1016/j.pss.2023.105746</v>
      </c>
      <c r="BG930" t="s">
        <v>74</v>
      </c>
      <c r="BH930" t="s">
        <v>74</v>
      </c>
      <c r="BI930">
        <v>15</v>
      </c>
      <c r="BJ930" t="s">
        <v>585</v>
      </c>
      <c r="BK930" t="s">
        <v>100</v>
      </c>
      <c r="BL930" t="s">
        <v>585</v>
      </c>
      <c r="BM930" t="s">
        <v>16877</v>
      </c>
      <c r="BN930" t="s">
        <v>74</v>
      </c>
      <c r="BO930" t="s">
        <v>74</v>
      </c>
      <c r="BP930" t="s">
        <v>74</v>
      </c>
      <c r="BQ930" t="s">
        <v>74</v>
      </c>
      <c r="BR930" t="s">
        <v>104</v>
      </c>
      <c r="BS930" t="s">
        <v>16878</v>
      </c>
      <c r="BT930" t="str">
        <f>HYPERLINK("https%3A%2F%2Fwww.webofscience.com%2Fwos%2Fwoscc%2Ffull-record%2FWOS:001042906600001","View Full Record in Web of Science")</f>
        <v>View Full Record in Web of Science</v>
      </c>
    </row>
    <row r="931" spans="1:72" x14ac:dyDescent="0.15">
      <c r="A931" t="s">
        <v>72</v>
      </c>
      <c r="B931" t="s">
        <v>16879</v>
      </c>
      <c r="C931" t="s">
        <v>74</v>
      </c>
      <c r="D931" t="s">
        <v>74</v>
      </c>
      <c r="E931" t="s">
        <v>74</v>
      </c>
      <c r="F931" t="s">
        <v>16880</v>
      </c>
      <c r="G931" t="s">
        <v>74</v>
      </c>
      <c r="H931" t="s">
        <v>74</v>
      </c>
      <c r="I931" t="s">
        <v>16881</v>
      </c>
      <c r="J931" t="s">
        <v>16882</v>
      </c>
      <c r="K931" t="s">
        <v>74</v>
      </c>
      <c r="L931" t="s">
        <v>74</v>
      </c>
      <c r="M931" t="s">
        <v>78</v>
      </c>
      <c r="N931" t="s">
        <v>79</v>
      </c>
      <c r="O931" t="s">
        <v>74</v>
      </c>
      <c r="P931" t="s">
        <v>74</v>
      </c>
      <c r="Q931" t="s">
        <v>74</v>
      </c>
      <c r="R931" t="s">
        <v>74</v>
      </c>
      <c r="S931" t="s">
        <v>74</v>
      </c>
      <c r="T931" t="s">
        <v>74</v>
      </c>
      <c r="U931" t="s">
        <v>16883</v>
      </c>
      <c r="V931" t="s">
        <v>16884</v>
      </c>
      <c r="W931" t="s">
        <v>16885</v>
      </c>
      <c r="X931" t="s">
        <v>16886</v>
      </c>
      <c r="Y931" t="s">
        <v>16887</v>
      </c>
      <c r="Z931" t="s">
        <v>16888</v>
      </c>
      <c r="AA931" t="s">
        <v>74</v>
      </c>
      <c r="AB931" t="s">
        <v>74</v>
      </c>
      <c r="AC931" t="s">
        <v>16889</v>
      </c>
      <c r="AD931" t="s">
        <v>16890</v>
      </c>
      <c r="AE931" t="s">
        <v>16891</v>
      </c>
      <c r="AF931" t="s">
        <v>74</v>
      </c>
      <c r="AG931">
        <v>56</v>
      </c>
      <c r="AH931">
        <v>0</v>
      </c>
      <c r="AI931">
        <v>0</v>
      </c>
      <c r="AJ931">
        <v>0</v>
      </c>
      <c r="AK931">
        <v>0</v>
      </c>
      <c r="AL931" t="s">
        <v>90</v>
      </c>
      <c r="AM931" t="s">
        <v>91</v>
      </c>
      <c r="AN931" t="s">
        <v>92</v>
      </c>
      <c r="AO931" t="s">
        <v>16892</v>
      </c>
      <c r="AP931" t="s">
        <v>16893</v>
      </c>
      <c r="AQ931" t="s">
        <v>74</v>
      </c>
      <c r="AR931" t="s">
        <v>16894</v>
      </c>
      <c r="AS931" t="s">
        <v>16895</v>
      </c>
      <c r="AT931" t="s">
        <v>13744</v>
      </c>
      <c r="AU931">
        <v>2023</v>
      </c>
      <c r="AV931">
        <v>59</v>
      </c>
      <c r="AW931" t="s">
        <v>74</v>
      </c>
      <c r="AX931" t="s">
        <v>74</v>
      </c>
      <c r="AY931" t="s">
        <v>74</v>
      </c>
      <c r="AZ931" t="s">
        <v>74</v>
      </c>
      <c r="BA931" t="s">
        <v>74</v>
      </c>
      <c r="BB931" t="s">
        <v>74</v>
      </c>
      <c r="BC931" t="s">
        <v>74</v>
      </c>
      <c r="BD931">
        <v>101089</v>
      </c>
      <c r="BE931" t="s">
        <v>16896</v>
      </c>
      <c r="BF931" t="str">
        <f>HYPERLINK("http://dx.doi.org/10.1016/j.cois.2023.101089","http://dx.doi.org/10.1016/j.cois.2023.101089")</f>
        <v>http://dx.doi.org/10.1016/j.cois.2023.101089</v>
      </c>
      <c r="BG931" t="s">
        <v>74</v>
      </c>
      <c r="BH931" t="s">
        <v>74</v>
      </c>
      <c r="BI931">
        <v>8</v>
      </c>
      <c r="BJ931" t="s">
        <v>16897</v>
      </c>
      <c r="BK931" t="s">
        <v>100</v>
      </c>
      <c r="BL931" t="s">
        <v>16898</v>
      </c>
      <c r="BM931" t="s">
        <v>16899</v>
      </c>
      <c r="BN931">
        <v>37506879</v>
      </c>
      <c r="BO931" t="s">
        <v>74</v>
      </c>
      <c r="BP931" t="s">
        <v>74</v>
      </c>
      <c r="BQ931" t="s">
        <v>74</v>
      </c>
      <c r="BR931" t="s">
        <v>104</v>
      </c>
      <c r="BS931" t="s">
        <v>16900</v>
      </c>
      <c r="BT931" t="str">
        <f>HYPERLINK("https%3A%2F%2Fwww.webofscience.com%2Fwos%2Fwoscc%2Ffull-record%2FWOS:001060837100001","View Full Record in Web of Science")</f>
        <v>View Full Record in Web of Science</v>
      </c>
    </row>
    <row r="932" spans="1:72" x14ac:dyDescent="0.15">
      <c r="A932" t="s">
        <v>72</v>
      </c>
      <c r="B932" t="s">
        <v>16901</v>
      </c>
      <c r="C932" t="s">
        <v>74</v>
      </c>
      <c r="D932" t="s">
        <v>74</v>
      </c>
      <c r="E932" t="s">
        <v>74</v>
      </c>
      <c r="F932" t="s">
        <v>16902</v>
      </c>
      <c r="G932" t="s">
        <v>74</v>
      </c>
      <c r="H932" t="s">
        <v>74</v>
      </c>
      <c r="I932" t="s">
        <v>16903</v>
      </c>
      <c r="J932" t="s">
        <v>13130</v>
      </c>
      <c r="K932" t="s">
        <v>74</v>
      </c>
      <c r="L932" t="s">
        <v>74</v>
      </c>
      <c r="M932" t="s">
        <v>78</v>
      </c>
      <c r="N932" t="s">
        <v>79</v>
      </c>
      <c r="O932" t="s">
        <v>74</v>
      </c>
      <c r="P932" t="s">
        <v>74</v>
      </c>
      <c r="Q932" t="s">
        <v>74</v>
      </c>
      <c r="R932" t="s">
        <v>74</v>
      </c>
      <c r="S932" t="s">
        <v>74</v>
      </c>
      <c r="T932" t="s">
        <v>16904</v>
      </c>
      <c r="U932" t="s">
        <v>16905</v>
      </c>
      <c r="V932" t="s">
        <v>16906</v>
      </c>
      <c r="W932" t="s">
        <v>16907</v>
      </c>
      <c r="X932" t="s">
        <v>16908</v>
      </c>
      <c r="Y932" t="s">
        <v>16909</v>
      </c>
      <c r="Z932" t="s">
        <v>16910</v>
      </c>
      <c r="AA932" t="s">
        <v>74</v>
      </c>
      <c r="AB932" t="s">
        <v>74</v>
      </c>
      <c r="AC932" t="s">
        <v>74</v>
      </c>
      <c r="AD932" t="s">
        <v>74</v>
      </c>
      <c r="AE932" t="s">
        <v>74</v>
      </c>
      <c r="AF932" t="s">
        <v>74</v>
      </c>
      <c r="AG932">
        <v>35</v>
      </c>
      <c r="AH932">
        <v>0</v>
      </c>
      <c r="AI932">
        <v>0</v>
      </c>
      <c r="AJ932">
        <v>1</v>
      </c>
      <c r="AK932">
        <v>1</v>
      </c>
      <c r="AL932" t="s">
        <v>90</v>
      </c>
      <c r="AM932" t="s">
        <v>91</v>
      </c>
      <c r="AN932" t="s">
        <v>92</v>
      </c>
      <c r="AO932" t="s">
        <v>13138</v>
      </c>
      <c r="AP932" t="s">
        <v>13139</v>
      </c>
      <c r="AQ932" t="s">
        <v>74</v>
      </c>
      <c r="AR932" t="s">
        <v>13140</v>
      </c>
      <c r="AS932" t="s">
        <v>13141</v>
      </c>
      <c r="AT932" t="s">
        <v>13778</v>
      </c>
      <c r="AU932">
        <v>2023</v>
      </c>
      <c r="AV932">
        <v>583</v>
      </c>
      <c r="AW932" t="s">
        <v>74</v>
      </c>
      <c r="AX932" t="s">
        <v>74</v>
      </c>
      <c r="AY932" t="s">
        <v>74</v>
      </c>
      <c r="AZ932" t="s">
        <v>74</v>
      </c>
      <c r="BA932" t="s">
        <v>74</v>
      </c>
      <c r="BB932" t="s">
        <v>74</v>
      </c>
      <c r="BC932" t="s">
        <v>74</v>
      </c>
      <c r="BD932">
        <v>171053</v>
      </c>
      <c r="BE932" t="s">
        <v>16911</v>
      </c>
      <c r="BF932" t="str">
        <f>HYPERLINK("http://dx.doi.org/10.1016/j.jmmm.2023.171053","http://dx.doi.org/10.1016/j.jmmm.2023.171053")</f>
        <v>http://dx.doi.org/10.1016/j.jmmm.2023.171053</v>
      </c>
      <c r="BG932" t="s">
        <v>74</v>
      </c>
      <c r="BH932" t="s">
        <v>74</v>
      </c>
      <c r="BI932">
        <v>11</v>
      </c>
      <c r="BJ932" t="s">
        <v>8240</v>
      </c>
      <c r="BK932" t="s">
        <v>100</v>
      </c>
      <c r="BL932" t="s">
        <v>3022</v>
      </c>
      <c r="BM932" t="s">
        <v>16912</v>
      </c>
      <c r="BN932" t="s">
        <v>74</v>
      </c>
      <c r="BO932" t="s">
        <v>74</v>
      </c>
      <c r="BP932" t="s">
        <v>74</v>
      </c>
      <c r="BQ932" t="s">
        <v>74</v>
      </c>
      <c r="BR932" t="s">
        <v>104</v>
      </c>
      <c r="BS932" t="s">
        <v>16913</v>
      </c>
      <c r="BT932" t="str">
        <f>HYPERLINK("https%3A%2F%2Fwww.webofscience.com%2Fwos%2Fwoscc%2Ffull-record%2FWOS:001047635800001","View Full Record in Web of Science")</f>
        <v>View Full Record in Web of Science</v>
      </c>
    </row>
    <row r="933" spans="1:72" x14ac:dyDescent="0.15">
      <c r="A933" t="s">
        <v>72</v>
      </c>
      <c r="B933" t="s">
        <v>16914</v>
      </c>
      <c r="C933" t="s">
        <v>74</v>
      </c>
      <c r="D933" t="s">
        <v>74</v>
      </c>
      <c r="E933" t="s">
        <v>74</v>
      </c>
      <c r="F933" t="s">
        <v>16915</v>
      </c>
      <c r="G933" t="s">
        <v>74</v>
      </c>
      <c r="H933" t="s">
        <v>74</v>
      </c>
      <c r="I933" t="s">
        <v>16916</v>
      </c>
      <c r="J933" t="s">
        <v>8487</v>
      </c>
      <c r="K933" t="s">
        <v>74</v>
      </c>
      <c r="L933" t="s">
        <v>74</v>
      </c>
      <c r="M933" t="s">
        <v>78</v>
      </c>
      <c r="N933" t="s">
        <v>79</v>
      </c>
      <c r="O933" t="s">
        <v>74</v>
      </c>
      <c r="P933" t="s">
        <v>74</v>
      </c>
      <c r="Q933" t="s">
        <v>74</v>
      </c>
      <c r="R933" t="s">
        <v>74</v>
      </c>
      <c r="S933" t="s">
        <v>74</v>
      </c>
      <c r="T933" t="s">
        <v>16917</v>
      </c>
      <c r="U933" t="s">
        <v>16918</v>
      </c>
      <c r="V933" t="s">
        <v>16919</v>
      </c>
      <c r="W933" t="s">
        <v>16920</v>
      </c>
      <c r="X933" t="s">
        <v>16921</v>
      </c>
      <c r="Y933" t="s">
        <v>16922</v>
      </c>
      <c r="Z933" t="s">
        <v>16923</v>
      </c>
      <c r="AA933" t="s">
        <v>16924</v>
      </c>
      <c r="AB933" t="s">
        <v>16925</v>
      </c>
      <c r="AC933" t="s">
        <v>16926</v>
      </c>
      <c r="AD933" t="s">
        <v>16927</v>
      </c>
      <c r="AE933" t="s">
        <v>16928</v>
      </c>
      <c r="AF933" t="s">
        <v>74</v>
      </c>
      <c r="AG933">
        <v>20</v>
      </c>
      <c r="AH933">
        <v>0</v>
      </c>
      <c r="AI933">
        <v>0</v>
      </c>
      <c r="AJ933">
        <v>0</v>
      </c>
      <c r="AK933">
        <v>0</v>
      </c>
      <c r="AL933" t="s">
        <v>955</v>
      </c>
      <c r="AM933" t="s">
        <v>956</v>
      </c>
      <c r="AN933" t="s">
        <v>957</v>
      </c>
      <c r="AO933" t="s">
        <v>8496</v>
      </c>
      <c r="AP933" t="s">
        <v>8497</v>
      </c>
      <c r="AQ933" t="s">
        <v>74</v>
      </c>
      <c r="AR933" t="s">
        <v>8498</v>
      </c>
      <c r="AS933" t="s">
        <v>8499</v>
      </c>
      <c r="AT933" t="s">
        <v>13744</v>
      </c>
      <c r="AU933">
        <v>2023</v>
      </c>
      <c r="AV933">
        <v>223</v>
      </c>
      <c r="AW933" t="s">
        <v>74</v>
      </c>
      <c r="AX933" t="s">
        <v>74</v>
      </c>
      <c r="AY933" t="s">
        <v>74</v>
      </c>
      <c r="AZ933" t="s">
        <v>74</v>
      </c>
      <c r="BA933" t="s">
        <v>74</v>
      </c>
      <c r="BB933" t="s">
        <v>74</v>
      </c>
      <c r="BC933" t="s">
        <v>74</v>
      </c>
      <c r="BD933">
        <v>109657</v>
      </c>
      <c r="BE933" t="s">
        <v>16929</v>
      </c>
      <c r="BF933" t="str">
        <f>HYPERLINK("http://dx.doi.org/10.1016/j.epsr.2023.109657","http://dx.doi.org/10.1016/j.epsr.2023.109657")</f>
        <v>http://dx.doi.org/10.1016/j.epsr.2023.109657</v>
      </c>
      <c r="BG933" t="s">
        <v>74</v>
      </c>
      <c r="BH933" t="s">
        <v>74</v>
      </c>
      <c r="BI933">
        <v>7</v>
      </c>
      <c r="BJ933" t="s">
        <v>4594</v>
      </c>
      <c r="BK933" t="s">
        <v>100</v>
      </c>
      <c r="BL933" t="s">
        <v>873</v>
      </c>
      <c r="BM933" t="s">
        <v>16930</v>
      </c>
      <c r="BN933" t="s">
        <v>74</v>
      </c>
      <c r="BO933" t="s">
        <v>74</v>
      </c>
      <c r="BP933" t="s">
        <v>74</v>
      </c>
      <c r="BQ933" t="s">
        <v>74</v>
      </c>
      <c r="BR933" t="s">
        <v>104</v>
      </c>
      <c r="BS933" t="s">
        <v>16931</v>
      </c>
      <c r="BT933" t="str">
        <f>HYPERLINK("https%3A%2F%2Fwww.webofscience.com%2Fwos%2Fwoscc%2Ffull-record%2FWOS:001046183100001","View Full Record in Web of Science")</f>
        <v>View Full Record in Web of Science</v>
      </c>
    </row>
    <row r="934" spans="1:72" x14ac:dyDescent="0.15">
      <c r="A934" t="s">
        <v>72</v>
      </c>
      <c r="B934" t="s">
        <v>16932</v>
      </c>
      <c r="C934" t="s">
        <v>74</v>
      </c>
      <c r="D934" t="s">
        <v>74</v>
      </c>
      <c r="E934" t="s">
        <v>74</v>
      </c>
      <c r="F934" t="s">
        <v>16933</v>
      </c>
      <c r="G934" t="s">
        <v>74</v>
      </c>
      <c r="H934" t="s">
        <v>74</v>
      </c>
      <c r="I934" t="s">
        <v>16934</v>
      </c>
      <c r="J934" t="s">
        <v>6902</v>
      </c>
      <c r="K934" t="s">
        <v>74</v>
      </c>
      <c r="L934" t="s">
        <v>74</v>
      </c>
      <c r="M934" t="s">
        <v>78</v>
      </c>
      <c r="N934" t="s">
        <v>79</v>
      </c>
      <c r="O934" t="s">
        <v>74</v>
      </c>
      <c r="P934" t="s">
        <v>74</v>
      </c>
      <c r="Q934" t="s">
        <v>74</v>
      </c>
      <c r="R934" t="s">
        <v>74</v>
      </c>
      <c r="S934" t="s">
        <v>74</v>
      </c>
      <c r="T934" t="s">
        <v>16935</v>
      </c>
      <c r="U934" t="s">
        <v>16936</v>
      </c>
      <c r="V934" t="s">
        <v>16937</v>
      </c>
      <c r="W934" t="s">
        <v>16938</v>
      </c>
      <c r="X934" t="s">
        <v>74</v>
      </c>
      <c r="Y934" t="s">
        <v>16939</v>
      </c>
      <c r="Z934" t="s">
        <v>16940</v>
      </c>
      <c r="AA934" t="s">
        <v>16941</v>
      </c>
      <c r="AB934" t="s">
        <v>16942</v>
      </c>
      <c r="AC934" t="s">
        <v>74</v>
      </c>
      <c r="AD934" t="s">
        <v>74</v>
      </c>
      <c r="AE934" t="s">
        <v>74</v>
      </c>
      <c r="AF934" t="s">
        <v>74</v>
      </c>
      <c r="AG934">
        <v>89</v>
      </c>
      <c r="AH934">
        <v>0</v>
      </c>
      <c r="AI934">
        <v>0</v>
      </c>
      <c r="AJ934">
        <v>4</v>
      </c>
      <c r="AK934">
        <v>4</v>
      </c>
      <c r="AL934" t="s">
        <v>173</v>
      </c>
      <c r="AM934" t="s">
        <v>121</v>
      </c>
      <c r="AN934" t="s">
        <v>174</v>
      </c>
      <c r="AO934" t="s">
        <v>6911</v>
      </c>
      <c r="AP934" t="s">
        <v>6912</v>
      </c>
      <c r="AQ934" t="s">
        <v>74</v>
      </c>
      <c r="AR934" t="s">
        <v>6913</v>
      </c>
      <c r="AS934" t="s">
        <v>6914</v>
      </c>
      <c r="AT934" t="s">
        <v>13744</v>
      </c>
      <c r="AU934">
        <v>2023</v>
      </c>
      <c r="AV934">
        <v>147</v>
      </c>
      <c r="AW934" t="s">
        <v>74</v>
      </c>
      <c r="AX934" t="s">
        <v>74</v>
      </c>
      <c r="AY934" t="s">
        <v>74</v>
      </c>
      <c r="AZ934" t="s">
        <v>74</v>
      </c>
      <c r="BA934" t="s">
        <v>74</v>
      </c>
      <c r="BB934" t="s">
        <v>74</v>
      </c>
      <c r="BC934" t="s">
        <v>74</v>
      </c>
      <c r="BD934">
        <v>107863</v>
      </c>
      <c r="BE934" t="s">
        <v>16943</v>
      </c>
      <c r="BF934" t="str">
        <f>HYPERLINK("http://dx.doi.org/10.1016/j.chb.2023.107863","http://dx.doi.org/10.1016/j.chb.2023.107863")</f>
        <v>http://dx.doi.org/10.1016/j.chb.2023.107863</v>
      </c>
      <c r="BG934" t="s">
        <v>74</v>
      </c>
      <c r="BH934" t="s">
        <v>74</v>
      </c>
      <c r="BI934">
        <v>9</v>
      </c>
      <c r="BJ934" t="s">
        <v>6916</v>
      </c>
      <c r="BK934" t="s">
        <v>627</v>
      </c>
      <c r="BL934" t="s">
        <v>795</v>
      </c>
      <c r="BM934" t="s">
        <v>16944</v>
      </c>
      <c r="BN934" t="s">
        <v>74</v>
      </c>
      <c r="BO934" t="s">
        <v>74</v>
      </c>
      <c r="BP934" t="s">
        <v>74</v>
      </c>
      <c r="BQ934" t="s">
        <v>74</v>
      </c>
      <c r="BR934" t="s">
        <v>104</v>
      </c>
      <c r="BS934" t="s">
        <v>16945</v>
      </c>
      <c r="BT934" t="str">
        <f>HYPERLINK("https%3A%2F%2Fwww.webofscience.com%2Fwos%2Fwoscc%2Ffull-record%2FWOS:001044280100001","View Full Record in Web of Science")</f>
        <v>View Full Record in Web of Science</v>
      </c>
    </row>
    <row r="935" spans="1:72" x14ac:dyDescent="0.15">
      <c r="A935" t="s">
        <v>72</v>
      </c>
      <c r="B935" t="s">
        <v>16946</v>
      </c>
      <c r="C935" t="s">
        <v>74</v>
      </c>
      <c r="D935" t="s">
        <v>74</v>
      </c>
      <c r="E935" t="s">
        <v>74</v>
      </c>
      <c r="F935" t="s">
        <v>16947</v>
      </c>
      <c r="G935" t="s">
        <v>74</v>
      </c>
      <c r="H935" t="s">
        <v>74</v>
      </c>
      <c r="I935" t="s">
        <v>16948</v>
      </c>
      <c r="J935" t="s">
        <v>16949</v>
      </c>
      <c r="K935" t="s">
        <v>74</v>
      </c>
      <c r="L935" t="s">
        <v>74</v>
      </c>
      <c r="M935" t="s">
        <v>78</v>
      </c>
      <c r="N935" t="s">
        <v>79</v>
      </c>
      <c r="O935" t="s">
        <v>74</v>
      </c>
      <c r="P935" t="s">
        <v>74</v>
      </c>
      <c r="Q935" t="s">
        <v>74</v>
      </c>
      <c r="R935" t="s">
        <v>74</v>
      </c>
      <c r="S935" t="s">
        <v>74</v>
      </c>
      <c r="T935" t="s">
        <v>16950</v>
      </c>
      <c r="U935" t="s">
        <v>16951</v>
      </c>
      <c r="V935" t="s">
        <v>16952</v>
      </c>
      <c r="W935" t="s">
        <v>16953</v>
      </c>
      <c r="X935" t="s">
        <v>16954</v>
      </c>
      <c r="Y935" t="s">
        <v>16955</v>
      </c>
      <c r="Z935" t="s">
        <v>16956</v>
      </c>
      <c r="AA935" t="s">
        <v>74</v>
      </c>
      <c r="AB935" t="s">
        <v>74</v>
      </c>
      <c r="AC935" t="s">
        <v>16957</v>
      </c>
      <c r="AD935" t="s">
        <v>16957</v>
      </c>
      <c r="AE935" t="s">
        <v>16958</v>
      </c>
      <c r="AF935" t="s">
        <v>74</v>
      </c>
      <c r="AG935">
        <v>33</v>
      </c>
      <c r="AH935">
        <v>0</v>
      </c>
      <c r="AI935">
        <v>0</v>
      </c>
      <c r="AJ935">
        <v>1</v>
      </c>
      <c r="AK935">
        <v>1</v>
      </c>
      <c r="AL935" t="s">
        <v>955</v>
      </c>
      <c r="AM935" t="s">
        <v>956</v>
      </c>
      <c r="AN935" t="s">
        <v>957</v>
      </c>
      <c r="AO935" t="s">
        <v>16959</v>
      </c>
      <c r="AP935" t="s">
        <v>16960</v>
      </c>
      <c r="AQ935" t="s">
        <v>74</v>
      </c>
      <c r="AR935" t="s">
        <v>16949</v>
      </c>
      <c r="AS935" t="s">
        <v>16961</v>
      </c>
      <c r="AT935" t="s">
        <v>13778</v>
      </c>
      <c r="AU935">
        <v>2023</v>
      </c>
      <c r="AV935">
        <v>782</v>
      </c>
      <c r="AW935" t="s">
        <v>74</v>
      </c>
      <c r="AX935" t="s">
        <v>74</v>
      </c>
      <c r="AY935" t="s">
        <v>74</v>
      </c>
      <c r="AZ935" t="s">
        <v>74</v>
      </c>
      <c r="BA935" t="s">
        <v>74</v>
      </c>
      <c r="BB935" t="s">
        <v>74</v>
      </c>
      <c r="BC935" t="s">
        <v>74</v>
      </c>
      <c r="BD935">
        <v>140029</v>
      </c>
      <c r="BE935" t="s">
        <v>16962</v>
      </c>
      <c r="BF935" t="str">
        <f>HYPERLINK("http://dx.doi.org/10.1016/j.tsf.2023.140029","http://dx.doi.org/10.1016/j.tsf.2023.140029")</f>
        <v>http://dx.doi.org/10.1016/j.tsf.2023.140029</v>
      </c>
      <c r="BG935" t="s">
        <v>74</v>
      </c>
      <c r="BH935" t="s">
        <v>74</v>
      </c>
      <c r="BI935">
        <v>7</v>
      </c>
      <c r="BJ935" t="s">
        <v>10101</v>
      </c>
      <c r="BK935" t="s">
        <v>100</v>
      </c>
      <c r="BL935" t="s">
        <v>3022</v>
      </c>
      <c r="BM935" t="s">
        <v>16963</v>
      </c>
      <c r="BN935" t="s">
        <v>74</v>
      </c>
      <c r="BO935" t="s">
        <v>74</v>
      </c>
      <c r="BP935" t="s">
        <v>74</v>
      </c>
      <c r="BQ935" t="s">
        <v>74</v>
      </c>
      <c r="BR935" t="s">
        <v>104</v>
      </c>
      <c r="BS935" t="s">
        <v>16964</v>
      </c>
      <c r="BT935" t="str">
        <f>HYPERLINK("https%3A%2F%2Fwww.webofscience.com%2Fwos%2Fwoscc%2Ffull-record%2FWOS:001067194700001","View Full Record in Web of Science")</f>
        <v>View Full Record in Web of Science</v>
      </c>
    </row>
    <row r="936" spans="1:72" x14ac:dyDescent="0.15">
      <c r="A936" t="s">
        <v>72</v>
      </c>
      <c r="B936" t="s">
        <v>16965</v>
      </c>
      <c r="C936" t="s">
        <v>74</v>
      </c>
      <c r="D936" t="s">
        <v>74</v>
      </c>
      <c r="E936" t="s">
        <v>74</v>
      </c>
      <c r="F936" t="s">
        <v>16966</v>
      </c>
      <c r="G936" t="s">
        <v>74</v>
      </c>
      <c r="H936" t="s">
        <v>74</v>
      </c>
      <c r="I936" t="s">
        <v>16967</v>
      </c>
      <c r="J936" t="s">
        <v>14391</v>
      </c>
      <c r="K936" t="s">
        <v>74</v>
      </c>
      <c r="L936" t="s">
        <v>74</v>
      </c>
      <c r="M936" t="s">
        <v>78</v>
      </c>
      <c r="N936" t="s">
        <v>79</v>
      </c>
      <c r="O936" t="s">
        <v>74</v>
      </c>
      <c r="P936" t="s">
        <v>74</v>
      </c>
      <c r="Q936" t="s">
        <v>74</v>
      </c>
      <c r="R936" t="s">
        <v>74</v>
      </c>
      <c r="S936" t="s">
        <v>74</v>
      </c>
      <c r="T936" t="s">
        <v>16968</v>
      </c>
      <c r="U936" t="s">
        <v>16969</v>
      </c>
      <c r="V936" t="s">
        <v>16970</v>
      </c>
      <c r="W936" t="s">
        <v>16971</v>
      </c>
      <c r="X936" t="s">
        <v>16972</v>
      </c>
      <c r="Y936" t="s">
        <v>16973</v>
      </c>
      <c r="Z936" t="s">
        <v>16974</v>
      </c>
      <c r="AA936" t="s">
        <v>74</v>
      </c>
      <c r="AB936" t="s">
        <v>16975</v>
      </c>
      <c r="AC936" t="s">
        <v>16976</v>
      </c>
      <c r="AD936" t="s">
        <v>16977</v>
      </c>
      <c r="AE936" t="s">
        <v>16978</v>
      </c>
      <c r="AF936" t="s">
        <v>74</v>
      </c>
      <c r="AG936">
        <v>42</v>
      </c>
      <c r="AH936">
        <v>0</v>
      </c>
      <c r="AI936">
        <v>0</v>
      </c>
      <c r="AJ936">
        <v>1</v>
      </c>
      <c r="AK936">
        <v>1</v>
      </c>
      <c r="AL936" t="s">
        <v>329</v>
      </c>
      <c r="AM936" t="s">
        <v>330</v>
      </c>
      <c r="AN936" t="s">
        <v>331</v>
      </c>
      <c r="AO936" t="s">
        <v>14403</v>
      </c>
      <c r="AP936" t="s">
        <v>14404</v>
      </c>
      <c r="AQ936" t="s">
        <v>74</v>
      </c>
      <c r="AR936" t="s">
        <v>14405</v>
      </c>
      <c r="AS936" t="s">
        <v>14406</v>
      </c>
      <c r="AT936" t="s">
        <v>13744</v>
      </c>
      <c r="AU936">
        <v>2023</v>
      </c>
      <c r="AV936">
        <v>240</v>
      </c>
      <c r="AW936" t="s">
        <v>74</v>
      </c>
      <c r="AX936" t="s">
        <v>74</v>
      </c>
      <c r="AY936" t="s">
        <v>74</v>
      </c>
      <c r="AZ936" t="s">
        <v>74</v>
      </c>
      <c r="BA936" t="s">
        <v>74</v>
      </c>
      <c r="BB936" t="s">
        <v>74</v>
      </c>
      <c r="BC936" t="s">
        <v>74</v>
      </c>
      <c r="BD936">
        <v>107738</v>
      </c>
      <c r="BE936" t="s">
        <v>16979</v>
      </c>
      <c r="BF936" t="str">
        <f>HYPERLINK("http://dx.doi.org/10.1016/j.cmpb.2023.107738","http://dx.doi.org/10.1016/j.cmpb.2023.107738")</f>
        <v>http://dx.doi.org/10.1016/j.cmpb.2023.107738</v>
      </c>
      <c r="BG936" t="s">
        <v>74</v>
      </c>
      <c r="BH936" t="s">
        <v>74</v>
      </c>
      <c r="BI936">
        <v>11</v>
      </c>
      <c r="BJ936" t="s">
        <v>14408</v>
      </c>
      <c r="BK936" t="s">
        <v>100</v>
      </c>
      <c r="BL936" t="s">
        <v>14409</v>
      </c>
      <c r="BM936" t="s">
        <v>16980</v>
      </c>
      <c r="BN936">
        <v>37531686</v>
      </c>
      <c r="BO936" t="s">
        <v>74</v>
      </c>
      <c r="BP936" t="s">
        <v>74</v>
      </c>
      <c r="BQ936" t="s">
        <v>74</v>
      </c>
      <c r="BR936" t="s">
        <v>104</v>
      </c>
      <c r="BS936" t="s">
        <v>16981</v>
      </c>
      <c r="BT936" t="str">
        <f>HYPERLINK("https%3A%2F%2Fwww.webofscience.com%2Fwos%2Fwoscc%2Ffull-record%2FWOS:001050674900001","View Full Record in Web of Science")</f>
        <v>View Full Record in Web of Science</v>
      </c>
    </row>
    <row r="937" spans="1:72" x14ac:dyDescent="0.15">
      <c r="A937" t="s">
        <v>72</v>
      </c>
      <c r="B937" t="s">
        <v>16982</v>
      </c>
      <c r="C937" t="s">
        <v>74</v>
      </c>
      <c r="D937" t="s">
        <v>74</v>
      </c>
      <c r="E937" t="s">
        <v>74</v>
      </c>
      <c r="F937" t="s">
        <v>16983</v>
      </c>
      <c r="G937" t="s">
        <v>74</v>
      </c>
      <c r="H937" t="s">
        <v>74</v>
      </c>
      <c r="I937" t="s">
        <v>16984</v>
      </c>
      <c r="J937" t="s">
        <v>6770</v>
      </c>
      <c r="K937" t="s">
        <v>74</v>
      </c>
      <c r="L937" t="s">
        <v>74</v>
      </c>
      <c r="M937" t="s">
        <v>78</v>
      </c>
      <c r="N937" t="s">
        <v>79</v>
      </c>
      <c r="O937" t="s">
        <v>74</v>
      </c>
      <c r="P937" t="s">
        <v>74</v>
      </c>
      <c r="Q937" t="s">
        <v>74</v>
      </c>
      <c r="R937" t="s">
        <v>74</v>
      </c>
      <c r="S937" t="s">
        <v>74</v>
      </c>
      <c r="T937" t="s">
        <v>16985</v>
      </c>
      <c r="U937" t="s">
        <v>16986</v>
      </c>
      <c r="V937" t="s">
        <v>16987</v>
      </c>
      <c r="W937" t="s">
        <v>16988</v>
      </c>
      <c r="X937" t="s">
        <v>16989</v>
      </c>
      <c r="Y937" t="s">
        <v>16990</v>
      </c>
      <c r="Z937" t="s">
        <v>16991</v>
      </c>
      <c r="AA937" t="s">
        <v>74</v>
      </c>
      <c r="AB937" t="s">
        <v>16992</v>
      </c>
      <c r="AC937" t="s">
        <v>16993</v>
      </c>
      <c r="AD937" t="s">
        <v>16994</v>
      </c>
      <c r="AE937" t="s">
        <v>16995</v>
      </c>
      <c r="AF937" t="s">
        <v>74</v>
      </c>
      <c r="AG937">
        <v>49</v>
      </c>
      <c r="AH937">
        <v>0</v>
      </c>
      <c r="AI937">
        <v>0</v>
      </c>
      <c r="AJ937">
        <v>20</v>
      </c>
      <c r="AK937">
        <v>20</v>
      </c>
      <c r="AL937" t="s">
        <v>90</v>
      </c>
      <c r="AM937" t="s">
        <v>91</v>
      </c>
      <c r="AN937" t="s">
        <v>92</v>
      </c>
      <c r="AO937" t="s">
        <v>6781</v>
      </c>
      <c r="AP937" t="s">
        <v>74</v>
      </c>
      <c r="AQ937" t="s">
        <v>74</v>
      </c>
      <c r="AR937" t="s">
        <v>6782</v>
      </c>
      <c r="AS937" t="s">
        <v>6783</v>
      </c>
      <c r="AT937" t="s">
        <v>13744</v>
      </c>
      <c r="AU937">
        <v>2023</v>
      </c>
      <c r="AV937">
        <v>41</v>
      </c>
      <c r="AW937" t="s">
        <v>74</v>
      </c>
      <c r="AX937" t="s">
        <v>74</v>
      </c>
      <c r="AY937" t="s">
        <v>74</v>
      </c>
      <c r="AZ937" t="s">
        <v>74</v>
      </c>
      <c r="BA937" t="s">
        <v>74</v>
      </c>
      <c r="BB937" t="s">
        <v>74</v>
      </c>
      <c r="BC937" t="s">
        <v>74</v>
      </c>
      <c r="BD937">
        <v>103163</v>
      </c>
      <c r="BE937" t="s">
        <v>16996</v>
      </c>
      <c r="BF937" t="str">
        <f>HYPERLINK("http://dx.doi.org/10.1016/j.surfin.2023.103163","http://dx.doi.org/10.1016/j.surfin.2023.103163")</f>
        <v>http://dx.doi.org/10.1016/j.surfin.2023.103163</v>
      </c>
      <c r="BG937" t="s">
        <v>74</v>
      </c>
      <c r="BH937" t="s">
        <v>74</v>
      </c>
      <c r="BI937">
        <v>8</v>
      </c>
      <c r="BJ937" t="s">
        <v>3799</v>
      </c>
      <c r="BK937" t="s">
        <v>100</v>
      </c>
      <c r="BL937" t="s">
        <v>3800</v>
      </c>
      <c r="BM937" t="s">
        <v>16997</v>
      </c>
      <c r="BN937" t="s">
        <v>74</v>
      </c>
      <c r="BO937" t="s">
        <v>74</v>
      </c>
      <c r="BP937" t="s">
        <v>74</v>
      </c>
      <c r="BQ937" t="s">
        <v>74</v>
      </c>
      <c r="BR937" t="s">
        <v>104</v>
      </c>
      <c r="BS937" t="s">
        <v>16998</v>
      </c>
      <c r="BT937" t="str">
        <f>HYPERLINK("https%3A%2F%2Fwww.webofscience.com%2Fwos%2Fwoscc%2Ffull-record%2FWOS:001044977500001","View Full Record in Web of Science")</f>
        <v>View Full Record in Web of Science</v>
      </c>
    </row>
    <row r="938" spans="1:72" x14ac:dyDescent="0.15">
      <c r="A938" t="s">
        <v>72</v>
      </c>
      <c r="B938" t="s">
        <v>16999</v>
      </c>
      <c r="C938" t="s">
        <v>74</v>
      </c>
      <c r="D938" t="s">
        <v>74</v>
      </c>
      <c r="E938" t="s">
        <v>74</v>
      </c>
      <c r="F938" t="s">
        <v>17000</v>
      </c>
      <c r="G938" t="s">
        <v>74</v>
      </c>
      <c r="H938" t="s">
        <v>74</v>
      </c>
      <c r="I938" t="s">
        <v>17001</v>
      </c>
      <c r="J938" t="s">
        <v>7867</v>
      </c>
      <c r="K938" t="s">
        <v>74</v>
      </c>
      <c r="L938" t="s">
        <v>74</v>
      </c>
      <c r="M938" t="s">
        <v>78</v>
      </c>
      <c r="N938" t="s">
        <v>79</v>
      </c>
      <c r="O938" t="s">
        <v>74</v>
      </c>
      <c r="P938" t="s">
        <v>74</v>
      </c>
      <c r="Q938" t="s">
        <v>74</v>
      </c>
      <c r="R938" t="s">
        <v>74</v>
      </c>
      <c r="S938" t="s">
        <v>74</v>
      </c>
      <c r="T938" t="s">
        <v>17002</v>
      </c>
      <c r="U938" t="s">
        <v>17003</v>
      </c>
      <c r="V938" t="s">
        <v>17004</v>
      </c>
      <c r="W938" t="s">
        <v>17005</v>
      </c>
      <c r="X938" t="s">
        <v>17006</v>
      </c>
      <c r="Y938" t="s">
        <v>17007</v>
      </c>
      <c r="Z938" t="s">
        <v>17008</v>
      </c>
      <c r="AA938" t="s">
        <v>17009</v>
      </c>
      <c r="AB938" t="s">
        <v>17010</v>
      </c>
      <c r="AC938" t="s">
        <v>17011</v>
      </c>
      <c r="AD938" t="s">
        <v>17012</v>
      </c>
      <c r="AE938" t="s">
        <v>17013</v>
      </c>
      <c r="AF938" t="s">
        <v>74</v>
      </c>
      <c r="AG938">
        <v>39</v>
      </c>
      <c r="AH938">
        <v>0</v>
      </c>
      <c r="AI938">
        <v>0</v>
      </c>
      <c r="AJ938">
        <v>13</v>
      </c>
      <c r="AK938">
        <v>13</v>
      </c>
      <c r="AL938" t="s">
        <v>7022</v>
      </c>
      <c r="AM938" t="s">
        <v>121</v>
      </c>
      <c r="AN938" t="s">
        <v>7023</v>
      </c>
      <c r="AO938" t="s">
        <v>7878</v>
      </c>
      <c r="AP938" t="s">
        <v>7879</v>
      </c>
      <c r="AQ938" t="s">
        <v>74</v>
      </c>
      <c r="AR938" t="s">
        <v>7880</v>
      </c>
      <c r="AS938" t="s">
        <v>7881</v>
      </c>
      <c r="AT938" t="s">
        <v>13778</v>
      </c>
      <c r="AU938">
        <v>2023</v>
      </c>
      <c r="AV938">
        <v>237</v>
      </c>
      <c r="AW938" t="s">
        <v>74</v>
      </c>
      <c r="AX938" t="s">
        <v>74</v>
      </c>
      <c r="AY938" t="s">
        <v>74</v>
      </c>
      <c r="AZ938" t="s">
        <v>74</v>
      </c>
      <c r="BA938" t="s">
        <v>74</v>
      </c>
      <c r="BB938" t="s">
        <v>74</v>
      </c>
      <c r="BC938" t="s">
        <v>74</v>
      </c>
      <c r="BD938">
        <v>115474</v>
      </c>
      <c r="BE938" t="s">
        <v>17014</v>
      </c>
      <c r="BF938" t="str">
        <f>HYPERLINK("http://dx.doi.org/10.1016/j.bios.2023.115474","http://dx.doi.org/10.1016/j.bios.2023.115474")</f>
        <v>http://dx.doi.org/10.1016/j.bios.2023.115474</v>
      </c>
      <c r="BG938" t="s">
        <v>74</v>
      </c>
      <c r="BH938" t="s">
        <v>74</v>
      </c>
      <c r="BI938">
        <v>9</v>
      </c>
      <c r="BJ938" t="s">
        <v>7883</v>
      </c>
      <c r="BK938" t="s">
        <v>100</v>
      </c>
      <c r="BL938" t="s">
        <v>7884</v>
      </c>
      <c r="BM938" t="s">
        <v>17015</v>
      </c>
      <c r="BN938">
        <v>37364302</v>
      </c>
      <c r="BO938" t="s">
        <v>74</v>
      </c>
      <c r="BP938" t="s">
        <v>74</v>
      </c>
      <c r="BQ938" t="s">
        <v>74</v>
      </c>
      <c r="BR938" t="s">
        <v>104</v>
      </c>
      <c r="BS938" t="s">
        <v>17016</v>
      </c>
      <c r="BT938" t="str">
        <f>HYPERLINK("https%3A%2F%2Fwww.webofscience.com%2Fwos%2Fwoscc%2Ffull-record%2FWOS:001058900000001","View Full Record in Web of Science")</f>
        <v>View Full Record in Web of Science</v>
      </c>
    </row>
    <row r="939" spans="1:72" x14ac:dyDescent="0.15">
      <c r="A939" t="s">
        <v>72</v>
      </c>
      <c r="B939" t="s">
        <v>17017</v>
      </c>
      <c r="C939" t="s">
        <v>74</v>
      </c>
      <c r="D939" t="s">
        <v>74</v>
      </c>
      <c r="E939" t="s">
        <v>74</v>
      </c>
      <c r="F939" t="s">
        <v>17018</v>
      </c>
      <c r="G939" t="s">
        <v>74</v>
      </c>
      <c r="H939" t="s">
        <v>74</v>
      </c>
      <c r="I939" t="s">
        <v>17019</v>
      </c>
      <c r="J939" t="s">
        <v>17020</v>
      </c>
      <c r="K939" t="s">
        <v>74</v>
      </c>
      <c r="L939" t="s">
        <v>74</v>
      </c>
      <c r="M939" t="s">
        <v>78</v>
      </c>
      <c r="N939" t="s">
        <v>241</v>
      </c>
      <c r="O939" t="s">
        <v>74</v>
      </c>
      <c r="P939" t="s">
        <v>74</v>
      </c>
      <c r="Q939" t="s">
        <v>74</v>
      </c>
      <c r="R939" t="s">
        <v>74</v>
      </c>
      <c r="S939" t="s">
        <v>74</v>
      </c>
      <c r="T939" t="s">
        <v>17021</v>
      </c>
      <c r="U939" t="s">
        <v>17022</v>
      </c>
      <c r="V939" t="s">
        <v>17023</v>
      </c>
      <c r="W939" t="s">
        <v>17024</v>
      </c>
      <c r="X939" t="s">
        <v>17025</v>
      </c>
      <c r="Y939" t="s">
        <v>17026</v>
      </c>
      <c r="Z939" t="s">
        <v>17027</v>
      </c>
      <c r="AA939" t="s">
        <v>74</v>
      </c>
      <c r="AB939" t="s">
        <v>17028</v>
      </c>
      <c r="AC939" t="s">
        <v>17029</v>
      </c>
      <c r="AD939" t="s">
        <v>17030</v>
      </c>
      <c r="AE939" t="s">
        <v>17031</v>
      </c>
      <c r="AF939" t="s">
        <v>74</v>
      </c>
      <c r="AG939">
        <v>58</v>
      </c>
      <c r="AH939">
        <v>1</v>
      </c>
      <c r="AI939">
        <v>1</v>
      </c>
      <c r="AJ939">
        <v>5</v>
      </c>
      <c r="AK939">
        <v>5</v>
      </c>
      <c r="AL939" t="s">
        <v>120</v>
      </c>
      <c r="AM939" t="s">
        <v>121</v>
      </c>
      <c r="AN939" t="s">
        <v>122</v>
      </c>
      <c r="AO939" t="s">
        <v>17032</v>
      </c>
      <c r="AP939" t="s">
        <v>17033</v>
      </c>
      <c r="AQ939" t="s">
        <v>74</v>
      </c>
      <c r="AR939" t="s">
        <v>17034</v>
      </c>
      <c r="AS939" t="s">
        <v>17035</v>
      </c>
      <c r="AT939" t="s">
        <v>13744</v>
      </c>
      <c r="AU939">
        <v>2023</v>
      </c>
      <c r="AV939">
        <v>66</v>
      </c>
      <c r="AW939" t="s">
        <v>74</v>
      </c>
      <c r="AX939" t="s">
        <v>74</v>
      </c>
      <c r="AY939" t="s">
        <v>74</v>
      </c>
      <c r="AZ939" t="s">
        <v>74</v>
      </c>
      <c r="BA939" t="s">
        <v>74</v>
      </c>
      <c r="BB939" t="s">
        <v>74</v>
      </c>
      <c r="BC939" t="s">
        <v>74</v>
      </c>
      <c r="BD939">
        <v>102404</v>
      </c>
      <c r="BE939" t="s">
        <v>17036</v>
      </c>
      <c r="BF939" t="str">
        <f>HYPERLINK("http://dx.doi.org/10.1016/j.ejon.2023.102404","http://dx.doi.org/10.1016/j.ejon.2023.102404")</f>
        <v>http://dx.doi.org/10.1016/j.ejon.2023.102404</v>
      </c>
      <c r="BG939" t="s">
        <v>74</v>
      </c>
      <c r="BH939" t="s">
        <v>74</v>
      </c>
      <c r="BI939">
        <v>10</v>
      </c>
      <c r="BJ939" t="s">
        <v>17037</v>
      </c>
      <c r="BK939" t="s">
        <v>666</v>
      </c>
      <c r="BL939" t="s">
        <v>17037</v>
      </c>
      <c r="BM939" t="s">
        <v>17038</v>
      </c>
      <c r="BN939">
        <v>37517339</v>
      </c>
      <c r="BO939" t="s">
        <v>74</v>
      </c>
      <c r="BP939" t="s">
        <v>74</v>
      </c>
      <c r="BQ939" t="s">
        <v>74</v>
      </c>
      <c r="BR939" t="s">
        <v>104</v>
      </c>
      <c r="BS939" t="s">
        <v>17039</v>
      </c>
      <c r="BT939" t="str">
        <f>HYPERLINK("https%3A%2F%2Fwww.webofscience.com%2Fwos%2Fwoscc%2Ffull-record%2FWOS:001054697600001","View Full Record in Web of Science")</f>
        <v>View Full Record in Web of Science</v>
      </c>
    </row>
    <row r="940" spans="1:72" x14ac:dyDescent="0.15">
      <c r="A940" t="s">
        <v>72</v>
      </c>
      <c r="B940" t="s">
        <v>17040</v>
      </c>
      <c r="C940" t="s">
        <v>74</v>
      </c>
      <c r="D940" t="s">
        <v>74</v>
      </c>
      <c r="E940" t="s">
        <v>74</v>
      </c>
      <c r="F940" t="s">
        <v>17041</v>
      </c>
      <c r="G940" t="s">
        <v>74</v>
      </c>
      <c r="H940" t="s">
        <v>74</v>
      </c>
      <c r="I940" t="s">
        <v>17042</v>
      </c>
      <c r="J940" t="s">
        <v>17043</v>
      </c>
      <c r="K940" t="s">
        <v>74</v>
      </c>
      <c r="L940" t="s">
        <v>74</v>
      </c>
      <c r="M940" t="s">
        <v>78</v>
      </c>
      <c r="N940" t="s">
        <v>79</v>
      </c>
      <c r="O940" t="s">
        <v>74</v>
      </c>
      <c r="P940" t="s">
        <v>74</v>
      </c>
      <c r="Q940" t="s">
        <v>74</v>
      </c>
      <c r="R940" t="s">
        <v>74</v>
      </c>
      <c r="S940" t="s">
        <v>74</v>
      </c>
      <c r="T940" t="s">
        <v>17044</v>
      </c>
      <c r="U940" t="s">
        <v>17045</v>
      </c>
      <c r="V940" t="s">
        <v>17046</v>
      </c>
      <c r="W940" t="s">
        <v>17047</v>
      </c>
      <c r="X940" t="s">
        <v>17048</v>
      </c>
      <c r="Y940" t="s">
        <v>17049</v>
      </c>
      <c r="Z940" t="s">
        <v>17050</v>
      </c>
      <c r="AA940" t="s">
        <v>74</v>
      </c>
      <c r="AB940" t="s">
        <v>17051</v>
      </c>
      <c r="AC940" t="s">
        <v>17052</v>
      </c>
      <c r="AD940" t="s">
        <v>17053</v>
      </c>
      <c r="AE940" t="s">
        <v>17054</v>
      </c>
      <c r="AF940" t="s">
        <v>74</v>
      </c>
      <c r="AG940">
        <v>26</v>
      </c>
      <c r="AH940">
        <v>0</v>
      </c>
      <c r="AI940">
        <v>0</v>
      </c>
      <c r="AJ940">
        <v>1</v>
      </c>
      <c r="AK940">
        <v>1</v>
      </c>
      <c r="AL940" t="s">
        <v>120</v>
      </c>
      <c r="AM940" t="s">
        <v>121</v>
      </c>
      <c r="AN940" t="s">
        <v>122</v>
      </c>
      <c r="AO940" t="s">
        <v>17055</v>
      </c>
      <c r="AP940" t="s">
        <v>17056</v>
      </c>
      <c r="AQ940" t="s">
        <v>74</v>
      </c>
      <c r="AR940" t="s">
        <v>17057</v>
      </c>
      <c r="AS940" t="s">
        <v>17058</v>
      </c>
      <c r="AT940" t="s">
        <v>13744</v>
      </c>
      <c r="AU940">
        <v>2023</v>
      </c>
      <c r="AV940">
        <v>168</v>
      </c>
      <c r="AW940" t="s">
        <v>74</v>
      </c>
      <c r="AX940" t="s">
        <v>74</v>
      </c>
      <c r="AY940" t="s">
        <v>74</v>
      </c>
      <c r="AZ940" t="s">
        <v>74</v>
      </c>
      <c r="BA940" t="s">
        <v>74</v>
      </c>
      <c r="BB940" t="s">
        <v>74</v>
      </c>
      <c r="BC940" t="s">
        <v>74</v>
      </c>
      <c r="BD940">
        <v>105799</v>
      </c>
      <c r="BE940" t="s">
        <v>17059</v>
      </c>
      <c r="BF940" t="str">
        <f>HYPERLINK("http://dx.doi.org/10.1016/j.envsoft.2023.105799","http://dx.doi.org/10.1016/j.envsoft.2023.105799")</f>
        <v>http://dx.doi.org/10.1016/j.envsoft.2023.105799</v>
      </c>
      <c r="BG940" t="s">
        <v>74</v>
      </c>
      <c r="BH940" t="s">
        <v>74</v>
      </c>
      <c r="BI940">
        <v>10</v>
      </c>
      <c r="BJ940" t="s">
        <v>17060</v>
      </c>
      <c r="BK940" t="s">
        <v>100</v>
      </c>
      <c r="BL940" t="s">
        <v>17061</v>
      </c>
      <c r="BM940" t="s">
        <v>17062</v>
      </c>
      <c r="BN940" t="s">
        <v>74</v>
      </c>
      <c r="BO940" t="s">
        <v>295</v>
      </c>
      <c r="BP940" t="s">
        <v>74</v>
      </c>
      <c r="BQ940" t="s">
        <v>74</v>
      </c>
      <c r="BR940" t="s">
        <v>104</v>
      </c>
      <c r="BS940" t="s">
        <v>17063</v>
      </c>
      <c r="BT940" t="str">
        <f>HYPERLINK("https%3A%2F%2Fwww.webofscience.com%2Fwos%2Fwoscc%2Ffull-record%2FWOS:001061687100001","View Full Record in Web of Science")</f>
        <v>View Full Record in Web of Science</v>
      </c>
    </row>
    <row r="941" spans="1:72" x14ac:dyDescent="0.15">
      <c r="A941" t="s">
        <v>72</v>
      </c>
      <c r="B941" t="s">
        <v>17064</v>
      </c>
      <c r="C941" t="s">
        <v>74</v>
      </c>
      <c r="D941" t="s">
        <v>74</v>
      </c>
      <c r="E941" t="s">
        <v>74</v>
      </c>
      <c r="F941" t="s">
        <v>17065</v>
      </c>
      <c r="G941" t="s">
        <v>74</v>
      </c>
      <c r="H941" t="s">
        <v>74</v>
      </c>
      <c r="I941" t="s">
        <v>17066</v>
      </c>
      <c r="J941" t="s">
        <v>7396</v>
      </c>
      <c r="K941" t="s">
        <v>74</v>
      </c>
      <c r="L941" t="s">
        <v>74</v>
      </c>
      <c r="M941" t="s">
        <v>78</v>
      </c>
      <c r="N941" t="s">
        <v>79</v>
      </c>
      <c r="O941" t="s">
        <v>74</v>
      </c>
      <c r="P941" t="s">
        <v>74</v>
      </c>
      <c r="Q941" t="s">
        <v>74</v>
      </c>
      <c r="R941" t="s">
        <v>74</v>
      </c>
      <c r="S941" t="s">
        <v>74</v>
      </c>
      <c r="T941" t="s">
        <v>17067</v>
      </c>
      <c r="U941" t="s">
        <v>17068</v>
      </c>
      <c r="V941" t="s">
        <v>17069</v>
      </c>
      <c r="W941" t="s">
        <v>17070</v>
      </c>
      <c r="X941" t="s">
        <v>17071</v>
      </c>
      <c r="Y941" t="s">
        <v>17072</v>
      </c>
      <c r="Z941" t="s">
        <v>17073</v>
      </c>
      <c r="AA941" t="s">
        <v>74</v>
      </c>
      <c r="AB941" t="s">
        <v>74</v>
      </c>
      <c r="AC941" t="s">
        <v>74</v>
      </c>
      <c r="AD941" t="s">
        <v>74</v>
      </c>
      <c r="AE941" t="s">
        <v>74</v>
      </c>
      <c r="AF941" t="s">
        <v>74</v>
      </c>
      <c r="AG941">
        <v>75</v>
      </c>
      <c r="AH941">
        <v>0</v>
      </c>
      <c r="AI941">
        <v>0</v>
      </c>
      <c r="AJ941">
        <v>5</v>
      </c>
      <c r="AK941">
        <v>5</v>
      </c>
      <c r="AL941" t="s">
        <v>90</v>
      </c>
      <c r="AM941" t="s">
        <v>91</v>
      </c>
      <c r="AN941" t="s">
        <v>92</v>
      </c>
      <c r="AO941" t="s">
        <v>7408</v>
      </c>
      <c r="AP941" t="s">
        <v>7409</v>
      </c>
      <c r="AQ941" t="s">
        <v>74</v>
      </c>
      <c r="AR941" t="s">
        <v>7410</v>
      </c>
      <c r="AS941" t="s">
        <v>7411</v>
      </c>
      <c r="AT941" t="s">
        <v>13744</v>
      </c>
      <c r="AU941">
        <v>2023</v>
      </c>
      <c r="AV941">
        <v>1869</v>
      </c>
      <c r="AW941">
        <v>7</v>
      </c>
      <c r="AX941" t="s">
        <v>74</v>
      </c>
      <c r="AY941" t="s">
        <v>74</v>
      </c>
      <c r="AZ941" t="s">
        <v>74</v>
      </c>
      <c r="BA941" t="s">
        <v>74</v>
      </c>
      <c r="BB941" t="s">
        <v>74</v>
      </c>
      <c r="BC941" t="s">
        <v>74</v>
      </c>
      <c r="BD941">
        <v>166750</v>
      </c>
      <c r="BE941" t="s">
        <v>17074</v>
      </c>
      <c r="BF941" t="str">
        <f>HYPERLINK("http://dx.doi.org/10.1016/j.bbadis.2023.166750","http://dx.doi.org/10.1016/j.bbadis.2023.166750")</f>
        <v>http://dx.doi.org/10.1016/j.bbadis.2023.166750</v>
      </c>
      <c r="BG941" t="s">
        <v>74</v>
      </c>
      <c r="BH941" t="s">
        <v>74</v>
      </c>
      <c r="BI941">
        <v>16</v>
      </c>
      <c r="BJ941" t="s">
        <v>7413</v>
      </c>
      <c r="BK941" t="s">
        <v>100</v>
      </c>
      <c r="BL941" t="s">
        <v>7413</v>
      </c>
      <c r="BM941" t="s">
        <v>17075</v>
      </c>
      <c r="BN941">
        <v>37268254</v>
      </c>
      <c r="BO941" t="s">
        <v>74</v>
      </c>
      <c r="BP941" t="s">
        <v>74</v>
      </c>
      <c r="BQ941" t="s">
        <v>74</v>
      </c>
      <c r="BR941" t="s">
        <v>104</v>
      </c>
      <c r="BS941" t="s">
        <v>17076</v>
      </c>
      <c r="BT941" t="str">
        <f>HYPERLINK("https%3A%2F%2Fwww.webofscience.com%2Fwos%2Fwoscc%2Ffull-record%2FWOS:001057852100001","View Full Record in Web of Science")</f>
        <v>View Full Record in Web of Science</v>
      </c>
    </row>
    <row r="942" spans="1:72" x14ac:dyDescent="0.15">
      <c r="A942" t="s">
        <v>72</v>
      </c>
      <c r="B942" t="s">
        <v>17077</v>
      </c>
      <c r="C942" t="s">
        <v>74</v>
      </c>
      <c r="D942" t="s">
        <v>74</v>
      </c>
      <c r="E942" t="s">
        <v>74</v>
      </c>
      <c r="F942" t="s">
        <v>17078</v>
      </c>
      <c r="G942" t="s">
        <v>74</v>
      </c>
      <c r="H942" t="s">
        <v>74</v>
      </c>
      <c r="I942" t="s">
        <v>17079</v>
      </c>
      <c r="J942" t="s">
        <v>15344</v>
      </c>
      <c r="K942" t="s">
        <v>74</v>
      </c>
      <c r="L942" t="s">
        <v>74</v>
      </c>
      <c r="M942" t="s">
        <v>78</v>
      </c>
      <c r="N942" t="s">
        <v>79</v>
      </c>
      <c r="O942" t="s">
        <v>74</v>
      </c>
      <c r="P942" t="s">
        <v>74</v>
      </c>
      <c r="Q942" t="s">
        <v>74</v>
      </c>
      <c r="R942" t="s">
        <v>74</v>
      </c>
      <c r="S942" t="s">
        <v>74</v>
      </c>
      <c r="T942" t="s">
        <v>17080</v>
      </c>
      <c r="U942" t="s">
        <v>17081</v>
      </c>
      <c r="V942" t="s">
        <v>17082</v>
      </c>
      <c r="W942" t="s">
        <v>17083</v>
      </c>
      <c r="X942" t="s">
        <v>17084</v>
      </c>
      <c r="Y942" t="s">
        <v>17085</v>
      </c>
      <c r="Z942" t="s">
        <v>17086</v>
      </c>
      <c r="AA942" t="s">
        <v>74</v>
      </c>
      <c r="AB942" t="s">
        <v>74</v>
      </c>
      <c r="AC942" t="s">
        <v>17087</v>
      </c>
      <c r="AD942" t="s">
        <v>17088</v>
      </c>
      <c r="AE942" t="s">
        <v>17089</v>
      </c>
      <c r="AF942" t="s">
        <v>74</v>
      </c>
      <c r="AG942">
        <v>75</v>
      </c>
      <c r="AH942">
        <v>1</v>
      </c>
      <c r="AI942">
        <v>1</v>
      </c>
      <c r="AJ942">
        <v>3</v>
      </c>
      <c r="AK942">
        <v>3</v>
      </c>
      <c r="AL942" t="s">
        <v>120</v>
      </c>
      <c r="AM942" t="s">
        <v>121</v>
      </c>
      <c r="AN942" t="s">
        <v>122</v>
      </c>
      <c r="AO942" t="s">
        <v>15356</v>
      </c>
      <c r="AP942" t="s">
        <v>15357</v>
      </c>
      <c r="AQ942" t="s">
        <v>74</v>
      </c>
      <c r="AR942" t="s">
        <v>15358</v>
      </c>
      <c r="AS942" t="s">
        <v>15359</v>
      </c>
      <c r="AT942" t="s">
        <v>13744</v>
      </c>
      <c r="AU942">
        <v>2023</v>
      </c>
      <c r="AV942">
        <v>173</v>
      </c>
      <c r="AW942" t="s">
        <v>74</v>
      </c>
      <c r="AX942" t="s">
        <v>74</v>
      </c>
      <c r="AY942" t="s">
        <v>74</v>
      </c>
      <c r="AZ942" t="s">
        <v>74</v>
      </c>
      <c r="BA942" t="s">
        <v>74</v>
      </c>
      <c r="BB942" t="s">
        <v>74</v>
      </c>
      <c r="BC942" t="s">
        <v>74</v>
      </c>
      <c r="BD942">
        <v>107639</v>
      </c>
      <c r="BE942" t="s">
        <v>17090</v>
      </c>
      <c r="BF942" t="str">
        <f>HYPERLINK("http://dx.doi.org/10.1016/j.compositesa.2023.107639","http://dx.doi.org/10.1016/j.compositesa.2023.107639")</f>
        <v>http://dx.doi.org/10.1016/j.compositesa.2023.107639</v>
      </c>
      <c r="BG942" t="s">
        <v>74</v>
      </c>
      <c r="BH942" t="s">
        <v>74</v>
      </c>
      <c r="BI942">
        <v>12</v>
      </c>
      <c r="BJ942" t="s">
        <v>15361</v>
      </c>
      <c r="BK942" t="s">
        <v>100</v>
      </c>
      <c r="BL942" t="s">
        <v>156</v>
      </c>
      <c r="BM942" t="s">
        <v>17091</v>
      </c>
      <c r="BN942" t="s">
        <v>74</v>
      </c>
      <c r="BO942" t="s">
        <v>74</v>
      </c>
      <c r="BP942" t="s">
        <v>74</v>
      </c>
      <c r="BQ942" t="s">
        <v>74</v>
      </c>
      <c r="BR942" t="s">
        <v>104</v>
      </c>
      <c r="BS942" t="s">
        <v>17092</v>
      </c>
      <c r="BT942" t="str">
        <f>HYPERLINK("https%3A%2F%2Fwww.webofscience.com%2Fwos%2Fwoscc%2Ffull-record%2FWOS:001054353500001","View Full Record in Web of Science")</f>
        <v>View Full Record in Web of Science</v>
      </c>
    </row>
    <row r="943" spans="1:72" x14ac:dyDescent="0.15">
      <c r="A943" t="s">
        <v>72</v>
      </c>
      <c r="B943" t="s">
        <v>17093</v>
      </c>
      <c r="C943" t="s">
        <v>74</v>
      </c>
      <c r="D943" t="s">
        <v>74</v>
      </c>
      <c r="E943" t="s">
        <v>74</v>
      </c>
      <c r="F943" t="s">
        <v>17094</v>
      </c>
      <c r="G943" t="s">
        <v>74</v>
      </c>
      <c r="H943" t="s">
        <v>74</v>
      </c>
      <c r="I943" t="s">
        <v>17095</v>
      </c>
      <c r="J943" t="s">
        <v>6645</v>
      </c>
      <c r="K943" t="s">
        <v>74</v>
      </c>
      <c r="L943" t="s">
        <v>74</v>
      </c>
      <c r="M943" t="s">
        <v>78</v>
      </c>
      <c r="N943" t="s">
        <v>79</v>
      </c>
      <c r="O943" t="s">
        <v>74</v>
      </c>
      <c r="P943" t="s">
        <v>74</v>
      </c>
      <c r="Q943" t="s">
        <v>74</v>
      </c>
      <c r="R943" t="s">
        <v>74</v>
      </c>
      <c r="S943" t="s">
        <v>74</v>
      </c>
      <c r="T943" t="s">
        <v>17096</v>
      </c>
      <c r="U943" t="s">
        <v>17097</v>
      </c>
      <c r="V943" t="s">
        <v>17098</v>
      </c>
      <c r="W943" t="s">
        <v>17099</v>
      </c>
      <c r="X943" t="s">
        <v>17100</v>
      </c>
      <c r="Y943" t="s">
        <v>17101</v>
      </c>
      <c r="Z943" t="s">
        <v>17102</v>
      </c>
      <c r="AA943" t="s">
        <v>17103</v>
      </c>
      <c r="AB943" t="s">
        <v>17104</v>
      </c>
      <c r="AC943" t="s">
        <v>17105</v>
      </c>
      <c r="AD943" t="s">
        <v>252</v>
      </c>
      <c r="AE943" t="s">
        <v>17106</v>
      </c>
      <c r="AF943" t="s">
        <v>74</v>
      </c>
      <c r="AG943">
        <v>57</v>
      </c>
      <c r="AH943">
        <v>0</v>
      </c>
      <c r="AI943">
        <v>0</v>
      </c>
      <c r="AJ943">
        <v>5</v>
      </c>
      <c r="AK943">
        <v>5</v>
      </c>
      <c r="AL943" t="s">
        <v>90</v>
      </c>
      <c r="AM943" t="s">
        <v>91</v>
      </c>
      <c r="AN943" t="s">
        <v>92</v>
      </c>
      <c r="AO943" t="s">
        <v>74</v>
      </c>
      <c r="AP943" t="s">
        <v>6656</v>
      </c>
      <c r="AQ943" t="s">
        <v>74</v>
      </c>
      <c r="AR943" t="s">
        <v>6657</v>
      </c>
      <c r="AS943" t="s">
        <v>6658</v>
      </c>
      <c r="AT943" t="s">
        <v>13778</v>
      </c>
      <c r="AU943">
        <v>2023</v>
      </c>
      <c r="AV943">
        <v>76</v>
      </c>
      <c r="AW943" t="s">
        <v>74</v>
      </c>
      <c r="AX943" t="s">
        <v>74</v>
      </c>
      <c r="AY943" t="s">
        <v>74</v>
      </c>
      <c r="AZ943" t="s">
        <v>74</v>
      </c>
      <c r="BA943" t="s">
        <v>74</v>
      </c>
      <c r="BB943" t="s">
        <v>74</v>
      </c>
      <c r="BC943" t="s">
        <v>74</v>
      </c>
      <c r="BD943">
        <v>107389</v>
      </c>
      <c r="BE943" t="s">
        <v>17107</v>
      </c>
      <c r="BF943" t="str">
        <f>HYPERLINK("http://dx.doi.org/10.1016/j.jobe.2023.107389","http://dx.doi.org/10.1016/j.jobe.2023.107389")</f>
        <v>http://dx.doi.org/10.1016/j.jobe.2023.107389</v>
      </c>
      <c r="BG943" t="s">
        <v>74</v>
      </c>
      <c r="BH943" t="s">
        <v>74</v>
      </c>
      <c r="BI943">
        <v>20</v>
      </c>
      <c r="BJ943" t="s">
        <v>3898</v>
      </c>
      <c r="BK943" t="s">
        <v>100</v>
      </c>
      <c r="BL943" t="s">
        <v>3899</v>
      </c>
      <c r="BM943" t="s">
        <v>17108</v>
      </c>
      <c r="BN943" t="s">
        <v>74</v>
      </c>
      <c r="BO943" t="s">
        <v>74</v>
      </c>
      <c r="BP943" t="s">
        <v>74</v>
      </c>
      <c r="BQ943" t="s">
        <v>74</v>
      </c>
      <c r="BR943" t="s">
        <v>104</v>
      </c>
      <c r="BS943" t="s">
        <v>17109</v>
      </c>
      <c r="BT943" t="str">
        <f>HYPERLINK("https%3A%2F%2Fwww.webofscience.com%2Fwos%2Fwoscc%2Ffull-record%2FWOS:001048964100001","View Full Record in Web of Science")</f>
        <v>View Full Record in Web of Science</v>
      </c>
    </row>
    <row r="944" spans="1:72" x14ac:dyDescent="0.15">
      <c r="A944" t="s">
        <v>72</v>
      </c>
      <c r="B944" t="s">
        <v>17110</v>
      </c>
      <c r="C944" t="s">
        <v>74</v>
      </c>
      <c r="D944" t="s">
        <v>74</v>
      </c>
      <c r="E944" t="s">
        <v>74</v>
      </c>
      <c r="F944" t="s">
        <v>17111</v>
      </c>
      <c r="G944" t="s">
        <v>74</v>
      </c>
      <c r="H944" t="s">
        <v>74</v>
      </c>
      <c r="I944" t="s">
        <v>17112</v>
      </c>
      <c r="J944" t="s">
        <v>11999</v>
      </c>
      <c r="K944" t="s">
        <v>74</v>
      </c>
      <c r="L944" t="s">
        <v>74</v>
      </c>
      <c r="M944" t="s">
        <v>78</v>
      </c>
      <c r="N944" t="s">
        <v>79</v>
      </c>
      <c r="O944" t="s">
        <v>74</v>
      </c>
      <c r="P944" t="s">
        <v>74</v>
      </c>
      <c r="Q944" t="s">
        <v>74</v>
      </c>
      <c r="R944" t="s">
        <v>74</v>
      </c>
      <c r="S944" t="s">
        <v>74</v>
      </c>
      <c r="T944" t="s">
        <v>17113</v>
      </c>
      <c r="U944" t="s">
        <v>17114</v>
      </c>
      <c r="V944" t="s">
        <v>17115</v>
      </c>
      <c r="W944" t="s">
        <v>17116</v>
      </c>
      <c r="X944" t="s">
        <v>17117</v>
      </c>
      <c r="Y944" t="s">
        <v>17118</v>
      </c>
      <c r="Z944" t="s">
        <v>17119</v>
      </c>
      <c r="AA944" t="s">
        <v>74</v>
      </c>
      <c r="AB944" t="s">
        <v>74</v>
      </c>
      <c r="AC944" t="s">
        <v>17120</v>
      </c>
      <c r="AD944" t="s">
        <v>17121</v>
      </c>
      <c r="AE944" t="s">
        <v>17122</v>
      </c>
      <c r="AF944" t="s">
        <v>74</v>
      </c>
      <c r="AG944">
        <v>54</v>
      </c>
      <c r="AH944">
        <v>0</v>
      </c>
      <c r="AI944">
        <v>0</v>
      </c>
      <c r="AJ944">
        <v>0</v>
      </c>
      <c r="AK944">
        <v>0</v>
      </c>
      <c r="AL944" t="s">
        <v>90</v>
      </c>
      <c r="AM944" t="s">
        <v>91</v>
      </c>
      <c r="AN944" t="s">
        <v>92</v>
      </c>
      <c r="AO944" t="s">
        <v>12011</v>
      </c>
      <c r="AP944" t="s">
        <v>12012</v>
      </c>
      <c r="AQ944" t="s">
        <v>74</v>
      </c>
      <c r="AR944" t="s">
        <v>12013</v>
      </c>
      <c r="AS944" t="s">
        <v>12014</v>
      </c>
      <c r="AT944" t="s">
        <v>13778</v>
      </c>
      <c r="AU944">
        <v>2023</v>
      </c>
      <c r="AV944">
        <v>627</v>
      </c>
      <c r="AW944" t="s">
        <v>74</v>
      </c>
      <c r="AX944" t="s">
        <v>74</v>
      </c>
      <c r="AY944" t="s">
        <v>74</v>
      </c>
      <c r="AZ944" t="s">
        <v>74</v>
      </c>
      <c r="BA944" t="s">
        <v>74</v>
      </c>
      <c r="BB944" t="s">
        <v>74</v>
      </c>
      <c r="BC944" t="s">
        <v>74</v>
      </c>
      <c r="BD944">
        <v>111717</v>
      </c>
      <c r="BE944" t="s">
        <v>17123</v>
      </c>
      <c r="BF944" t="str">
        <f>HYPERLINK("http://dx.doi.org/10.1016/j.palaeo.2023.111717","http://dx.doi.org/10.1016/j.palaeo.2023.111717")</f>
        <v>http://dx.doi.org/10.1016/j.palaeo.2023.111717</v>
      </c>
      <c r="BG944" t="s">
        <v>74</v>
      </c>
      <c r="BH944" t="s">
        <v>74</v>
      </c>
      <c r="BI944">
        <v>10</v>
      </c>
      <c r="BJ944" t="s">
        <v>12016</v>
      </c>
      <c r="BK944" t="s">
        <v>100</v>
      </c>
      <c r="BL944" t="s">
        <v>12017</v>
      </c>
      <c r="BM944" t="s">
        <v>17124</v>
      </c>
      <c r="BN944" t="s">
        <v>74</v>
      </c>
      <c r="BO944" t="s">
        <v>74</v>
      </c>
      <c r="BP944" t="s">
        <v>74</v>
      </c>
      <c r="BQ944" t="s">
        <v>74</v>
      </c>
      <c r="BR944" t="s">
        <v>104</v>
      </c>
      <c r="BS944" t="s">
        <v>17125</v>
      </c>
      <c r="BT944" t="str">
        <f>HYPERLINK("https%3A%2F%2Fwww.webofscience.com%2Fwos%2Fwoscc%2Ffull-record%2FWOS:001055150200001","View Full Record in Web of Science")</f>
        <v>View Full Record in Web of Science</v>
      </c>
    </row>
    <row r="945" spans="1:72" x14ac:dyDescent="0.15">
      <c r="A945" t="s">
        <v>72</v>
      </c>
      <c r="B945" t="s">
        <v>17126</v>
      </c>
      <c r="C945" t="s">
        <v>74</v>
      </c>
      <c r="D945" t="s">
        <v>74</v>
      </c>
      <c r="E945" t="s">
        <v>74</v>
      </c>
      <c r="F945" t="s">
        <v>17127</v>
      </c>
      <c r="G945" t="s">
        <v>74</v>
      </c>
      <c r="H945" t="s">
        <v>74</v>
      </c>
      <c r="I945" t="s">
        <v>17128</v>
      </c>
      <c r="J945" t="s">
        <v>17129</v>
      </c>
      <c r="K945" t="s">
        <v>74</v>
      </c>
      <c r="L945" t="s">
        <v>74</v>
      </c>
      <c r="M945" t="s">
        <v>78</v>
      </c>
      <c r="N945" t="s">
        <v>79</v>
      </c>
      <c r="O945" t="s">
        <v>74</v>
      </c>
      <c r="P945" t="s">
        <v>74</v>
      </c>
      <c r="Q945" t="s">
        <v>74</v>
      </c>
      <c r="R945" t="s">
        <v>74</v>
      </c>
      <c r="S945" t="s">
        <v>74</v>
      </c>
      <c r="T945" t="s">
        <v>17130</v>
      </c>
      <c r="U945" t="s">
        <v>17131</v>
      </c>
      <c r="V945" t="s">
        <v>17132</v>
      </c>
      <c r="W945" t="s">
        <v>17133</v>
      </c>
      <c r="X945" t="s">
        <v>17134</v>
      </c>
      <c r="Y945" t="s">
        <v>17135</v>
      </c>
      <c r="Z945" t="s">
        <v>17136</v>
      </c>
      <c r="AA945" t="s">
        <v>74</v>
      </c>
      <c r="AB945" t="s">
        <v>74</v>
      </c>
      <c r="AC945" t="s">
        <v>17137</v>
      </c>
      <c r="AD945" t="s">
        <v>17137</v>
      </c>
      <c r="AE945" t="s">
        <v>17138</v>
      </c>
      <c r="AF945" t="s">
        <v>74</v>
      </c>
      <c r="AG945">
        <v>74</v>
      </c>
      <c r="AH945">
        <v>0</v>
      </c>
      <c r="AI945">
        <v>0</v>
      </c>
      <c r="AJ945">
        <v>0</v>
      </c>
      <c r="AK945">
        <v>0</v>
      </c>
      <c r="AL945" t="s">
        <v>173</v>
      </c>
      <c r="AM945" t="s">
        <v>121</v>
      </c>
      <c r="AN945" t="s">
        <v>174</v>
      </c>
      <c r="AO945" t="s">
        <v>17139</v>
      </c>
      <c r="AP945" t="s">
        <v>17140</v>
      </c>
      <c r="AQ945" t="s">
        <v>74</v>
      </c>
      <c r="AR945" t="s">
        <v>17141</v>
      </c>
      <c r="AS945" t="s">
        <v>17142</v>
      </c>
      <c r="AT945" t="s">
        <v>13778</v>
      </c>
      <c r="AU945">
        <v>2023</v>
      </c>
      <c r="AV945">
        <v>48</v>
      </c>
      <c r="AW945">
        <v>83</v>
      </c>
      <c r="AX945" t="s">
        <v>74</v>
      </c>
      <c r="AY945" t="s">
        <v>74</v>
      </c>
      <c r="AZ945" t="s">
        <v>74</v>
      </c>
      <c r="BA945" t="s">
        <v>74</v>
      </c>
      <c r="BB945">
        <v>32313</v>
      </c>
      <c r="BC945">
        <v>32330</v>
      </c>
      <c r="BD945" t="s">
        <v>74</v>
      </c>
      <c r="BE945" t="s">
        <v>17143</v>
      </c>
      <c r="BF945" t="str">
        <f>HYPERLINK("http://dx.doi.org/10.1016/j.ijhydene.2023.05.0310360-3199","http://dx.doi.org/10.1016/j.ijhydene.2023.05.0310360-3199")</f>
        <v>http://dx.doi.org/10.1016/j.ijhydene.2023.05.0310360-3199</v>
      </c>
      <c r="BG945" t="s">
        <v>74</v>
      </c>
      <c r="BH945" t="s">
        <v>74</v>
      </c>
      <c r="BI945">
        <v>18</v>
      </c>
      <c r="BJ945" t="s">
        <v>17144</v>
      </c>
      <c r="BK945" t="s">
        <v>100</v>
      </c>
      <c r="BL945" t="s">
        <v>17145</v>
      </c>
      <c r="BM945" t="s">
        <v>17146</v>
      </c>
      <c r="BN945" t="s">
        <v>74</v>
      </c>
      <c r="BO945" t="s">
        <v>74</v>
      </c>
      <c r="BP945" t="s">
        <v>74</v>
      </c>
      <c r="BQ945" t="s">
        <v>74</v>
      </c>
      <c r="BR945" t="s">
        <v>104</v>
      </c>
      <c r="BS945" t="s">
        <v>17147</v>
      </c>
      <c r="BT945" t="str">
        <f>HYPERLINK("https%3A%2F%2Fwww.webofscience.com%2Fwos%2Fwoscc%2Ffull-record%2FWOS:001072107500001","View Full Record in Web of Science")</f>
        <v>View Full Record in Web of Science</v>
      </c>
    </row>
    <row r="946" spans="1:72" x14ac:dyDescent="0.15">
      <c r="A946" t="s">
        <v>72</v>
      </c>
      <c r="B946" t="s">
        <v>17148</v>
      </c>
      <c r="C946" t="s">
        <v>74</v>
      </c>
      <c r="D946" t="s">
        <v>74</v>
      </c>
      <c r="E946" t="s">
        <v>74</v>
      </c>
      <c r="F946" t="s">
        <v>17149</v>
      </c>
      <c r="G946" t="s">
        <v>74</v>
      </c>
      <c r="H946" t="s">
        <v>74</v>
      </c>
      <c r="I946" t="s">
        <v>17150</v>
      </c>
      <c r="J946" t="s">
        <v>4107</v>
      </c>
      <c r="K946" t="s">
        <v>74</v>
      </c>
      <c r="L946" t="s">
        <v>74</v>
      </c>
      <c r="M946" t="s">
        <v>78</v>
      </c>
      <c r="N946" t="s">
        <v>79</v>
      </c>
      <c r="O946" t="s">
        <v>74</v>
      </c>
      <c r="P946" t="s">
        <v>74</v>
      </c>
      <c r="Q946" t="s">
        <v>74</v>
      </c>
      <c r="R946" t="s">
        <v>74</v>
      </c>
      <c r="S946" t="s">
        <v>74</v>
      </c>
      <c r="T946" t="s">
        <v>17151</v>
      </c>
      <c r="U946" t="s">
        <v>17152</v>
      </c>
      <c r="V946" t="s">
        <v>17153</v>
      </c>
      <c r="W946" t="s">
        <v>17154</v>
      </c>
      <c r="X946" t="s">
        <v>17155</v>
      </c>
      <c r="Y946" t="s">
        <v>17156</v>
      </c>
      <c r="Z946" t="s">
        <v>17157</v>
      </c>
      <c r="AA946" t="s">
        <v>74</v>
      </c>
      <c r="AB946" t="s">
        <v>74</v>
      </c>
      <c r="AC946" t="s">
        <v>74</v>
      </c>
      <c r="AD946" t="s">
        <v>74</v>
      </c>
      <c r="AE946" t="s">
        <v>74</v>
      </c>
      <c r="AF946" t="s">
        <v>74</v>
      </c>
      <c r="AG946">
        <v>98</v>
      </c>
      <c r="AH946">
        <v>0</v>
      </c>
      <c r="AI946">
        <v>0</v>
      </c>
      <c r="AJ946">
        <v>3</v>
      </c>
      <c r="AK946">
        <v>3</v>
      </c>
      <c r="AL946" t="s">
        <v>120</v>
      </c>
      <c r="AM946" t="s">
        <v>121</v>
      </c>
      <c r="AN946" t="s">
        <v>122</v>
      </c>
      <c r="AO946" t="s">
        <v>4117</v>
      </c>
      <c r="AP946" t="s">
        <v>4118</v>
      </c>
      <c r="AQ946" t="s">
        <v>74</v>
      </c>
      <c r="AR946" t="s">
        <v>4119</v>
      </c>
      <c r="AS946" t="s">
        <v>4120</v>
      </c>
      <c r="AT946" t="s">
        <v>13744</v>
      </c>
      <c r="AU946">
        <v>2023</v>
      </c>
      <c r="AV946">
        <v>72</v>
      </c>
      <c r="AW946" t="s">
        <v>74</v>
      </c>
      <c r="AX946" t="s">
        <v>74</v>
      </c>
      <c r="AY946" t="s">
        <v>74</v>
      </c>
      <c r="AZ946" t="s">
        <v>74</v>
      </c>
      <c r="BA946" t="s">
        <v>74</v>
      </c>
      <c r="BB946" t="s">
        <v>74</v>
      </c>
      <c r="BC946" t="s">
        <v>74</v>
      </c>
      <c r="BD946">
        <v>102658</v>
      </c>
      <c r="BE946" t="s">
        <v>17158</v>
      </c>
      <c r="BF946" t="str">
        <f>HYPERLINK("http://dx.doi.org/10.1016/j.ijinfomgt.2023.102658","http://dx.doi.org/10.1016/j.ijinfomgt.2023.102658")</f>
        <v>http://dx.doi.org/10.1016/j.ijinfomgt.2023.102658</v>
      </c>
      <c r="BG946" t="s">
        <v>74</v>
      </c>
      <c r="BH946" t="s">
        <v>74</v>
      </c>
      <c r="BI946">
        <v>15</v>
      </c>
      <c r="BJ946" t="s">
        <v>4122</v>
      </c>
      <c r="BK946" t="s">
        <v>627</v>
      </c>
      <c r="BL946" t="s">
        <v>4122</v>
      </c>
      <c r="BM946" t="s">
        <v>17159</v>
      </c>
      <c r="BN946" t="s">
        <v>74</v>
      </c>
      <c r="BO946" t="s">
        <v>295</v>
      </c>
      <c r="BP946" t="s">
        <v>74</v>
      </c>
      <c r="BQ946" t="s">
        <v>74</v>
      </c>
      <c r="BR946" t="s">
        <v>104</v>
      </c>
      <c r="BS946" t="s">
        <v>17160</v>
      </c>
      <c r="BT946" t="str">
        <f>HYPERLINK("https%3A%2F%2Fwww.webofscience.com%2Fwos%2Fwoscc%2Ffull-record%2FWOS:001059603200001","View Full Record in Web of Science")</f>
        <v>View Full Record in Web of Science</v>
      </c>
    </row>
    <row r="947" spans="1:72" x14ac:dyDescent="0.15">
      <c r="A947" t="s">
        <v>72</v>
      </c>
      <c r="B947" t="s">
        <v>17161</v>
      </c>
      <c r="C947" t="s">
        <v>74</v>
      </c>
      <c r="D947" t="s">
        <v>74</v>
      </c>
      <c r="E947" t="s">
        <v>74</v>
      </c>
      <c r="F947" t="s">
        <v>17162</v>
      </c>
      <c r="G947" t="s">
        <v>74</v>
      </c>
      <c r="H947" t="s">
        <v>74</v>
      </c>
      <c r="I947" t="s">
        <v>17163</v>
      </c>
      <c r="J947" t="s">
        <v>17164</v>
      </c>
      <c r="K947" t="s">
        <v>74</v>
      </c>
      <c r="L947" t="s">
        <v>74</v>
      </c>
      <c r="M947" t="s">
        <v>78</v>
      </c>
      <c r="N947" t="s">
        <v>79</v>
      </c>
      <c r="O947" t="s">
        <v>74</v>
      </c>
      <c r="P947" t="s">
        <v>74</v>
      </c>
      <c r="Q947" t="s">
        <v>74</v>
      </c>
      <c r="R947" t="s">
        <v>74</v>
      </c>
      <c r="S947" t="s">
        <v>74</v>
      </c>
      <c r="T947" t="s">
        <v>17165</v>
      </c>
      <c r="U947" t="s">
        <v>17166</v>
      </c>
      <c r="V947" t="s">
        <v>17167</v>
      </c>
      <c r="W947" t="s">
        <v>17168</v>
      </c>
      <c r="X947" t="s">
        <v>11483</v>
      </c>
      <c r="Y947" t="s">
        <v>17169</v>
      </c>
      <c r="Z947" t="s">
        <v>17170</v>
      </c>
      <c r="AA947" t="s">
        <v>74</v>
      </c>
      <c r="AB947" t="s">
        <v>74</v>
      </c>
      <c r="AC947" t="s">
        <v>17171</v>
      </c>
      <c r="AD947" t="s">
        <v>17172</v>
      </c>
      <c r="AE947" t="s">
        <v>17173</v>
      </c>
      <c r="AF947" t="s">
        <v>74</v>
      </c>
      <c r="AG947">
        <v>67</v>
      </c>
      <c r="AH947">
        <v>1</v>
      </c>
      <c r="AI947">
        <v>1</v>
      </c>
      <c r="AJ947">
        <v>3</v>
      </c>
      <c r="AK947">
        <v>3</v>
      </c>
      <c r="AL947" t="s">
        <v>90</v>
      </c>
      <c r="AM947" t="s">
        <v>91</v>
      </c>
      <c r="AN947" t="s">
        <v>92</v>
      </c>
      <c r="AO947" t="s">
        <v>17174</v>
      </c>
      <c r="AP947" t="s">
        <v>17175</v>
      </c>
      <c r="AQ947" t="s">
        <v>74</v>
      </c>
      <c r="AR947" t="s">
        <v>17176</v>
      </c>
      <c r="AS947" t="s">
        <v>17177</v>
      </c>
      <c r="AT947" t="s">
        <v>13744</v>
      </c>
      <c r="AU947">
        <v>2023</v>
      </c>
      <c r="AV947">
        <v>301</v>
      </c>
      <c r="AW947" t="s">
        <v>74</v>
      </c>
      <c r="AX947" t="s">
        <v>74</v>
      </c>
      <c r="AY947" t="s">
        <v>74</v>
      </c>
      <c r="AZ947" t="s">
        <v>74</v>
      </c>
      <c r="BA947" t="s">
        <v>74</v>
      </c>
      <c r="BB947" t="s">
        <v>74</v>
      </c>
      <c r="BC947" t="s">
        <v>74</v>
      </c>
      <c r="BD947">
        <v>107091</v>
      </c>
      <c r="BE947" t="s">
        <v>17178</v>
      </c>
      <c r="BF947" t="str">
        <f>HYPERLINK("http://dx.doi.org/10.1016/j.bpc.2023.107091","http://dx.doi.org/10.1016/j.bpc.2023.107091")</f>
        <v>http://dx.doi.org/10.1016/j.bpc.2023.107091</v>
      </c>
      <c r="BG947" t="s">
        <v>74</v>
      </c>
      <c r="BH947" t="s">
        <v>74</v>
      </c>
      <c r="BI947">
        <v>9</v>
      </c>
      <c r="BJ947" t="s">
        <v>17179</v>
      </c>
      <c r="BK947" t="s">
        <v>100</v>
      </c>
      <c r="BL947" t="s">
        <v>17180</v>
      </c>
      <c r="BM947" t="s">
        <v>17181</v>
      </c>
      <c r="BN947">
        <v>37549471</v>
      </c>
      <c r="BO947" t="s">
        <v>103</v>
      </c>
      <c r="BP947" t="s">
        <v>74</v>
      </c>
      <c r="BQ947" t="s">
        <v>74</v>
      </c>
      <c r="BR947" t="s">
        <v>104</v>
      </c>
      <c r="BS947" t="s">
        <v>17182</v>
      </c>
      <c r="BT947" t="str">
        <f>HYPERLINK("https%3A%2F%2Fwww.webofscience.com%2Fwos%2Fwoscc%2Ffull-record%2FWOS:001054610100001","View Full Record in Web of Science")</f>
        <v>View Full Record in Web of Science</v>
      </c>
    </row>
    <row r="948" spans="1:72" x14ac:dyDescent="0.15">
      <c r="A948" t="s">
        <v>72</v>
      </c>
      <c r="B948" t="s">
        <v>17183</v>
      </c>
      <c r="C948" t="s">
        <v>74</v>
      </c>
      <c r="D948" t="s">
        <v>74</v>
      </c>
      <c r="E948" t="s">
        <v>74</v>
      </c>
      <c r="F948" t="s">
        <v>17184</v>
      </c>
      <c r="G948" t="s">
        <v>74</v>
      </c>
      <c r="H948" t="s">
        <v>74</v>
      </c>
      <c r="I948" t="s">
        <v>17185</v>
      </c>
      <c r="J948" t="s">
        <v>12579</v>
      </c>
      <c r="K948" t="s">
        <v>74</v>
      </c>
      <c r="L948" t="s">
        <v>74</v>
      </c>
      <c r="M948" t="s">
        <v>78</v>
      </c>
      <c r="N948" t="s">
        <v>79</v>
      </c>
      <c r="O948" t="s">
        <v>74</v>
      </c>
      <c r="P948" t="s">
        <v>74</v>
      </c>
      <c r="Q948" t="s">
        <v>74</v>
      </c>
      <c r="R948" t="s">
        <v>74</v>
      </c>
      <c r="S948" t="s">
        <v>74</v>
      </c>
      <c r="T948" t="s">
        <v>17186</v>
      </c>
      <c r="U948" t="s">
        <v>17187</v>
      </c>
      <c r="V948" t="s">
        <v>17188</v>
      </c>
      <c r="W948" t="s">
        <v>17189</v>
      </c>
      <c r="X948" t="s">
        <v>17190</v>
      </c>
      <c r="Y948" t="s">
        <v>17191</v>
      </c>
      <c r="Z948" t="s">
        <v>17192</v>
      </c>
      <c r="AA948" t="s">
        <v>17193</v>
      </c>
      <c r="AB948" t="s">
        <v>17194</v>
      </c>
      <c r="AC948" t="s">
        <v>17195</v>
      </c>
      <c r="AD948" t="s">
        <v>17196</v>
      </c>
      <c r="AE948" t="s">
        <v>17197</v>
      </c>
      <c r="AF948" t="s">
        <v>74</v>
      </c>
      <c r="AG948">
        <v>57</v>
      </c>
      <c r="AH948">
        <v>0</v>
      </c>
      <c r="AI948">
        <v>0</v>
      </c>
      <c r="AJ948">
        <v>12</v>
      </c>
      <c r="AK948">
        <v>12</v>
      </c>
      <c r="AL948" t="s">
        <v>173</v>
      </c>
      <c r="AM948" t="s">
        <v>121</v>
      </c>
      <c r="AN948" t="s">
        <v>174</v>
      </c>
      <c r="AO948" t="s">
        <v>12590</v>
      </c>
      <c r="AP948" t="s">
        <v>12591</v>
      </c>
      <c r="AQ948" t="s">
        <v>74</v>
      </c>
      <c r="AR948" t="s">
        <v>12592</v>
      </c>
      <c r="AS948" t="s">
        <v>12593</v>
      </c>
      <c r="AT948" t="s">
        <v>13778</v>
      </c>
      <c r="AU948">
        <v>2023</v>
      </c>
      <c r="AV948">
        <v>258</v>
      </c>
      <c r="AW948" t="s">
        <v>74</v>
      </c>
      <c r="AX948" t="s">
        <v>74</v>
      </c>
      <c r="AY948" t="s">
        <v>74</v>
      </c>
      <c r="AZ948" t="s">
        <v>74</v>
      </c>
      <c r="BA948" t="s">
        <v>74</v>
      </c>
      <c r="BB948" t="s">
        <v>74</v>
      </c>
      <c r="BC948" t="s">
        <v>74</v>
      </c>
      <c r="BD948">
        <v>119249</v>
      </c>
      <c r="BE948" t="s">
        <v>17198</v>
      </c>
      <c r="BF948" t="str">
        <f>HYPERLINK("http://dx.doi.org/10.1016/j.actamat.2023.119249","http://dx.doi.org/10.1016/j.actamat.2023.119249")</f>
        <v>http://dx.doi.org/10.1016/j.actamat.2023.119249</v>
      </c>
      <c r="BG948" t="s">
        <v>74</v>
      </c>
      <c r="BH948" t="s">
        <v>74</v>
      </c>
      <c r="BI948">
        <v>12</v>
      </c>
      <c r="BJ948" t="s">
        <v>10175</v>
      </c>
      <c r="BK948" t="s">
        <v>100</v>
      </c>
      <c r="BL948" t="s">
        <v>10176</v>
      </c>
      <c r="BM948" t="s">
        <v>17199</v>
      </c>
      <c r="BN948" t="s">
        <v>74</v>
      </c>
      <c r="BO948" t="s">
        <v>74</v>
      </c>
      <c r="BP948" t="s">
        <v>74</v>
      </c>
      <c r="BQ948" t="s">
        <v>74</v>
      </c>
      <c r="BR948" t="s">
        <v>104</v>
      </c>
      <c r="BS948" t="s">
        <v>17200</v>
      </c>
      <c r="BT948" t="str">
        <f>HYPERLINK("https%3A%2F%2Fwww.webofscience.com%2Fwos%2Fwoscc%2Ffull-record%2FWOS:001060891700001","View Full Record in Web of Science")</f>
        <v>View Full Record in Web of Science</v>
      </c>
    </row>
    <row r="949" spans="1:72" x14ac:dyDescent="0.15">
      <c r="A949" t="s">
        <v>72</v>
      </c>
      <c r="B949" t="s">
        <v>17201</v>
      </c>
      <c r="C949" t="s">
        <v>74</v>
      </c>
      <c r="D949" t="s">
        <v>74</v>
      </c>
      <c r="E949" t="s">
        <v>74</v>
      </c>
      <c r="F949" t="s">
        <v>17202</v>
      </c>
      <c r="G949" t="s">
        <v>74</v>
      </c>
      <c r="H949" t="s">
        <v>74</v>
      </c>
      <c r="I949" t="s">
        <v>17203</v>
      </c>
      <c r="J949" t="s">
        <v>14781</v>
      </c>
      <c r="K949" t="s">
        <v>74</v>
      </c>
      <c r="L949" t="s">
        <v>74</v>
      </c>
      <c r="M949" t="s">
        <v>78</v>
      </c>
      <c r="N949" t="s">
        <v>79</v>
      </c>
      <c r="O949" t="s">
        <v>74</v>
      </c>
      <c r="P949" t="s">
        <v>74</v>
      </c>
      <c r="Q949" t="s">
        <v>74</v>
      </c>
      <c r="R949" t="s">
        <v>74</v>
      </c>
      <c r="S949" t="s">
        <v>74</v>
      </c>
      <c r="T949" t="s">
        <v>17204</v>
      </c>
      <c r="U949" t="s">
        <v>17205</v>
      </c>
      <c r="V949" t="s">
        <v>17206</v>
      </c>
      <c r="W949" t="s">
        <v>17207</v>
      </c>
      <c r="X949" t="s">
        <v>17208</v>
      </c>
      <c r="Y949" t="s">
        <v>17209</v>
      </c>
      <c r="Z949" t="s">
        <v>17210</v>
      </c>
      <c r="AA949" t="s">
        <v>17211</v>
      </c>
      <c r="AB949" t="s">
        <v>17212</v>
      </c>
      <c r="AC949" t="s">
        <v>17213</v>
      </c>
      <c r="AD949" t="s">
        <v>17214</v>
      </c>
      <c r="AE949" t="s">
        <v>17215</v>
      </c>
      <c r="AF949" t="s">
        <v>74</v>
      </c>
      <c r="AG949">
        <v>51</v>
      </c>
      <c r="AH949">
        <v>0</v>
      </c>
      <c r="AI949">
        <v>0</v>
      </c>
      <c r="AJ949">
        <v>6</v>
      </c>
      <c r="AK949">
        <v>6</v>
      </c>
      <c r="AL949" t="s">
        <v>173</v>
      </c>
      <c r="AM949" t="s">
        <v>121</v>
      </c>
      <c r="AN949" t="s">
        <v>174</v>
      </c>
      <c r="AO949" t="s">
        <v>16318</v>
      </c>
      <c r="AP949" t="s">
        <v>16319</v>
      </c>
      <c r="AQ949" t="s">
        <v>74</v>
      </c>
      <c r="AR949" t="s">
        <v>14781</v>
      </c>
      <c r="AS949" t="s">
        <v>16320</v>
      </c>
      <c r="AT949" t="s">
        <v>13744</v>
      </c>
      <c r="AU949">
        <v>2023</v>
      </c>
      <c r="AV949">
        <v>214</v>
      </c>
      <c r="AW949" t="s">
        <v>74</v>
      </c>
      <c r="AX949" t="s">
        <v>74</v>
      </c>
      <c r="AY949" t="s">
        <v>74</v>
      </c>
      <c r="AZ949" t="s">
        <v>74</v>
      </c>
      <c r="BA949" t="s">
        <v>74</v>
      </c>
      <c r="BB949" t="s">
        <v>74</v>
      </c>
      <c r="BC949" t="s">
        <v>74</v>
      </c>
      <c r="BD949">
        <v>118363</v>
      </c>
      <c r="BE949" t="s">
        <v>17216</v>
      </c>
      <c r="BF949" t="str">
        <f>HYPERLINK("http://dx.doi.org/10.1016/j.carbon.2023.118363","http://dx.doi.org/10.1016/j.carbon.2023.118363")</f>
        <v>http://dx.doi.org/10.1016/j.carbon.2023.118363</v>
      </c>
      <c r="BG949" t="s">
        <v>74</v>
      </c>
      <c r="BH949" t="s">
        <v>74</v>
      </c>
      <c r="BI949">
        <v>11</v>
      </c>
      <c r="BJ949" t="s">
        <v>16322</v>
      </c>
      <c r="BK949" t="s">
        <v>100</v>
      </c>
      <c r="BL949" t="s">
        <v>9644</v>
      </c>
      <c r="BM949" t="s">
        <v>17217</v>
      </c>
      <c r="BN949" t="s">
        <v>74</v>
      </c>
      <c r="BO949" t="s">
        <v>74</v>
      </c>
      <c r="BP949" t="s">
        <v>74</v>
      </c>
      <c r="BQ949" t="s">
        <v>74</v>
      </c>
      <c r="BR949" t="s">
        <v>104</v>
      </c>
      <c r="BS949" t="s">
        <v>17218</v>
      </c>
      <c r="BT949" t="str">
        <f>HYPERLINK("https%3A%2F%2Fwww.webofscience.com%2Fwos%2Fwoscc%2Ffull-record%2FWOS:001056620400001","View Full Record in Web of Science")</f>
        <v>View Full Record in Web of Science</v>
      </c>
    </row>
    <row r="950" spans="1:72" x14ac:dyDescent="0.15">
      <c r="A950" t="s">
        <v>72</v>
      </c>
      <c r="B950" t="s">
        <v>17219</v>
      </c>
      <c r="C950" t="s">
        <v>74</v>
      </c>
      <c r="D950" t="s">
        <v>74</v>
      </c>
      <c r="E950" t="s">
        <v>74</v>
      </c>
      <c r="F950" t="s">
        <v>17220</v>
      </c>
      <c r="G950" t="s">
        <v>74</v>
      </c>
      <c r="H950" t="s">
        <v>74</v>
      </c>
      <c r="I950" t="s">
        <v>17221</v>
      </c>
      <c r="J950" t="s">
        <v>6645</v>
      </c>
      <c r="K950" t="s">
        <v>74</v>
      </c>
      <c r="L950" t="s">
        <v>74</v>
      </c>
      <c r="M950" t="s">
        <v>78</v>
      </c>
      <c r="N950" t="s">
        <v>79</v>
      </c>
      <c r="O950" t="s">
        <v>74</v>
      </c>
      <c r="P950" t="s">
        <v>74</v>
      </c>
      <c r="Q950" t="s">
        <v>74</v>
      </c>
      <c r="R950" t="s">
        <v>74</v>
      </c>
      <c r="S950" t="s">
        <v>74</v>
      </c>
      <c r="T950" t="s">
        <v>17222</v>
      </c>
      <c r="U950" t="s">
        <v>17223</v>
      </c>
      <c r="V950" t="s">
        <v>17224</v>
      </c>
      <c r="W950" t="s">
        <v>17225</v>
      </c>
      <c r="X950" t="s">
        <v>17226</v>
      </c>
      <c r="Y950" t="s">
        <v>17227</v>
      </c>
      <c r="Z950" t="s">
        <v>17228</v>
      </c>
      <c r="AA950" t="s">
        <v>74</v>
      </c>
      <c r="AB950" t="s">
        <v>17229</v>
      </c>
      <c r="AC950" t="s">
        <v>17230</v>
      </c>
      <c r="AD950" t="s">
        <v>17231</v>
      </c>
      <c r="AE950" t="s">
        <v>17232</v>
      </c>
      <c r="AF950" t="s">
        <v>74</v>
      </c>
      <c r="AG950">
        <v>54</v>
      </c>
      <c r="AH950">
        <v>0</v>
      </c>
      <c r="AI950">
        <v>0</v>
      </c>
      <c r="AJ950">
        <v>3</v>
      </c>
      <c r="AK950">
        <v>3</v>
      </c>
      <c r="AL950" t="s">
        <v>90</v>
      </c>
      <c r="AM950" t="s">
        <v>91</v>
      </c>
      <c r="AN950" t="s">
        <v>92</v>
      </c>
      <c r="AO950" t="s">
        <v>74</v>
      </c>
      <c r="AP950" t="s">
        <v>6656</v>
      </c>
      <c r="AQ950" t="s">
        <v>74</v>
      </c>
      <c r="AR950" t="s">
        <v>6657</v>
      </c>
      <c r="AS950" t="s">
        <v>6658</v>
      </c>
      <c r="AT950" t="s">
        <v>13778</v>
      </c>
      <c r="AU950">
        <v>2023</v>
      </c>
      <c r="AV950">
        <v>76</v>
      </c>
      <c r="AW950" t="s">
        <v>74</v>
      </c>
      <c r="AX950" t="s">
        <v>74</v>
      </c>
      <c r="AY950" t="s">
        <v>74</v>
      </c>
      <c r="AZ950" t="s">
        <v>74</v>
      </c>
      <c r="BA950" t="s">
        <v>74</v>
      </c>
      <c r="BB950" t="s">
        <v>74</v>
      </c>
      <c r="BC950" t="s">
        <v>74</v>
      </c>
      <c r="BD950">
        <v>107038</v>
      </c>
      <c r="BE950" t="s">
        <v>17233</v>
      </c>
      <c r="BF950" t="str">
        <f>HYPERLINK("http://dx.doi.org/10.1016/j.jobe.2023.107038","http://dx.doi.org/10.1016/j.jobe.2023.107038")</f>
        <v>http://dx.doi.org/10.1016/j.jobe.2023.107038</v>
      </c>
      <c r="BG950" t="s">
        <v>74</v>
      </c>
      <c r="BH950" t="s">
        <v>74</v>
      </c>
      <c r="BI950">
        <v>17</v>
      </c>
      <c r="BJ950" t="s">
        <v>3898</v>
      </c>
      <c r="BK950" t="s">
        <v>100</v>
      </c>
      <c r="BL950" t="s">
        <v>3899</v>
      </c>
      <c r="BM950" t="s">
        <v>17234</v>
      </c>
      <c r="BN950" t="s">
        <v>74</v>
      </c>
      <c r="BO950" t="s">
        <v>74</v>
      </c>
      <c r="BP950" t="s">
        <v>74</v>
      </c>
      <c r="BQ950" t="s">
        <v>74</v>
      </c>
      <c r="BR950" t="s">
        <v>104</v>
      </c>
      <c r="BS950" t="s">
        <v>17235</v>
      </c>
      <c r="BT950" t="str">
        <f>HYPERLINK("https%3A%2F%2Fwww.webofscience.com%2Fwos%2Fwoscc%2Ffull-record%2FWOS:001056768700001","View Full Record in Web of Science")</f>
        <v>View Full Record in Web of Science</v>
      </c>
    </row>
    <row r="951" spans="1:72" x14ac:dyDescent="0.15">
      <c r="A951" t="s">
        <v>72</v>
      </c>
      <c r="B951" t="s">
        <v>17236</v>
      </c>
      <c r="C951" t="s">
        <v>74</v>
      </c>
      <c r="D951" t="s">
        <v>74</v>
      </c>
      <c r="E951" t="s">
        <v>74</v>
      </c>
      <c r="F951" t="s">
        <v>17237</v>
      </c>
      <c r="G951" t="s">
        <v>74</v>
      </c>
      <c r="H951" t="s">
        <v>74</v>
      </c>
      <c r="I951" t="s">
        <v>17238</v>
      </c>
      <c r="J951" t="s">
        <v>12198</v>
      </c>
      <c r="K951" t="s">
        <v>74</v>
      </c>
      <c r="L951" t="s">
        <v>74</v>
      </c>
      <c r="M951" t="s">
        <v>78</v>
      </c>
      <c r="N951" t="s">
        <v>79</v>
      </c>
      <c r="O951" t="s">
        <v>74</v>
      </c>
      <c r="P951" t="s">
        <v>74</v>
      </c>
      <c r="Q951" t="s">
        <v>74</v>
      </c>
      <c r="R951" t="s">
        <v>74</v>
      </c>
      <c r="S951" t="s">
        <v>74</v>
      </c>
      <c r="T951" t="s">
        <v>17239</v>
      </c>
      <c r="U951" t="s">
        <v>17240</v>
      </c>
      <c r="V951" t="s">
        <v>17241</v>
      </c>
      <c r="W951" t="s">
        <v>17242</v>
      </c>
      <c r="X951" t="s">
        <v>17243</v>
      </c>
      <c r="Y951" t="s">
        <v>17244</v>
      </c>
      <c r="Z951" t="s">
        <v>17245</v>
      </c>
      <c r="AA951" t="s">
        <v>74</v>
      </c>
      <c r="AB951" t="s">
        <v>74</v>
      </c>
      <c r="AC951" t="s">
        <v>74</v>
      </c>
      <c r="AD951" t="s">
        <v>74</v>
      </c>
      <c r="AE951" t="s">
        <v>74</v>
      </c>
      <c r="AF951" t="s">
        <v>74</v>
      </c>
      <c r="AG951">
        <v>60</v>
      </c>
      <c r="AH951">
        <v>1</v>
      </c>
      <c r="AI951">
        <v>1</v>
      </c>
      <c r="AJ951">
        <v>3</v>
      </c>
      <c r="AK951">
        <v>3</v>
      </c>
      <c r="AL951" t="s">
        <v>554</v>
      </c>
      <c r="AM951" t="s">
        <v>555</v>
      </c>
      <c r="AN951" t="s">
        <v>556</v>
      </c>
      <c r="AO951" t="s">
        <v>12207</v>
      </c>
      <c r="AP951" t="s">
        <v>12208</v>
      </c>
      <c r="AQ951" t="s">
        <v>74</v>
      </c>
      <c r="AR951" t="s">
        <v>12209</v>
      </c>
      <c r="AS951" t="s">
        <v>12210</v>
      </c>
      <c r="AT951" t="s">
        <v>13778</v>
      </c>
      <c r="AU951">
        <v>2023</v>
      </c>
      <c r="AV951">
        <v>200</v>
      </c>
      <c r="AW951" t="s">
        <v>74</v>
      </c>
      <c r="AX951" t="s">
        <v>74</v>
      </c>
      <c r="AY951" t="s">
        <v>74</v>
      </c>
      <c r="AZ951" t="s">
        <v>74</v>
      </c>
      <c r="BA951" t="s">
        <v>74</v>
      </c>
      <c r="BB951" t="s">
        <v>74</v>
      </c>
      <c r="BC951" t="s">
        <v>74</v>
      </c>
      <c r="BD951">
        <v>110542</v>
      </c>
      <c r="BE951" t="s">
        <v>17246</v>
      </c>
      <c r="BF951" t="str">
        <f>HYPERLINK("http://dx.doi.org/10.1016/j.ymssp.2023.110542","http://dx.doi.org/10.1016/j.ymssp.2023.110542")</f>
        <v>http://dx.doi.org/10.1016/j.ymssp.2023.110542</v>
      </c>
      <c r="BG951" t="s">
        <v>74</v>
      </c>
      <c r="BH951" t="s">
        <v>74</v>
      </c>
      <c r="BI951">
        <v>29</v>
      </c>
      <c r="BJ951" t="s">
        <v>7187</v>
      </c>
      <c r="BK951" t="s">
        <v>100</v>
      </c>
      <c r="BL951" t="s">
        <v>873</v>
      </c>
      <c r="BM951" t="s">
        <v>17247</v>
      </c>
      <c r="BN951" t="s">
        <v>74</v>
      </c>
      <c r="BO951" t="s">
        <v>74</v>
      </c>
      <c r="BP951" t="s">
        <v>74</v>
      </c>
      <c r="BQ951" t="s">
        <v>74</v>
      </c>
      <c r="BR951" t="s">
        <v>104</v>
      </c>
      <c r="BS951" t="s">
        <v>17248</v>
      </c>
      <c r="BT951" t="str">
        <f>HYPERLINK("https%3A%2F%2Fwww.webofscience.com%2Fwos%2Fwoscc%2Ffull-record%2FWOS:001048595400001","View Full Record in Web of Science")</f>
        <v>View Full Record in Web of Science</v>
      </c>
    </row>
    <row r="952" spans="1:72" x14ac:dyDescent="0.15">
      <c r="A952" t="s">
        <v>72</v>
      </c>
      <c r="B952" t="s">
        <v>17249</v>
      </c>
      <c r="C952" t="s">
        <v>74</v>
      </c>
      <c r="D952" t="s">
        <v>74</v>
      </c>
      <c r="E952" t="s">
        <v>74</v>
      </c>
      <c r="F952" t="s">
        <v>17250</v>
      </c>
      <c r="G952" t="s">
        <v>74</v>
      </c>
      <c r="H952" t="s">
        <v>74</v>
      </c>
      <c r="I952" t="s">
        <v>17251</v>
      </c>
      <c r="J952" t="s">
        <v>15880</v>
      </c>
      <c r="K952" t="s">
        <v>74</v>
      </c>
      <c r="L952" t="s">
        <v>74</v>
      </c>
      <c r="M952" t="s">
        <v>78</v>
      </c>
      <c r="N952" t="s">
        <v>79</v>
      </c>
      <c r="O952" t="s">
        <v>74</v>
      </c>
      <c r="P952" t="s">
        <v>74</v>
      </c>
      <c r="Q952" t="s">
        <v>74</v>
      </c>
      <c r="R952" t="s">
        <v>74</v>
      </c>
      <c r="S952" t="s">
        <v>74</v>
      </c>
      <c r="T952" t="s">
        <v>17252</v>
      </c>
      <c r="U952" t="s">
        <v>17253</v>
      </c>
      <c r="V952" t="s">
        <v>17254</v>
      </c>
      <c r="W952" t="s">
        <v>17255</v>
      </c>
      <c r="X952" t="s">
        <v>17256</v>
      </c>
      <c r="Y952" t="s">
        <v>17257</v>
      </c>
      <c r="Z952" t="s">
        <v>17258</v>
      </c>
      <c r="AA952" t="s">
        <v>74</v>
      </c>
      <c r="AB952" t="s">
        <v>74</v>
      </c>
      <c r="AC952" t="s">
        <v>17259</v>
      </c>
      <c r="AD952" t="s">
        <v>8917</v>
      </c>
      <c r="AE952" t="s">
        <v>17260</v>
      </c>
      <c r="AF952" t="s">
        <v>74</v>
      </c>
      <c r="AG952">
        <v>61</v>
      </c>
      <c r="AH952">
        <v>0</v>
      </c>
      <c r="AI952">
        <v>0</v>
      </c>
      <c r="AJ952">
        <v>0</v>
      </c>
      <c r="AK952">
        <v>0</v>
      </c>
      <c r="AL952" t="s">
        <v>120</v>
      </c>
      <c r="AM952" t="s">
        <v>121</v>
      </c>
      <c r="AN952" t="s">
        <v>122</v>
      </c>
      <c r="AO952" t="s">
        <v>15890</v>
      </c>
      <c r="AP952" t="s">
        <v>15891</v>
      </c>
      <c r="AQ952" t="s">
        <v>74</v>
      </c>
      <c r="AR952" t="s">
        <v>15892</v>
      </c>
      <c r="AS952" t="s">
        <v>15893</v>
      </c>
      <c r="AT952" t="s">
        <v>13744</v>
      </c>
      <c r="AU952">
        <v>2023</v>
      </c>
      <c r="AV952">
        <v>139</v>
      </c>
      <c r="AW952" t="s">
        <v>74</v>
      </c>
      <c r="AX952" t="s">
        <v>74</v>
      </c>
      <c r="AY952" t="s">
        <v>74</v>
      </c>
      <c r="AZ952" t="s">
        <v>74</v>
      </c>
      <c r="BA952" t="s">
        <v>74</v>
      </c>
      <c r="BB952" t="s">
        <v>74</v>
      </c>
      <c r="BC952" t="s">
        <v>74</v>
      </c>
      <c r="BD952">
        <v>102919</v>
      </c>
      <c r="BE952" t="s">
        <v>17261</v>
      </c>
      <c r="BF952" t="str">
        <f>HYPERLINK("http://dx.doi.org/10.1016/j.ndteint.2023.102919","http://dx.doi.org/10.1016/j.ndteint.2023.102919")</f>
        <v>http://dx.doi.org/10.1016/j.ndteint.2023.102919</v>
      </c>
      <c r="BG952" t="s">
        <v>74</v>
      </c>
      <c r="BH952" t="s">
        <v>74</v>
      </c>
      <c r="BI952">
        <v>9</v>
      </c>
      <c r="BJ952" t="s">
        <v>15895</v>
      </c>
      <c r="BK952" t="s">
        <v>100</v>
      </c>
      <c r="BL952" t="s">
        <v>1112</v>
      </c>
      <c r="BM952" t="s">
        <v>17262</v>
      </c>
      <c r="BN952" t="s">
        <v>74</v>
      </c>
      <c r="BO952" t="s">
        <v>74</v>
      </c>
      <c r="BP952" t="s">
        <v>74</v>
      </c>
      <c r="BQ952" t="s">
        <v>74</v>
      </c>
      <c r="BR952" t="s">
        <v>104</v>
      </c>
      <c r="BS952" t="s">
        <v>17263</v>
      </c>
      <c r="BT952" t="str">
        <f>HYPERLINK("https%3A%2F%2Fwww.webofscience.com%2Fwos%2Fwoscc%2Ffull-record%2FWOS:001065553100001","View Full Record in Web of Science")</f>
        <v>View Full Record in Web of Science</v>
      </c>
    </row>
    <row r="953" spans="1:72" x14ac:dyDescent="0.15">
      <c r="A953" t="s">
        <v>72</v>
      </c>
      <c r="B953" t="s">
        <v>17264</v>
      </c>
      <c r="C953" t="s">
        <v>74</v>
      </c>
      <c r="D953" t="s">
        <v>74</v>
      </c>
      <c r="E953" t="s">
        <v>74</v>
      </c>
      <c r="F953" t="s">
        <v>17265</v>
      </c>
      <c r="G953" t="s">
        <v>74</v>
      </c>
      <c r="H953" t="s">
        <v>74</v>
      </c>
      <c r="I953" t="s">
        <v>17266</v>
      </c>
      <c r="J953" t="s">
        <v>14114</v>
      </c>
      <c r="K953" t="s">
        <v>74</v>
      </c>
      <c r="L953" t="s">
        <v>74</v>
      </c>
      <c r="M953" t="s">
        <v>78</v>
      </c>
      <c r="N953" t="s">
        <v>79</v>
      </c>
      <c r="O953" t="s">
        <v>74</v>
      </c>
      <c r="P953" t="s">
        <v>74</v>
      </c>
      <c r="Q953" t="s">
        <v>74</v>
      </c>
      <c r="R953" t="s">
        <v>74</v>
      </c>
      <c r="S953" t="s">
        <v>74</v>
      </c>
      <c r="T953" t="s">
        <v>17267</v>
      </c>
      <c r="U953" t="s">
        <v>17268</v>
      </c>
      <c r="V953" t="s">
        <v>17269</v>
      </c>
      <c r="W953" t="s">
        <v>17270</v>
      </c>
      <c r="X953" t="s">
        <v>17271</v>
      </c>
      <c r="Y953" t="s">
        <v>17272</v>
      </c>
      <c r="Z953" t="s">
        <v>17273</v>
      </c>
      <c r="AA953" t="s">
        <v>17274</v>
      </c>
      <c r="AB953" t="s">
        <v>17275</v>
      </c>
      <c r="AC953" t="s">
        <v>17276</v>
      </c>
      <c r="AD953" t="s">
        <v>17277</v>
      </c>
      <c r="AE953" t="s">
        <v>17278</v>
      </c>
      <c r="AF953" t="s">
        <v>74</v>
      </c>
      <c r="AG953">
        <v>44</v>
      </c>
      <c r="AH953">
        <v>1</v>
      </c>
      <c r="AI953">
        <v>1</v>
      </c>
      <c r="AJ953">
        <v>2</v>
      </c>
      <c r="AK953">
        <v>2</v>
      </c>
      <c r="AL953" t="s">
        <v>475</v>
      </c>
      <c r="AM953" t="s">
        <v>476</v>
      </c>
      <c r="AN953" t="s">
        <v>477</v>
      </c>
      <c r="AO953" t="s">
        <v>14127</v>
      </c>
      <c r="AP953" t="s">
        <v>14128</v>
      </c>
      <c r="AQ953" t="s">
        <v>74</v>
      </c>
      <c r="AR953" t="s">
        <v>14129</v>
      </c>
      <c r="AS953" t="s">
        <v>14130</v>
      </c>
      <c r="AT953" t="s">
        <v>13744</v>
      </c>
      <c r="AU953">
        <v>2023</v>
      </c>
      <c r="AV953">
        <v>123</v>
      </c>
      <c r="AW953" t="s">
        <v>74</v>
      </c>
      <c r="AX953" t="s">
        <v>74</v>
      </c>
      <c r="AY953" t="s">
        <v>74</v>
      </c>
      <c r="AZ953" t="s">
        <v>74</v>
      </c>
      <c r="BA953" t="s">
        <v>74</v>
      </c>
      <c r="BB953" t="s">
        <v>74</v>
      </c>
      <c r="BC953" t="s">
        <v>74</v>
      </c>
      <c r="BD953">
        <v>105532</v>
      </c>
      <c r="BE953" t="s">
        <v>17279</v>
      </c>
      <c r="BF953" t="str">
        <f>HYPERLINK("http://dx.doi.org/10.1016/j.jfca.2023.105532","http://dx.doi.org/10.1016/j.jfca.2023.105532")</f>
        <v>http://dx.doi.org/10.1016/j.jfca.2023.105532</v>
      </c>
      <c r="BG953" t="s">
        <v>74</v>
      </c>
      <c r="BH953" t="s">
        <v>74</v>
      </c>
      <c r="BI953">
        <v>9</v>
      </c>
      <c r="BJ953" t="s">
        <v>1849</v>
      </c>
      <c r="BK953" t="s">
        <v>100</v>
      </c>
      <c r="BL953" t="s">
        <v>1851</v>
      </c>
      <c r="BM953" t="s">
        <v>17280</v>
      </c>
      <c r="BN953" t="s">
        <v>74</v>
      </c>
      <c r="BO953" t="s">
        <v>295</v>
      </c>
      <c r="BP953" t="s">
        <v>74</v>
      </c>
      <c r="BQ953" t="s">
        <v>74</v>
      </c>
      <c r="BR953" t="s">
        <v>104</v>
      </c>
      <c r="BS953" t="s">
        <v>17281</v>
      </c>
      <c r="BT953" t="str">
        <f>HYPERLINK("https%3A%2F%2Fwww.webofscience.com%2Fwos%2Fwoscc%2Ffull-record%2FWOS:001044487600001","View Full Record in Web of Science")</f>
        <v>View Full Record in Web of Science</v>
      </c>
    </row>
    <row r="954" spans="1:72" x14ac:dyDescent="0.15">
      <c r="A954" t="s">
        <v>72</v>
      </c>
      <c r="B954" t="s">
        <v>17282</v>
      </c>
      <c r="C954" t="s">
        <v>74</v>
      </c>
      <c r="D954" t="s">
        <v>74</v>
      </c>
      <c r="E954" t="s">
        <v>74</v>
      </c>
      <c r="F954" t="s">
        <v>17283</v>
      </c>
      <c r="G954" t="s">
        <v>74</v>
      </c>
      <c r="H954" t="s">
        <v>74</v>
      </c>
      <c r="I954" t="s">
        <v>17284</v>
      </c>
      <c r="J954" t="s">
        <v>17285</v>
      </c>
      <c r="K954" t="s">
        <v>74</v>
      </c>
      <c r="L954" t="s">
        <v>74</v>
      </c>
      <c r="M954" t="s">
        <v>78</v>
      </c>
      <c r="N954" t="s">
        <v>79</v>
      </c>
      <c r="O954" t="s">
        <v>74</v>
      </c>
      <c r="P954" t="s">
        <v>74</v>
      </c>
      <c r="Q954" t="s">
        <v>74</v>
      </c>
      <c r="R954" t="s">
        <v>74</v>
      </c>
      <c r="S954" t="s">
        <v>74</v>
      </c>
      <c r="T954" t="s">
        <v>17286</v>
      </c>
      <c r="U954" t="s">
        <v>17287</v>
      </c>
      <c r="V954" t="s">
        <v>17288</v>
      </c>
      <c r="W954" t="s">
        <v>17289</v>
      </c>
      <c r="X954" t="s">
        <v>17290</v>
      </c>
      <c r="Y954" t="s">
        <v>17291</v>
      </c>
      <c r="Z954" t="s">
        <v>17292</v>
      </c>
      <c r="AA954" t="s">
        <v>74</v>
      </c>
      <c r="AB954" t="s">
        <v>74</v>
      </c>
      <c r="AC954" t="s">
        <v>74</v>
      </c>
      <c r="AD954" t="s">
        <v>74</v>
      </c>
      <c r="AE954" t="s">
        <v>74</v>
      </c>
      <c r="AF954" t="s">
        <v>74</v>
      </c>
      <c r="AG954">
        <v>49</v>
      </c>
      <c r="AH954">
        <v>0</v>
      </c>
      <c r="AI954">
        <v>0</v>
      </c>
      <c r="AJ954">
        <v>1</v>
      </c>
      <c r="AK954">
        <v>1</v>
      </c>
      <c r="AL954" t="s">
        <v>173</v>
      </c>
      <c r="AM954" t="s">
        <v>121</v>
      </c>
      <c r="AN954" t="s">
        <v>174</v>
      </c>
      <c r="AO954" t="s">
        <v>17293</v>
      </c>
      <c r="AP954" t="s">
        <v>17294</v>
      </c>
      <c r="AQ954" t="s">
        <v>74</v>
      </c>
      <c r="AR954" t="s">
        <v>17295</v>
      </c>
      <c r="AS954" t="s">
        <v>17296</v>
      </c>
      <c r="AT954" t="s">
        <v>13778</v>
      </c>
      <c r="AU954">
        <v>2023</v>
      </c>
      <c r="AV954">
        <v>293</v>
      </c>
      <c r="AW954" t="s">
        <v>74</v>
      </c>
      <c r="AX954" t="s">
        <v>74</v>
      </c>
      <c r="AY954" t="s">
        <v>74</v>
      </c>
      <c r="AZ954" t="s">
        <v>74</v>
      </c>
      <c r="BA954" t="s">
        <v>74</v>
      </c>
      <c r="BB954" t="s">
        <v>74</v>
      </c>
      <c r="BC954" t="s">
        <v>74</v>
      </c>
      <c r="BD954">
        <v>117538</v>
      </c>
      <c r="BE954" t="s">
        <v>17297</v>
      </c>
      <c r="BF954" t="str">
        <f>HYPERLINK("http://dx.doi.org/10.1016/j.enconman.2023.117538","http://dx.doi.org/10.1016/j.enconman.2023.117538")</f>
        <v>http://dx.doi.org/10.1016/j.enconman.2023.117538</v>
      </c>
      <c r="BG954" t="s">
        <v>74</v>
      </c>
      <c r="BH954" t="s">
        <v>74</v>
      </c>
      <c r="BI954">
        <v>14</v>
      </c>
      <c r="BJ954" t="s">
        <v>17298</v>
      </c>
      <c r="BK954" t="s">
        <v>100</v>
      </c>
      <c r="BL954" t="s">
        <v>17298</v>
      </c>
      <c r="BM954" t="s">
        <v>17299</v>
      </c>
      <c r="BN954" t="s">
        <v>74</v>
      </c>
      <c r="BO954" t="s">
        <v>74</v>
      </c>
      <c r="BP954" t="s">
        <v>74</v>
      </c>
      <c r="BQ954" t="s">
        <v>74</v>
      </c>
      <c r="BR954" t="s">
        <v>104</v>
      </c>
      <c r="BS954" t="s">
        <v>17300</v>
      </c>
      <c r="BT954" t="str">
        <f>HYPERLINK("https%3A%2F%2Fwww.webofscience.com%2Fwos%2Fwoscc%2Ffull-record%2FWOS:001059236300001","View Full Record in Web of Science")</f>
        <v>View Full Record in Web of Science</v>
      </c>
    </row>
    <row r="955" spans="1:72" x14ac:dyDescent="0.15">
      <c r="A955" t="s">
        <v>72</v>
      </c>
      <c r="B955" t="s">
        <v>17301</v>
      </c>
      <c r="C955" t="s">
        <v>74</v>
      </c>
      <c r="D955" t="s">
        <v>74</v>
      </c>
      <c r="E955" t="s">
        <v>74</v>
      </c>
      <c r="F955" t="s">
        <v>17302</v>
      </c>
      <c r="G955" t="s">
        <v>74</v>
      </c>
      <c r="H955" t="s">
        <v>74</v>
      </c>
      <c r="I955" t="s">
        <v>17303</v>
      </c>
      <c r="J955" t="s">
        <v>17304</v>
      </c>
      <c r="K955" t="s">
        <v>74</v>
      </c>
      <c r="L955" t="s">
        <v>74</v>
      </c>
      <c r="M955" t="s">
        <v>78</v>
      </c>
      <c r="N955" t="s">
        <v>79</v>
      </c>
      <c r="O955" t="s">
        <v>74</v>
      </c>
      <c r="P955" t="s">
        <v>74</v>
      </c>
      <c r="Q955" t="s">
        <v>74</v>
      </c>
      <c r="R955" t="s">
        <v>74</v>
      </c>
      <c r="S955" t="s">
        <v>74</v>
      </c>
      <c r="T955" t="s">
        <v>17305</v>
      </c>
      <c r="U955" t="s">
        <v>74</v>
      </c>
      <c r="V955" t="s">
        <v>17306</v>
      </c>
      <c r="W955" t="s">
        <v>17307</v>
      </c>
      <c r="X955" t="s">
        <v>17308</v>
      </c>
      <c r="Y955" t="s">
        <v>17309</v>
      </c>
      <c r="Z955" t="s">
        <v>17310</v>
      </c>
      <c r="AA955" t="s">
        <v>17311</v>
      </c>
      <c r="AB955" t="s">
        <v>17312</v>
      </c>
      <c r="AC955" t="s">
        <v>74</v>
      </c>
      <c r="AD955" t="s">
        <v>74</v>
      </c>
      <c r="AE955" t="s">
        <v>74</v>
      </c>
      <c r="AF955" t="s">
        <v>74</v>
      </c>
      <c r="AG955">
        <v>33</v>
      </c>
      <c r="AH955">
        <v>0</v>
      </c>
      <c r="AI955">
        <v>0</v>
      </c>
      <c r="AJ955">
        <v>3</v>
      </c>
      <c r="AK955">
        <v>3</v>
      </c>
      <c r="AL955" t="s">
        <v>90</v>
      </c>
      <c r="AM955" t="s">
        <v>91</v>
      </c>
      <c r="AN955" t="s">
        <v>92</v>
      </c>
      <c r="AO955" t="s">
        <v>17313</v>
      </c>
      <c r="AP955" t="s">
        <v>17314</v>
      </c>
      <c r="AQ955" t="s">
        <v>74</v>
      </c>
      <c r="AR955" t="s">
        <v>17315</v>
      </c>
      <c r="AS955" t="s">
        <v>17316</v>
      </c>
      <c r="AT955" t="s">
        <v>13778</v>
      </c>
      <c r="AU955">
        <v>2023</v>
      </c>
      <c r="AV955">
        <v>80</v>
      </c>
      <c r="AW955" t="s">
        <v>74</v>
      </c>
      <c r="AX955" t="s">
        <v>74</v>
      </c>
      <c r="AY955" t="s">
        <v>74</v>
      </c>
      <c r="AZ955" t="s">
        <v>74</v>
      </c>
      <c r="BA955" t="s">
        <v>74</v>
      </c>
      <c r="BB955">
        <v>134</v>
      </c>
      <c r="BC955">
        <v>143</v>
      </c>
      <c r="BD955" t="s">
        <v>74</v>
      </c>
      <c r="BE955" t="s">
        <v>17317</v>
      </c>
      <c r="BF955" t="str">
        <f>HYPERLINK("http://dx.doi.org/10.1016/j.aej.2023.08.047","http://dx.doi.org/10.1016/j.aej.2023.08.047")</f>
        <v>http://dx.doi.org/10.1016/j.aej.2023.08.047</v>
      </c>
      <c r="BG955" t="s">
        <v>74</v>
      </c>
      <c r="BH955" t="s">
        <v>74</v>
      </c>
      <c r="BI955">
        <v>10</v>
      </c>
      <c r="BJ955" t="s">
        <v>8156</v>
      </c>
      <c r="BK955" t="s">
        <v>100</v>
      </c>
      <c r="BL955" t="s">
        <v>873</v>
      </c>
      <c r="BM955" t="s">
        <v>17318</v>
      </c>
      <c r="BN955" t="s">
        <v>74</v>
      </c>
      <c r="BO955" t="s">
        <v>295</v>
      </c>
      <c r="BP955" t="s">
        <v>74</v>
      </c>
      <c r="BQ955" t="s">
        <v>74</v>
      </c>
      <c r="BR955" t="s">
        <v>104</v>
      </c>
      <c r="BS955" t="s">
        <v>17319</v>
      </c>
      <c r="BT955" t="str">
        <f>HYPERLINK("https%3A%2F%2Fwww.webofscience.com%2Fwos%2Fwoscc%2Ffull-record%2FWOS:001065585500001","View Full Record in Web of Science")</f>
        <v>View Full Record in Web of Science</v>
      </c>
    </row>
    <row r="956" spans="1:72" x14ac:dyDescent="0.15">
      <c r="A956" t="s">
        <v>72</v>
      </c>
      <c r="B956" t="s">
        <v>17320</v>
      </c>
      <c r="C956" t="s">
        <v>74</v>
      </c>
      <c r="D956" t="s">
        <v>74</v>
      </c>
      <c r="E956" t="s">
        <v>74</v>
      </c>
      <c r="F956" t="s">
        <v>17321</v>
      </c>
      <c r="G956" t="s">
        <v>74</v>
      </c>
      <c r="H956" t="s">
        <v>74</v>
      </c>
      <c r="I956" t="s">
        <v>17322</v>
      </c>
      <c r="J956" t="s">
        <v>17323</v>
      </c>
      <c r="K956" t="s">
        <v>74</v>
      </c>
      <c r="L956" t="s">
        <v>74</v>
      </c>
      <c r="M956" t="s">
        <v>78</v>
      </c>
      <c r="N956" t="s">
        <v>79</v>
      </c>
      <c r="O956" t="s">
        <v>74</v>
      </c>
      <c r="P956" t="s">
        <v>74</v>
      </c>
      <c r="Q956" t="s">
        <v>74</v>
      </c>
      <c r="R956" t="s">
        <v>74</v>
      </c>
      <c r="S956" t="s">
        <v>74</v>
      </c>
      <c r="T956" t="s">
        <v>17324</v>
      </c>
      <c r="U956" t="s">
        <v>17325</v>
      </c>
      <c r="V956" t="s">
        <v>17326</v>
      </c>
      <c r="W956" t="s">
        <v>17327</v>
      </c>
      <c r="X956" t="s">
        <v>17328</v>
      </c>
      <c r="Y956" t="s">
        <v>17329</v>
      </c>
      <c r="Z956" t="s">
        <v>17330</v>
      </c>
      <c r="AA956" t="s">
        <v>17331</v>
      </c>
      <c r="AB956" t="s">
        <v>17332</v>
      </c>
      <c r="AC956" t="s">
        <v>74</v>
      </c>
      <c r="AD956" t="s">
        <v>74</v>
      </c>
      <c r="AE956" t="s">
        <v>74</v>
      </c>
      <c r="AF956" t="s">
        <v>74</v>
      </c>
      <c r="AG956">
        <v>40</v>
      </c>
      <c r="AH956">
        <v>0</v>
      </c>
      <c r="AI956">
        <v>0</v>
      </c>
      <c r="AJ956">
        <v>0</v>
      </c>
      <c r="AK956">
        <v>0</v>
      </c>
      <c r="AL956" t="s">
        <v>120</v>
      </c>
      <c r="AM956" t="s">
        <v>121</v>
      </c>
      <c r="AN956" t="s">
        <v>122</v>
      </c>
      <c r="AO956" t="s">
        <v>17333</v>
      </c>
      <c r="AP956" t="s">
        <v>17334</v>
      </c>
      <c r="AQ956" t="s">
        <v>74</v>
      </c>
      <c r="AR956" t="s">
        <v>17335</v>
      </c>
      <c r="AS956" t="s">
        <v>17336</v>
      </c>
      <c r="AT956" t="s">
        <v>13744</v>
      </c>
      <c r="AU956">
        <v>2023</v>
      </c>
      <c r="AV956">
        <v>85</v>
      </c>
      <c r="AW956" t="s">
        <v>74</v>
      </c>
      <c r="AX956" t="s">
        <v>74</v>
      </c>
      <c r="AY956" t="s">
        <v>74</v>
      </c>
      <c r="AZ956" t="s">
        <v>74</v>
      </c>
      <c r="BA956" t="s">
        <v>74</v>
      </c>
      <c r="BB956">
        <v>276</v>
      </c>
      <c r="BC956">
        <v>286</v>
      </c>
      <c r="BD956" t="s">
        <v>74</v>
      </c>
      <c r="BE956" t="s">
        <v>17337</v>
      </c>
      <c r="BF956" t="str">
        <f>HYPERLINK("http://dx.doi.org/10.1016/j.bjps.2023.07.022","http://dx.doi.org/10.1016/j.bjps.2023.07.022")</f>
        <v>http://dx.doi.org/10.1016/j.bjps.2023.07.022</v>
      </c>
      <c r="BG956" t="s">
        <v>74</v>
      </c>
      <c r="BH956" t="s">
        <v>74</v>
      </c>
      <c r="BI956">
        <v>11</v>
      </c>
      <c r="BJ956" t="s">
        <v>7358</v>
      </c>
      <c r="BK956" t="s">
        <v>100</v>
      </c>
      <c r="BL956" t="s">
        <v>7358</v>
      </c>
      <c r="BM956" t="s">
        <v>17338</v>
      </c>
      <c r="BN956">
        <v>37541044</v>
      </c>
      <c r="BO956" t="s">
        <v>295</v>
      </c>
      <c r="BP956" t="s">
        <v>74</v>
      </c>
      <c r="BQ956" t="s">
        <v>74</v>
      </c>
      <c r="BR956" t="s">
        <v>104</v>
      </c>
      <c r="BS956" t="s">
        <v>17339</v>
      </c>
      <c r="BT956" t="str">
        <f>HYPERLINK("https%3A%2F%2Fwww.webofscience.com%2Fwos%2Fwoscc%2Ffull-record%2FWOS:001067988800001","View Full Record in Web of Science")</f>
        <v>View Full Record in Web of Science</v>
      </c>
    </row>
    <row r="957" spans="1:72" x14ac:dyDescent="0.15">
      <c r="A957" t="s">
        <v>72</v>
      </c>
      <c r="B957" t="s">
        <v>17340</v>
      </c>
      <c r="C957" t="s">
        <v>74</v>
      </c>
      <c r="D957" t="s">
        <v>74</v>
      </c>
      <c r="E957" t="s">
        <v>74</v>
      </c>
      <c r="F957" t="s">
        <v>17341</v>
      </c>
      <c r="G957" t="s">
        <v>74</v>
      </c>
      <c r="H957" t="s">
        <v>74</v>
      </c>
      <c r="I957" t="s">
        <v>17342</v>
      </c>
      <c r="J957" t="s">
        <v>17343</v>
      </c>
      <c r="K957" t="s">
        <v>74</v>
      </c>
      <c r="L957" t="s">
        <v>74</v>
      </c>
      <c r="M957" t="s">
        <v>78</v>
      </c>
      <c r="N957" t="s">
        <v>79</v>
      </c>
      <c r="O957" t="s">
        <v>74</v>
      </c>
      <c r="P957" t="s">
        <v>74</v>
      </c>
      <c r="Q957" t="s">
        <v>74</v>
      </c>
      <c r="R957" t="s">
        <v>74</v>
      </c>
      <c r="S957" t="s">
        <v>74</v>
      </c>
      <c r="T957" t="s">
        <v>17344</v>
      </c>
      <c r="U957" t="s">
        <v>17345</v>
      </c>
      <c r="V957" t="s">
        <v>17346</v>
      </c>
      <c r="W957" t="s">
        <v>17347</v>
      </c>
      <c r="X957" t="s">
        <v>17348</v>
      </c>
      <c r="Y957" t="s">
        <v>17349</v>
      </c>
      <c r="Z957" t="s">
        <v>17350</v>
      </c>
      <c r="AA957" t="s">
        <v>74</v>
      </c>
      <c r="AB957" t="s">
        <v>17351</v>
      </c>
      <c r="AC957" t="s">
        <v>74</v>
      </c>
      <c r="AD957" t="s">
        <v>74</v>
      </c>
      <c r="AE957" t="s">
        <v>74</v>
      </c>
      <c r="AF957" t="s">
        <v>74</v>
      </c>
      <c r="AG957">
        <v>42</v>
      </c>
      <c r="AH957">
        <v>0</v>
      </c>
      <c r="AI957">
        <v>0</v>
      </c>
      <c r="AJ957">
        <v>0</v>
      </c>
      <c r="AK957">
        <v>0</v>
      </c>
      <c r="AL957" t="s">
        <v>90</v>
      </c>
      <c r="AM957" t="s">
        <v>91</v>
      </c>
      <c r="AN957" t="s">
        <v>92</v>
      </c>
      <c r="AO957" t="s">
        <v>17352</v>
      </c>
      <c r="AP957" t="s">
        <v>17353</v>
      </c>
      <c r="AQ957" t="s">
        <v>74</v>
      </c>
      <c r="AR957" t="s">
        <v>17343</v>
      </c>
      <c r="AS957" t="s">
        <v>17354</v>
      </c>
      <c r="AT957" t="s">
        <v>13744</v>
      </c>
      <c r="AU957">
        <v>2023</v>
      </c>
      <c r="AV957">
        <v>44</v>
      </c>
      <c r="AW957" t="s">
        <v>74</v>
      </c>
      <c r="AX957" t="s">
        <v>74</v>
      </c>
      <c r="AY957" t="s">
        <v>74</v>
      </c>
      <c r="AZ957" t="s">
        <v>74</v>
      </c>
      <c r="BA957" t="s">
        <v>74</v>
      </c>
      <c r="BB957">
        <v>21</v>
      </c>
      <c r="BC957">
        <v>30</v>
      </c>
      <c r="BD957" t="s">
        <v>74</v>
      </c>
      <c r="BE957" t="s">
        <v>17355</v>
      </c>
      <c r="BF957" t="str">
        <f>HYPERLINK("http://dx.doi.org/10.1016/j.knee.2023.06.012","http://dx.doi.org/10.1016/j.knee.2023.06.012")</f>
        <v>http://dx.doi.org/10.1016/j.knee.2023.06.012</v>
      </c>
      <c r="BG957" t="s">
        <v>74</v>
      </c>
      <c r="BH957" t="s">
        <v>74</v>
      </c>
      <c r="BI957">
        <v>10</v>
      </c>
      <c r="BJ957" t="s">
        <v>17356</v>
      </c>
      <c r="BK957" t="s">
        <v>100</v>
      </c>
      <c r="BL957" t="s">
        <v>17356</v>
      </c>
      <c r="BM957" t="s">
        <v>17357</v>
      </c>
      <c r="BN957">
        <v>37487379</v>
      </c>
      <c r="BO957" t="s">
        <v>74</v>
      </c>
      <c r="BP957" t="s">
        <v>74</v>
      </c>
      <c r="BQ957" t="s">
        <v>74</v>
      </c>
      <c r="BR957" t="s">
        <v>104</v>
      </c>
      <c r="BS957" t="s">
        <v>17358</v>
      </c>
      <c r="BT957" t="str">
        <f>HYPERLINK("https%3A%2F%2Fwww.webofscience.com%2Fwos%2Fwoscc%2Ffull-record%2FWOS:001061333100001","View Full Record in Web of Science")</f>
        <v>View Full Record in Web of Science</v>
      </c>
    </row>
    <row r="958" spans="1:72" x14ac:dyDescent="0.15">
      <c r="A958" t="s">
        <v>72</v>
      </c>
      <c r="B958" t="s">
        <v>17359</v>
      </c>
      <c r="C958" t="s">
        <v>74</v>
      </c>
      <c r="D958" t="s">
        <v>74</v>
      </c>
      <c r="E958" t="s">
        <v>74</v>
      </c>
      <c r="F958" t="s">
        <v>17360</v>
      </c>
      <c r="G958" t="s">
        <v>74</v>
      </c>
      <c r="H958" t="s">
        <v>74</v>
      </c>
      <c r="I958" t="s">
        <v>17361</v>
      </c>
      <c r="J958" t="s">
        <v>14872</v>
      </c>
      <c r="K958" t="s">
        <v>74</v>
      </c>
      <c r="L958" t="s">
        <v>74</v>
      </c>
      <c r="M958" t="s">
        <v>78</v>
      </c>
      <c r="N958" t="s">
        <v>16190</v>
      </c>
      <c r="O958" t="s">
        <v>74</v>
      </c>
      <c r="P958" t="s">
        <v>74</v>
      </c>
      <c r="Q958" t="s">
        <v>74</v>
      </c>
      <c r="R958" t="s">
        <v>74</v>
      </c>
      <c r="S958" t="s">
        <v>74</v>
      </c>
      <c r="T958" t="s">
        <v>17362</v>
      </c>
      <c r="U958" t="s">
        <v>74</v>
      </c>
      <c r="V958" t="s">
        <v>17363</v>
      </c>
      <c r="W958" t="s">
        <v>17364</v>
      </c>
      <c r="X958" t="s">
        <v>17365</v>
      </c>
      <c r="Y958" t="s">
        <v>17366</v>
      </c>
      <c r="Z958" t="s">
        <v>17367</v>
      </c>
      <c r="AA958" t="s">
        <v>74</v>
      </c>
      <c r="AB958" t="s">
        <v>17368</v>
      </c>
      <c r="AC958" t="s">
        <v>17369</v>
      </c>
      <c r="AD958" t="s">
        <v>252</v>
      </c>
      <c r="AE958" t="s">
        <v>17370</v>
      </c>
      <c r="AF958" t="s">
        <v>74</v>
      </c>
      <c r="AG958">
        <v>10</v>
      </c>
      <c r="AH958">
        <v>0</v>
      </c>
      <c r="AI958">
        <v>0</v>
      </c>
      <c r="AJ958">
        <v>0</v>
      </c>
      <c r="AK958">
        <v>0</v>
      </c>
      <c r="AL958" t="s">
        <v>90</v>
      </c>
      <c r="AM958" t="s">
        <v>91</v>
      </c>
      <c r="AN958" t="s">
        <v>92</v>
      </c>
      <c r="AO958" t="s">
        <v>14877</v>
      </c>
      <c r="AP958" t="s">
        <v>74</v>
      </c>
      <c r="AQ958" t="s">
        <v>74</v>
      </c>
      <c r="AR958" t="s">
        <v>14878</v>
      </c>
      <c r="AS958" t="s">
        <v>14879</v>
      </c>
      <c r="AT958" t="s">
        <v>13744</v>
      </c>
      <c r="AU958">
        <v>2023</v>
      </c>
      <c r="AV958">
        <v>50</v>
      </c>
      <c r="AW958" t="s">
        <v>74</v>
      </c>
      <c r="AX958" t="s">
        <v>74</v>
      </c>
      <c r="AY958" t="s">
        <v>74</v>
      </c>
      <c r="AZ958" t="s">
        <v>74</v>
      </c>
      <c r="BA958" t="s">
        <v>74</v>
      </c>
      <c r="BB958" t="s">
        <v>74</v>
      </c>
      <c r="BC958" t="s">
        <v>74</v>
      </c>
      <c r="BD958">
        <v>109499</v>
      </c>
      <c r="BE958" t="s">
        <v>17371</v>
      </c>
      <c r="BF958" t="str">
        <f>HYPERLINK("http://dx.doi.org/10.1016/j.dib.2023.109499","http://dx.doi.org/10.1016/j.dib.2023.109499")</f>
        <v>http://dx.doi.org/10.1016/j.dib.2023.109499</v>
      </c>
      <c r="BG958" t="s">
        <v>74</v>
      </c>
      <c r="BH958" t="s">
        <v>74</v>
      </c>
      <c r="BI958">
        <v>5</v>
      </c>
      <c r="BJ958" t="s">
        <v>4002</v>
      </c>
      <c r="BK958" t="s">
        <v>1850</v>
      </c>
      <c r="BL958" t="s">
        <v>4003</v>
      </c>
      <c r="BM958" t="s">
        <v>17372</v>
      </c>
      <c r="BN958">
        <v>37663770</v>
      </c>
      <c r="BO958" t="s">
        <v>3613</v>
      </c>
      <c r="BP958" t="s">
        <v>74</v>
      </c>
      <c r="BQ958" t="s">
        <v>74</v>
      </c>
      <c r="BR958" t="s">
        <v>104</v>
      </c>
      <c r="BS958" t="s">
        <v>17373</v>
      </c>
      <c r="BT958" t="str">
        <f>HYPERLINK("https%3A%2F%2Fwww.webofscience.com%2Fwos%2Fwoscc%2Ffull-record%2FWOS:001065604200001","View Full Record in Web of Science")</f>
        <v>View Full Record in Web of Science</v>
      </c>
    </row>
    <row r="959" spans="1:72" x14ac:dyDescent="0.15">
      <c r="A959" t="s">
        <v>72</v>
      </c>
      <c r="B959" t="s">
        <v>17374</v>
      </c>
      <c r="C959" t="s">
        <v>74</v>
      </c>
      <c r="D959" t="s">
        <v>74</v>
      </c>
      <c r="E959" t="s">
        <v>74</v>
      </c>
      <c r="F959" t="s">
        <v>17375</v>
      </c>
      <c r="G959" t="s">
        <v>74</v>
      </c>
      <c r="H959" t="s">
        <v>74</v>
      </c>
      <c r="I959" t="s">
        <v>17376</v>
      </c>
      <c r="J959" t="s">
        <v>12397</v>
      </c>
      <c r="K959" t="s">
        <v>74</v>
      </c>
      <c r="L959" t="s">
        <v>74</v>
      </c>
      <c r="M959" t="s">
        <v>78</v>
      </c>
      <c r="N959" t="s">
        <v>79</v>
      </c>
      <c r="O959" t="s">
        <v>74</v>
      </c>
      <c r="P959" t="s">
        <v>74</v>
      </c>
      <c r="Q959" t="s">
        <v>74</v>
      </c>
      <c r="R959" t="s">
        <v>74</v>
      </c>
      <c r="S959" t="s">
        <v>74</v>
      </c>
      <c r="T959" t="s">
        <v>17377</v>
      </c>
      <c r="U959" t="s">
        <v>17378</v>
      </c>
      <c r="V959" t="s">
        <v>17379</v>
      </c>
      <c r="W959" t="s">
        <v>17380</v>
      </c>
      <c r="X959" t="s">
        <v>17381</v>
      </c>
      <c r="Y959" t="s">
        <v>17382</v>
      </c>
      <c r="Z959" t="s">
        <v>17383</v>
      </c>
      <c r="AA959" t="s">
        <v>74</v>
      </c>
      <c r="AB959" t="s">
        <v>74</v>
      </c>
      <c r="AC959" t="s">
        <v>17384</v>
      </c>
      <c r="AD959" t="s">
        <v>8917</v>
      </c>
      <c r="AE959" t="s">
        <v>17385</v>
      </c>
      <c r="AF959" t="s">
        <v>74</v>
      </c>
      <c r="AG959">
        <v>28</v>
      </c>
      <c r="AH959">
        <v>0</v>
      </c>
      <c r="AI959">
        <v>0</v>
      </c>
      <c r="AJ959">
        <v>0</v>
      </c>
      <c r="AK959">
        <v>0</v>
      </c>
      <c r="AL959" t="s">
        <v>955</v>
      </c>
      <c r="AM959" t="s">
        <v>956</v>
      </c>
      <c r="AN959" t="s">
        <v>957</v>
      </c>
      <c r="AO959" t="s">
        <v>12410</v>
      </c>
      <c r="AP959" t="s">
        <v>12411</v>
      </c>
      <c r="AQ959" t="s">
        <v>74</v>
      </c>
      <c r="AR959" t="s">
        <v>12412</v>
      </c>
      <c r="AS959" t="s">
        <v>12413</v>
      </c>
      <c r="AT959" t="s">
        <v>13778</v>
      </c>
      <c r="AU959">
        <v>2023</v>
      </c>
      <c r="AV959">
        <v>296</v>
      </c>
      <c r="AW959" t="s">
        <v>74</v>
      </c>
      <c r="AX959" t="s">
        <v>74</v>
      </c>
      <c r="AY959" t="s">
        <v>74</v>
      </c>
      <c r="AZ959" t="s">
        <v>74</v>
      </c>
      <c r="BA959" t="s">
        <v>74</v>
      </c>
      <c r="BB959" t="s">
        <v>74</v>
      </c>
      <c r="BC959" t="s">
        <v>74</v>
      </c>
      <c r="BD959">
        <v>113372</v>
      </c>
      <c r="BE959" t="s">
        <v>17386</v>
      </c>
      <c r="BF959" t="str">
        <f>HYPERLINK("http://dx.doi.org/10.1016/j.enbuild.2023.113372","http://dx.doi.org/10.1016/j.enbuild.2023.113372")</f>
        <v>http://dx.doi.org/10.1016/j.enbuild.2023.113372</v>
      </c>
      <c r="BG959" t="s">
        <v>74</v>
      </c>
      <c r="BH959" t="s">
        <v>74</v>
      </c>
      <c r="BI959">
        <v>14</v>
      </c>
      <c r="BJ959" t="s">
        <v>12415</v>
      </c>
      <c r="BK959" t="s">
        <v>100</v>
      </c>
      <c r="BL959" t="s">
        <v>12416</v>
      </c>
      <c r="BM959" t="s">
        <v>17387</v>
      </c>
      <c r="BN959" t="s">
        <v>74</v>
      </c>
      <c r="BO959" t="s">
        <v>74</v>
      </c>
      <c r="BP959" t="s">
        <v>74</v>
      </c>
      <c r="BQ959" t="s">
        <v>74</v>
      </c>
      <c r="BR959" t="s">
        <v>104</v>
      </c>
      <c r="BS959" t="s">
        <v>17388</v>
      </c>
      <c r="BT959" t="str">
        <f>HYPERLINK("https%3A%2F%2Fwww.webofscience.com%2Fwos%2Fwoscc%2Ffull-record%2FWOS:001049504300001","View Full Record in Web of Science")</f>
        <v>View Full Record in Web of Science</v>
      </c>
    </row>
    <row r="960" spans="1:72" x14ac:dyDescent="0.15">
      <c r="A960" t="s">
        <v>72</v>
      </c>
      <c r="B960" t="s">
        <v>17389</v>
      </c>
      <c r="C960" t="s">
        <v>74</v>
      </c>
      <c r="D960" t="s">
        <v>74</v>
      </c>
      <c r="E960" t="s">
        <v>74</v>
      </c>
      <c r="F960" t="s">
        <v>17390</v>
      </c>
      <c r="G960" t="s">
        <v>74</v>
      </c>
      <c r="H960" t="s">
        <v>74</v>
      </c>
      <c r="I960" t="s">
        <v>17391</v>
      </c>
      <c r="J960" t="s">
        <v>17392</v>
      </c>
      <c r="K960" t="s">
        <v>74</v>
      </c>
      <c r="L960" t="s">
        <v>74</v>
      </c>
      <c r="M960" t="s">
        <v>78</v>
      </c>
      <c r="N960" t="s">
        <v>241</v>
      </c>
      <c r="O960" t="s">
        <v>74</v>
      </c>
      <c r="P960" t="s">
        <v>74</v>
      </c>
      <c r="Q960" t="s">
        <v>74</v>
      </c>
      <c r="R960" t="s">
        <v>74</v>
      </c>
      <c r="S960" t="s">
        <v>74</v>
      </c>
      <c r="T960" t="s">
        <v>17393</v>
      </c>
      <c r="U960" t="s">
        <v>17394</v>
      </c>
      <c r="V960" t="s">
        <v>17395</v>
      </c>
      <c r="W960" t="s">
        <v>17396</v>
      </c>
      <c r="X960" t="s">
        <v>17397</v>
      </c>
      <c r="Y960" t="s">
        <v>17398</v>
      </c>
      <c r="Z960" t="s">
        <v>17399</v>
      </c>
      <c r="AA960" t="s">
        <v>74</v>
      </c>
      <c r="AB960" t="s">
        <v>17400</v>
      </c>
      <c r="AC960" t="s">
        <v>74</v>
      </c>
      <c r="AD960" t="s">
        <v>74</v>
      </c>
      <c r="AE960" t="s">
        <v>74</v>
      </c>
      <c r="AF960" t="s">
        <v>74</v>
      </c>
      <c r="AG960">
        <v>198</v>
      </c>
      <c r="AH960">
        <v>0</v>
      </c>
      <c r="AI960">
        <v>0</v>
      </c>
      <c r="AJ960">
        <v>9</v>
      </c>
      <c r="AK960">
        <v>9</v>
      </c>
      <c r="AL960" t="s">
        <v>147</v>
      </c>
      <c r="AM960" t="s">
        <v>148</v>
      </c>
      <c r="AN960" t="s">
        <v>149</v>
      </c>
      <c r="AO960" t="s">
        <v>17401</v>
      </c>
      <c r="AP960" t="s">
        <v>17402</v>
      </c>
      <c r="AQ960" t="s">
        <v>74</v>
      </c>
      <c r="AR960" t="s">
        <v>17403</v>
      </c>
      <c r="AS960" t="s">
        <v>17404</v>
      </c>
      <c r="AT960" t="s">
        <v>13744</v>
      </c>
      <c r="AU960">
        <v>2023</v>
      </c>
      <c r="AV960">
        <v>195</v>
      </c>
      <c r="AW960" t="s">
        <v>74</v>
      </c>
      <c r="AX960" t="s">
        <v>74</v>
      </c>
      <c r="AY960" t="s">
        <v>74</v>
      </c>
      <c r="AZ960" t="s">
        <v>74</v>
      </c>
      <c r="BA960" t="s">
        <v>74</v>
      </c>
      <c r="BB960" t="s">
        <v>74</v>
      </c>
      <c r="BC960" t="s">
        <v>74</v>
      </c>
      <c r="BD960">
        <v>122756</v>
      </c>
      <c r="BE960" t="s">
        <v>17405</v>
      </c>
      <c r="BF960" t="str">
        <f>HYPERLINK("http://dx.doi.org/10.1016/j.techfore.2023.122756","http://dx.doi.org/10.1016/j.techfore.2023.122756")</f>
        <v>http://dx.doi.org/10.1016/j.techfore.2023.122756</v>
      </c>
      <c r="BG960" t="s">
        <v>74</v>
      </c>
      <c r="BH960" t="s">
        <v>74</v>
      </c>
      <c r="BI960">
        <v>16</v>
      </c>
      <c r="BJ960" t="s">
        <v>17406</v>
      </c>
      <c r="BK960" t="s">
        <v>627</v>
      </c>
      <c r="BL960" t="s">
        <v>17407</v>
      </c>
      <c r="BM960" t="s">
        <v>17408</v>
      </c>
      <c r="BN960" t="s">
        <v>74</v>
      </c>
      <c r="BO960" t="s">
        <v>74</v>
      </c>
      <c r="BP960" t="s">
        <v>74</v>
      </c>
      <c r="BQ960" t="s">
        <v>74</v>
      </c>
      <c r="BR960" t="s">
        <v>104</v>
      </c>
      <c r="BS960" t="s">
        <v>17409</v>
      </c>
      <c r="BT960" t="str">
        <f>HYPERLINK("https%3A%2F%2Fwww.webofscience.com%2Fwos%2Fwoscc%2Ffull-record%2FWOS:001052386600001","View Full Record in Web of Science")</f>
        <v>View Full Record in Web of Science</v>
      </c>
    </row>
    <row r="961" spans="1:72" x14ac:dyDescent="0.15">
      <c r="A961" t="s">
        <v>72</v>
      </c>
      <c r="B961" t="s">
        <v>17410</v>
      </c>
      <c r="C961" t="s">
        <v>74</v>
      </c>
      <c r="D961" t="s">
        <v>74</v>
      </c>
      <c r="E961" t="s">
        <v>74</v>
      </c>
      <c r="F961" t="s">
        <v>17411</v>
      </c>
      <c r="G961" t="s">
        <v>74</v>
      </c>
      <c r="H961" t="s">
        <v>74</v>
      </c>
      <c r="I961" t="s">
        <v>17412</v>
      </c>
      <c r="J961" t="s">
        <v>17413</v>
      </c>
      <c r="K961" t="s">
        <v>74</v>
      </c>
      <c r="L961" t="s">
        <v>74</v>
      </c>
      <c r="M961" t="s">
        <v>78</v>
      </c>
      <c r="N961" t="s">
        <v>79</v>
      </c>
      <c r="O961" t="s">
        <v>74</v>
      </c>
      <c r="P961" t="s">
        <v>74</v>
      </c>
      <c r="Q961" t="s">
        <v>74</v>
      </c>
      <c r="R961" t="s">
        <v>74</v>
      </c>
      <c r="S961" t="s">
        <v>74</v>
      </c>
      <c r="T961" t="s">
        <v>17414</v>
      </c>
      <c r="U961" t="s">
        <v>17415</v>
      </c>
      <c r="V961" t="s">
        <v>17416</v>
      </c>
      <c r="W961" t="s">
        <v>17417</v>
      </c>
      <c r="X961" t="s">
        <v>17418</v>
      </c>
      <c r="Y961" t="s">
        <v>17419</v>
      </c>
      <c r="Z961" t="s">
        <v>17420</v>
      </c>
      <c r="AA961" t="s">
        <v>17421</v>
      </c>
      <c r="AB961" t="s">
        <v>17422</v>
      </c>
      <c r="AC961" t="s">
        <v>17423</v>
      </c>
      <c r="AD961" t="s">
        <v>17424</v>
      </c>
      <c r="AE961" t="s">
        <v>17425</v>
      </c>
      <c r="AF961" t="s">
        <v>74</v>
      </c>
      <c r="AG961">
        <v>67</v>
      </c>
      <c r="AH961">
        <v>0</v>
      </c>
      <c r="AI961">
        <v>0</v>
      </c>
      <c r="AJ961">
        <v>8</v>
      </c>
      <c r="AK961">
        <v>8</v>
      </c>
      <c r="AL961" t="s">
        <v>120</v>
      </c>
      <c r="AM961" t="s">
        <v>121</v>
      </c>
      <c r="AN961" t="s">
        <v>122</v>
      </c>
      <c r="AO961" t="s">
        <v>17426</v>
      </c>
      <c r="AP961" t="s">
        <v>17427</v>
      </c>
      <c r="AQ961" t="s">
        <v>74</v>
      </c>
      <c r="AR961" t="s">
        <v>17428</v>
      </c>
      <c r="AS961" t="s">
        <v>17429</v>
      </c>
      <c r="AT961" t="s">
        <v>13744</v>
      </c>
      <c r="AU961">
        <v>2023</v>
      </c>
      <c r="AV961">
        <v>191</v>
      </c>
      <c r="AW961" t="s">
        <v>74</v>
      </c>
      <c r="AX961" t="s">
        <v>74</v>
      </c>
      <c r="AY961" t="s">
        <v>74</v>
      </c>
      <c r="AZ961" t="s">
        <v>74</v>
      </c>
      <c r="BA961" t="s">
        <v>74</v>
      </c>
      <c r="BB961" t="s">
        <v>74</v>
      </c>
      <c r="BC961" t="s">
        <v>74</v>
      </c>
      <c r="BD961">
        <v>111018</v>
      </c>
      <c r="BE961" t="s">
        <v>17430</v>
      </c>
      <c r="BF961" t="str">
        <f>HYPERLINK("http://dx.doi.org/10.1016/j.tws.2023.111018","http://dx.doi.org/10.1016/j.tws.2023.111018")</f>
        <v>http://dx.doi.org/10.1016/j.tws.2023.111018</v>
      </c>
      <c r="BG961" t="s">
        <v>74</v>
      </c>
      <c r="BH961" t="s">
        <v>74</v>
      </c>
      <c r="BI961">
        <v>14</v>
      </c>
      <c r="BJ961" t="s">
        <v>17431</v>
      </c>
      <c r="BK961" t="s">
        <v>100</v>
      </c>
      <c r="BL961" t="s">
        <v>2883</v>
      </c>
      <c r="BM961" t="s">
        <v>17432</v>
      </c>
      <c r="BN961" t="s">
        <v>74</v>
      </c>
      <c r="BO961" t="s">
        <v>74</v>
      </c>
      <c r="BP961" t="s">
        <v>74</v>
      </c>
      <c r="BQ961" t="s">
        <v>74</v>
      </c>
      <c r="BR961" t="s">
        <v>104</v>
      </c>
      <c r="BS961" t="s">
        <v>17433</v>
      </c>
      <c r="BT961" t="str">
        <f>HYPERLINK("https%3A%2F%2Fwww.webofscience.com%2Fwos%2Fwoscc%2Ffull-record%2FWOS:001051666400001","View Full Record in Web of Science")</f>
        <v>View Full Record in Web of Science</v>
      </c>
    </row>
    <row r="962" spans="1:72" x14ac:dyDescent="0.15">
      <c r="A962" t="s">
        <v>72</v>
      </c>
      <c r="B962" t="s">
        <v>17434</v>
      </c>
      <c r="C962" t="s">
        <v>74</v>
      </c>
      <c r="D962" t="s">
        <v>74</v>
      </c>
      <c r="E962" t="s">
        <v>74</v>
      </c>
      <c r="F962" t="s">
        <v>17435</v>
      </c>
      <c r="G962" t="s">
        <v>74</v>
      </c>
      <c r="H962" t="s">
        <v>74</v>
      </c>
      <c r="I962" t="s">
        <v>17436</v>
      </c>
      <c r="J962" t="s">
        <v>15919</v>
      </c>
      <c r="K962" t="s">
        <v>74</v>
      </c>
      <c r="L962" t="s">
        <v>74</v>
      </c>
      <c r="M962" t="s">
        <v>78</v>
      </c>
      <c r="N962" t="s">
        <v>79</v>
      </c>
      <c r="O962" t="s">
        <v>74</v>
      </c>
      <c r="P962" t="s">
        <v>74</v>
      </c>
      <c r="Q962" t="s">
        <v>74</v>
      </c>
      <c r="R962" t="s">
        <v>74</v>
      </c>
      <c r="S962" t="s">
        <v>74</v>
      </c>
      <c r="T962" t="s">
        <v>17437</v>
      </c>
      <c r="U962" t="s">
        <v>17438</v>
      </c>
      <c r="V962" t="s">
        <v>17439</v>
      </c>
      <c r="W962" t="s">
        <v>17440</v>
      </c>
      <c r="X962" t="s">
        <v>17441</v>
      </c>
      <c r="Y962" t="s">
        <v>17442</v>
      </c>
      <c r="Z962" t="s">
        <v>17443</v>
      </c>
      <c r="AA962" t="s">
        <v>74</v>
      </c>
      <c r="AB962" t="s">
        <v>17444</v>
      </c>
      <c r="AC962" t="s">
        <v>17445</v>
      </c>
      <c r="AD962" t="s">
        <v>17446</v>
      </c>
      <c r="AE962" t="s">
        <v>17447</v>
      </c>
      <c r="AF962" t="s">
        <v>74</v>
      </c>
      <c r="AG962">
        <v>77</v>
      </c>
      <c r="AH962">
        <v>0</v>
      </c>
      <c r="AI962">
        <v>0</v>
      </c>
      <c r="AJ962">
        <v>2</v>
      </c>
      <c r="AK962">
        <v>2</v>
      </c>
      <c r="AL962" t="s">
        <v>90</v>
      </c>
      <c r="AM962" t="s">
        <v>91</v>
      </c>
      <c r="AN962" t="s">
        <v>92</v>
      </c>
      <c r="AO962" t="s">
        <v>15930</v>
      </c>
      <c r="AP962" t="s">
        <v>15931</v>
      </c>
      <c r="AQ962" t="s">
        <v>74</v>
      </c>
      <c r="AR962" t="s">
        <v>15932</v>
      </c>
      <c r="AS962" t="s">
        <v>15933</v>
      </c>
      <c r="AT962" t="s">
        <v>13744</v>
      </c>
      <c r="AU962">
        <v>2023</v>
      </c>
      <c r="AV962">
        <v>154</v>
      </c>
      <c r="AW962" t="s">
        <v>74</v>
      </c>
      <c r="AX962" t="s">
        <v>74</v>
      </c>
      <c r="AY962" t="s">
        <v>74</v>
      </c>
      <c r="AZ962" t="s">
        <v>74</v>
      </c>
      <c r="BA962" t="s">
        <v>74</v>
      </c>
      <c r="BB962" t="s">
        <v>74</v>
      </c>
      <c r="BC962" t="s">
        <v>74</v>
      </c>
      <c r="BD962">
        <v>110738</v>
      </c>
      <c r="BE962" t="s">
        <v>17448</v>
      </c>
      <c r="BF962" t="str">
        <f>HYPERLINK("http://dx.doi.org/10.1016/j.ecolind.2023.110738","http://dx.doi.org/10.1016/j.ecolind.2023.110738")</f>
        <v>http://dx.doi.org/10.1016/j.ecolind.2023.110738</v>
      </c>
      <c r="BG962" t="s">
        <v>74</v>
      </c>
      <c r="BH962" t="s">
        <v>74</v>
      </c>
      <c r="BI962">
        <v>15</v>
      </c>
      <c r="BJ962" t="s">
        <v>15935</v>
      </c>
      <c r="BK962" t="s">
        <v>100</v>
      </c>
      <c r="BL962" t="s">
        <v>15936</v>
      </c>
      <c r="BM962" t="s">
        <v>17449</v>
      </c>
      <c r="BN962" t="s">
        <v>74</v>
      </c>
      <c r="BO962" t="s">
        <v>295</v>
      </c>
      <c r="BP962" t="s">
        <v>74</v>
      </c>
      <c r="BQ962" t="s">
        <v>74</v>
      </c>
      <c r="BR962" t="s">
        <v>104</v>
      </c>
      <c r="BS962" t="s">
        <v>17450</v>
      </c>
      <c r="BT962" t="str">
        <f>HYPERLINK("https%3A%2F%2Fwww.webofscience.com%2Fwos%2Fwoscc%2Ffull-record%2FWOS:001059636900001","View Full Record in Web of Science")</f>
        <v>View Full Record in Web of Science</v>
      </c>
    </row>
    <row r="963" spans="1:72" x14ac:dyDescent="0.15">
      <c r="A963" t="s">
        <v>72</v>
      </c>
      <c r="B963" t="s">
        <v>17451</v>
      </c>
      <c r="C963" t="s">
        <v>74</v>
      </c>
      <c r="D963" t="s">
        <v>74</v>
      </c>
      <c r="E963" t="s">
        <v>74</v>
      </c>
      <c r="F963" t="s">
        <v>17452</v>
      </c>
      <c r="G963" t="s">
        <v>74</v>
      </c>
      <c r="H963" t="s">
        <v>74</v>
      </c>
      <c r="I963" t="s">
        <v>17453</v>
      </c>
      <c r="J963" t="s">
        <v>6645</v>
      </c>
      <c r="K963" t="s">
        <v>74</v>
      </c>
      <c r="L963" t="s">
        <v>74</v>
      </c>
      <c r="M963" t="s">
        <v>78</v>
      </c>
      <c r="N963" t="s">
        <v>79</v>
      </c>
      <c r="O963" t="s">
        <v>74</v>
      </c>
      <c r="P963" t="s">
        <v>74</v>
      </c>
      <c r="Q963" t="s">
        <v>74</v>
      </c>
      <c r="R963" t="s">
        <v>74</v>
      </c>
      <c r="S963" t="s">
        <v>74</v>
      </c>
      <c r="T963" t="s">
        <v>17454</v>
      </c>
      <c r="U963" t="s">
        <v>17455</v>
      </c>
      <c r="V963" t="s">
        <v>17456</v>
      </c>
      <c r="W963" t="s">
        <v>17457</v>
      </c>
      <c r="X963" t="s">
        <v>17458</v>
      </c>
      <c r="Y963" t="s">
        <v>17459</v>
      </c>
      <c r="Z963" t="s">
        <v>17460</v>
      </c>
      <c r="AA963" t="s">
        <v>74</v>
      </c>
      <c r="AB963" t="s">
        <v>74</v>
      </c>
      <c r="AC963" t="s">
        <v>17461</v>
      </c>
      <c r="AD963" t="s">
        <v>17462</v>
      </c>
      <c r="AE963" t="s">
        <v>17463</v>
      </c>
      <c r="AF963" t="s">
        <v>74</v>
      </c>
      <c r="AG963">
        <v>45</v>
      </c>
      <c r="AH963">
        <v>0</v>
      </c>
      <c r="AI963">
        <v>0</v>
      </c>
      <c r="AJ963">
        <v>8</v>
      </c>
      <c r="AK963">
        <v>8</v>
      </c>
      <c r="AL963" t="s">
        <v>90</v>
      </c>
      <c r="AM963" t="s">
        <v>91</v>
      </c>
      <c r="AN963" t="s">
        <v>92</v>
      </c>
      <c r="AO963" t="s">
        <v>74</v>
      </c>
      <c r="AP963" t="s">
        <v>6656</v>
      </c>
      <c r="AQ963" t="s">
        <v>74</v>
      </c>
      <c r="AR963" t="s">
        <v>6657</v>
      </c>
      <c r="AS963" t="s">
        <v>6658</v>
      </c>
      <c r="AT963" t="s">
        <v>13778</v>
      </c>
      <c r="AU963">
        <v>2023</v>
      </c>
      <c r="AV963">
        <v>76</v>
      </c>
      <c r="AW963" t="s">
        <v>74</v>
      </c>
      <c r="AX963" t="s">
        <v>74</v>
      </c>
      <c r="AY963" t="s">
        <v>74</v>
      </c>
      <c r="AZ963" t="s">
        <v>74</v>
      </c>
      <c r="BA963" t="s">
        <v>74</v>
      </c>
      <c r="BB963" t="s">
        <v>74</v>
      </c>
      <c r="BC963" t="s">
        <v>74</v>
      </c>
      <c r="BD963">
        <v>107270</v>
      </c>
      <c r="BE963" t="s">
        <v>17464</v>
      </c>
      <c r="BF963" t="str">
        <f>HYPERLINK("http://dx.doi.org/10.1016/j.jobe.2023.107270","http://dx.doi.org/10.1016/j.jobe.2023.107270")</f>
        <v>http://dx.doi.org/10.1016/j.jobe.2023.107270</v>
      </c>
      <c r="BG963" t="s">
        <v>74</v>
      </c>
      <c r="BH963" t="s">
        <v>74</v>
      </c>
      <c r="BI963">
        <v>18</v>
      </c>
      <c r="BJ963" t="s">
        <v>3898</v>
      </c>
      <c r="BK963" t="s">
        <v>100</v>
      </c>
      <c r="BL963" t="s">
        <v>3899</v>
      </c>
      <c r="BM963" t="s">
        <v>17465</v>
      </c>
      <c r="BN963" t="s">
        <v>74</v>
      </c>
      <c r="BO963" t="s">
        <v>74</v>
      </c>
      <c r="BP963" t="s">
        <v>74</v>
      </c>
      <c r="BQ963" t="s">
        <v>74</v>
      </c>
      <c r="BR963" t="s">
        <v>104</v>
      </c>
      <c r="BS963" t="s">
        <v>17466</v>
      </c>
      <c r="BT963" t="str">
        <f>HYPERLINK("https%3A%2F%2Fwww.webofscience.com%2Fwos%2Fwoscc%2Ffull-record%2FWOS:001045210500001","View Full Record in Web of Science")</f>
        <v>View Full Record in Web of Science</v>
      </c>
    </row>
    <row r="964" spans="1:72" x14ac:dyDescent="0.15">
      <c r="A964" t="s">
        <v>72</v>
      </c>
      <c r="B964" t="s">
        <v>17467</v>
      </c>
      <c r="C964" t="s">
        <v>74</v>
      </c>
      <c r="D964" t="s">
        <v>74</v>
      </c>
      <c r="E964" t="s">
        <v>74</v>
      </c>
      <c r="F964" t="s">
        <v>17468</v>
      </c>
      <c r="G964" t="s">
        <v>74</v>
      </c>
      <c r="H964" t="s">
        <v>74</v>
      </c>
      <c r="I964" t="s">
        <v>17469</v>
      </c>
      <c r="J964" t="s">
        <v>14493</v>
      </c>
      <c r="K964" t="s">
        <v>74</v>
      </c>
      <c r="L964" t="s">
        <v>74</v>
      </c>
      <c r="M964" t="s">
        <v>78</v>
      </c>
      <c r="N964" t="s">
        <v>79</v>
      </c>
      <c r="O964" t="s">
        <v>74</v>
      </c>
      <c r="P964" t="s">
        <v>74</v>
      </c>
      <c r="Q964" t="s">
        <v>74</v>
      </c>
      <c r="R964" t="s">
        <v>74</v>
      </c>
      <c r="S964" t="s">
        <v>74</v>
      </c>
      <c r="T964" t="s">
        <v>17470</v>
      </c>
      <c r="U964" t="s">
        <v>17471</v>
      </c>
      <c r="V964" t="s">
        <v>17472</v>
      </c>
      <c r="W964" t="s">
        <v>17473</v>
      </c>
      <c r="X964" t="s">
        <v>17474</v>
      </c>
      <c r="Y964" t="s">
        <v>17475</v>
      </c>
      <c r="Z964" t="s">
        <v>17476</v>
      </c>
      <c r="AA964" t="s">
        <v>17477</v>
      </c>
      <c r="AB964" t="s">
        <v>17478</v>
      </c>
      <c r="AC964" t="s">
        <v>17479</v>
      </c>
      <c r="AD964" t="s">
        <v>17479</v>
      </c>
      <c r="AE964" t="s">
        <v>17480</v>
      </c>
      <c r="AF964" t="s">
        <v>74</v>
      </c>
      <c r="AG964">
        <v>106</v>
      </c>
      <c r="AH964">
        <v>0</v>
      </c>
      <c r="AI964">
        <v>0</v>
      </c>
      <c r="AJ964">
        <v>3</v>
      </c>
      <c r="AK964">
        <v>3</v>
      </c>
      <c r="AL964" t="s">
        <v>475</v>
      </c>
      <c r="AM964" t="s">
        <v>476</v>
      </c>
      <c r="AN964" t="s">
        <v>477</v>
      </c>
      <c r="AO964" t="s">
        <v>14503</v>
      </c>
      <c r="AP964" t="s">
        <v>14504</v>
      </c>
      <c r="AQ964" t="s">
        <v>74</v>
      </c>
      <c r="AR964" t="s">
        <v>14493</v>
      </c>
      <c r="AS964" t="s">
        <v>14505</v>
      </c>
      <c r="AT964" t="s">
        <v>13778</v>
      </c>
      <c r="AU964">
        <v>2023</v>
      </c>
      <c r="AV964">
        <v>279</v>
      </c>
      <c r="AW964" t="s">
        <v>74</v>
      </c>
      <c r="AX964" t="s">
        <v>74</v>
      </c>
      <c r="AY964" t="s">
        <v>74</v>
      </c>
      <c r="AZ964" t="s">
        <v>74</v>
      </c>
      <c r="BA964" t="s">
        <v>74</v>
      </c>
      <c r="BB964" t="s">
        <v>74</v>
      </c>
      <c r="BC964" t="s">
        <v>74</v>
      </c>
      <c r="BD964">
        <v>120340</v>
      </c>
      <c r="BE964" t="s">
        <v>17481</v>
      </c>
      <c r="BF964" t="str">
        <f>HYPERLINK("http://dx.doi.org/10.1016/j.neuroimage.2023.120340","http://dx.doi.org/10.1016/j.neuroimage.2023.120340")</f>
        <v>http://dx.doi.org/10.1016/j.neuroimage.2023.120340</v>
      </c>
      <c r="BG964" t="s">
        <v>74</v>
      </c>
      <c r="BH964" t="s">
        <v>74</v>
      </c>
      <c r="BI964">
        <v>9</v>
      </c>
      <c r="BJ964" t="s">
        <v>14507</v>
      </c>
      <c r="BK964" t="s">
        <v>100</v>
      </c>
      <c r="BL964" t="s">
        <v>14508</v>
      </c>
      <c r="BM964" t="s">
        <v>17482</v>
      </c>
      <c r="BN964">
        <v>37611815</v>
      </c>
      <c r="BO964" t="s">
        <v>3613</v>
      </c>
      <c r="BP964" t="s">
        <v>74</v>
      </c>
      <c r="BQ964" t="s">
        <v>74</v>
      </c>
      <c r="BR964" t="s">
        <v>104</v>
      </c>
      <c r="BS964" t="s">
        <v>17483</v>
      </c>
      <c r="BT964" t="str">
        <f>HYPERLINK("https%3A%2F%2Fwww.webofscience.com%2Fwos%2Fwoscc%2Ffull-record%2FWOS:001067206200001","View Full Record in Web of Science")</f>
        <v>View Full Record in Web of Science</v>
      </c>
    </row>
    <row r="965" spans="1:72" x14ac:dyDescent="0.15">
      <c r="A965" t="s">
        <v>72</v>
      </c>
      <c r="B965" t="s">
        <v>17484</v>
      </c>
      <c r="C965" t="s">
        <v>74</v>
      </c>
      <c r="D965" t="s">
        <v>74</v>
      </c>
      <c r="E965" t="s">
        <v>74</v>
      </c>
      <c r="F965" t="s">
        <v>17485</v>
      </c>
      <c r="G965" t="s">
        <v>74</v>
      </c>
      <c r="H965" t="s">
        <v>74</v>
      </c>
      <c r="I965" t="s">
        <v>17486</v>
      </c>
      <c r="J965" t="s">
        <v>14530</v>
      </c>
      <c r="K965" t="s">
        <v>74</v>
      </c>
      <c r="L965" t="s">
        <v>74</v>
      </c>
      <c r="M965" t="s">
        <v>78</v>
      </c>
      <c r="N965" t="s">
        <v>79</v>
      </c>
      <c r="O965" t="s">
        <v>74</v>
      </c>
      <c r="P965" t="s">
        <v>74</v>
      </c>
      <c r="Q965" t="s">
        <v>74</v>
      </c>
      <c r="R965" t="s">
        <v>74</v>
      </c>
      <c r="S965" t="s">
        <v>74</v>
      </c>
      <c r="T965" t="s">
        <v>17487</v>
      </c>
      <c r="U965" t="s">
        <v>17488</v>
      </c>
      <c r="V965" t="s">
        <v>17489</v>
      </c>
      <c r="W965" t="s">
        <v>17490</v>
      </c>
      <c r="X965" t="s">
        <v>17491</v>
      </c>
      <c r="Y965" t="s">
        <v>17492</v>
      </c>
      <c r="Z965" t="s">
        <v>17493</v>
      </c>
      <c r="AA965" t="s">
        <v>74</v>
      </c>
      <c r="AB965" t="s">
        <v>74</v>
      </c>
      <c r="AC965" t="s">
        <v>17494</v>
      </c>
      <c r="AD965" t="s">
        <v>17495</v>
      </c>
      <c r="AE965" t="s">
        <v>17496</v>
      </c>
      <c r="AF965" t="s">
        <v>74</v>
      </c>
      <c r="AG965">
        <v>43</v>
      </c>
      <c r="AH965">
        <v>0</v>
      </c>
      <c r="AI965">
        <v>0</v>
      </c>
      <c r="AJ965">
        <v>3</v>
      </c>
      <c r="AK965">
        <v>3</v>
      </c>
      <c r="AL965" t="s">
        <v>90</v>
      </c>
      <c r="AM965" t="s">
        <v>91</v>
      </c>
      <c r="AN965" t="s">
        <v>92</v>
      </c>
      <c r="AO965" t="s">
        <v>14538</v>
      </c>
      <c r="AP965" t="s">
        <v>14539</v>
      </c>
      <c r="AQ965" t="s">
        <v>74</v>
      </c>
      <c r="AR965" t="s">
        <v>14540</v>
      </c>
      <c r="AS965" t="s">
        <v>14541</v>
      </c>
      <c r="AT965" t="s">
        <v>13744</v>
      </c>
      <c r="AU965">
        <v>2023</v>
      </c>
      <c r="AV965">
        <v>193</v>
      </c>
      <c r="AW965" t="s">
        <v>74</v>
      </c>
      <c r="AX965" t="s">
        <v>74</v>
      </c>
      <c r="AY965" t="s">
        <v>74</v>
      </c>
      <c r="AZ965" t="s">
        <v>74</v>
      </c>
      <c r="BA965" t="s">
        <v>74</v>
      </c>
      <c r="BB965" t="s">
        <v>74</v>
      </c>
      <c r="BC965" t="s">
        <v>74</v>
      </c>
      <c r="BD965">
        <v>109068</v>
      </c>
      <c r="BE965" t="s">
        <v>17497</v>
      </c>
      <c r="BF965" t="str">
        <f>HYPERLINK("http://dx.doi.org/10.1016/j.microc.2023.109068","http://dx.doi.org/10.1016/j.microc.2023.109068")</f>
        <v>http://dx.doi.org/10.1016/j.microc.2023.109068</v>
      </c>
      <c r="BG965" t="s">
        <v>74</v>
      </c>
      <c r="BH965" t="s">
        <v>74</v>
      </c>
      <c r="BI965">
        <v>10</v>
      </c>
      <c r="BJ965" t="s">
        <v>541</v>
      </c>
      <c r="BK965" t="s">
        <v>100</v>
      </c>
      <c r="BL965" t="s">
        <v>395</v>
      </c>
      <c r="BM965" t="s">
        <v>17498</v>
      </c>
      <c r="BN965" t="s">
        <v>74</v>
      </c>
      <c r="BO965" t="s">
        <v>74</v>
      </c>
      <c r="BP965" t="s">
        <v>74</v>
      </c>
      <c r="BQ965" t="s">
        <v>74</v>
      </c>
      <c r="BR965" t="s">
        <v>104</v>
      </c>
      <c r="BS965" t="s">
        <v>17499</v>
      </c>
      <c r="BT965" t="str">
        <f>HYPERLINK("https%3A%2F%2Fwww.webofscience.com%2Fwos%2Fwoscc%2Ffull-record%2FWOS:001046359300001","View Full Record in Web of Science")</f>
        <v>View Full Record in Web of Science</v>
      </c>
    </row>
    <row r="966" spans="1:72" x14ac:dyDescent="0.15">
      <c r="A966" t="s">
        <v>72</v>
      </c>
      <c r="B966" t="s">
        <v>17500</v>
      </c>
      <c r="C966" t="s">
        <v>74</v>
      </c>
      <c r="D966" t="s">
        <v>74</v>
      </c>
      <c r="E966" t="s">
        <v>74</v>
      </c>
      <c r="F966" t="s">
        <v>17501</v>
      </c>
      <c r="G966" t="s">
        <v>74</v>
      </c>
      <c r="H966" t="s">
        <v>74</v>
      </c>
      <c r="I966" t="s">
        <v>17502</v>
      </c>
      <c r="J966" t="s">
        <v>14664</v>
      </c>
      <c r="K966" t="s">
        <v>74</v>
      </c>
      <c r="L966" t="s">
        <v>74</v>
      </c>
      <c r="M966" t="s">
        <v>78</v>
      </c>
      <c r="N966" t="s">
        <v>79</v>
      </c>
      <c r="O966" t="s">
        <v>74</v>
      </c>
      <c r="P966" t="s">
        <v>74</v>
      </c>
      <c r="Q966" t="s">
        <v>74</v>
      </c>
      <c r="R966" t="s">
        <v>74</v>
      </c>
      <c r="S966" t="s">
        <v>74</v>
      </c>
      <c r="T966" t="s">
        <v>17503</v>
      </c>
      <c r="U966" t="s">
        <v>17504</v>
      </c>
      <c r="V966" t="s">
        <v>17505</v>
      </c>
      <c r="W966" t="s">
        <v>17506</v>
      </c>
      <c r="X966" t="s">
        <v>17507</v>
      </c>
      <c r="Y966" t="s">
        <v>17508</v>
      </c>
      <c r="Z966" t="s">
        <v>17509</v>
      </c>
      <c r="AA966" t="s">
        <v>74</v>
      </c>
      <c r="AB966" t="s">
        <v>17510</v>
      </c>
      <c r="AC966" t="s">
        <v>17511</v>
      </c>
      <c r="AD966" t="s">
        <v>17512</v>
      </c>
      <c r="AE966" t="s">
        <v>17513</v>
      </c>
      <c r="AF966" t="s">
        <v>74</v>
      </c>
      <c r="AG966">
        <v>63</v>
      </c>
      <c r="AH966">
        <v>0</v>
      </c>
      <c r="AI966">
        <v>0</v>
      </c>
      <c r="AJ966">
        <v>38</v>
      </c>
      <c r="AK966">
        <v>38</v>
      </c>
      <c r="AL966" t="s">
        <v>90</v>
      </c>
      <c r="AM966" t="s">
        <v>91</v>
      </c>
      <c r="AN966" t="s">
        <v>92</v>
      </c>
      <c r="AO966" t="s">
        <v>14677</v>
      </c>
      <c r="AP966" t="s">
        <v>14678</v>
      </c>
      <c r="AQ966" t="s">
        <v>74</v>
      </c>
      <c r="AR966" t="s">
        <v>14679</v>
      </c>
      <c r="AS966" t="s">
        <v>14680</v>
      </c>
      <c r="AT966" t="s">
        <v>13744</v>
      </c>
      <c r="AU966">
        <v>2023</v>
      </c>
      <c r="AV966">
        <v>127</v>
      </c>
      <c r="AW966" t="s">
        <v>74</v>
      </c>
      <c r="AX966" t="s">
        <v>74</v>
      </c>
      <c r="AY966" t="s">
        <v>74</v>
      </c>
      <c r="AZ966" t="s">
        <v>74</v>
      </c>
      <c r="BA966" t="s">
        <v>74</v>
      </c>
      <c r="BB966" t="s">
        <v>74</v>
      </c>
      <c r="BC966" t="s">
        <v>74</v>
      </c>
      <c r="BD966">
        <v>104025</v>
      </c>
      <c r="BE966" t="s">
        <v>17514</v>
      </c>
      <c r="BF966" t="str">
        <f>HYPERLINK("http://dx.doi.org/10.1016/j.tafmec.2023.104025","http://dx.doi.org/10.1016/j.tafmec.2023.104025")</f>
        <v>http://dx.doi.org/10.1016/j.tafmec.2023.104025</v>
      </c>
      <c r="BG966" t="s">
        <v>74</v>
      </c>
      <c r="BH966" t="s">
        <v>74</v>
      </c>
      <c r="BI966">
        <v>11</v>
      </c>
      <c r="BJ966" t="s">
        <v>2882</v>
      </c>
      <c r="BK966" t="s">
        <v>100</v>
      </c>
      <c r="BL966" t="s">
        <v>2883</v>
      </c>
      <c r="BM966" t="s">
        <v>17515</v>
      </c>
      <c r="BN966" t="s">
        <v>74</v>
      </c>
      <c r="BO966" t="s">
        <v>74</v>
      </c>
      <c r="BP966" t="s">
        <v>74</v>
      </c>
      <c r="BQ966" t="s">
        <v>74</v>
      </c>
      <c r="BR966" t="s">
        <v>104</v>
      </c>
      <c r="BS966" t="s">
        <v>17516</v>
      </c>
      <c r="BT966" t="str">
        <f>HYPERLINK("https%3A%2F%2Fwww.webofscience.com%2Fwos%2Fwoscc%2Ffull-record%2FWOS:001050752400001","View Full Record in Web of Science")</f>
        <v>View Full Record in Web of Science</v>
      </c>
    </row>
    <row r="967" spans="1:72" x14ac:dyDescent="0.15">
      <c r="A967" t="s">
        <v>72</v>
      </c>
      <c r="B967" t="s">
        <v>17517</v>
      </c>
      <c r="C967" t="s">
        <v>74</v>
      </c>
      <c r="D967" t="s">
        <v>74</v>
      </c>
      <c r="E967" t="s">
        <v>74</v>
      </c>
      <c r="F967" t="s">
        <v>17518</v>
      </c>
      <c r="G967" t="s">
        <v>74</v>
      </c>
      <c r="H967" t="s">
        <v>74</v>
      </c>
      <c r="I967" t="s">
        <v>17519</v>
      </c>
      <c r="J967" t="s">
        <v>14114</v>
      </c>
      <c r="K967" t="s">
        <v>74</v>
      </c>
      <c r="L967" t="s">
        <v>74</v>
      </c>
      <c r="M967" t="s">
        <v>78</v>
      </c>
      <c r="N967" t="s">
        <v>79</v>
      </c>
      <c r="O967" t="s">
        <v>74</v>
      </c>
      <c r="P967" t="s">
        <v>74</v>
      </c>
      <c r="Q967" t="s">
        <v>74</v>
      </c>
      <c r="R967" t="s">
        <v>74</v>
      </c>
      <c r="S967" t="s">
        <v>74</v>
      </c>
      <c r="T967" t="s">
        <v>17520</v>
      </c>
      <c r="U967" t="s">
        <v>17521</v>
      </c>
      <c r="V967" t="s">
        <v>17522</v>
      </c>
      <c r="W967" t="s">
        <v>17523</v>
      </c>
      <c r="X967" t="s">
        <v>17524</v>
      </c>
      <c r="Y967" t="s">
        <v>17525</v>
      </c>
      <c r="Z967" t="s">
        <v>17526</v>
      </c>
      <c r="AA967" t="s">
        <v>74</v>
      </c>
      <c r="AB967" t="s">
        <v>74</v>
      </c>
      <c r="AC967" t="s">
        <v>17527</v>
      </c>
      <c r="AD967" t="s">
        <v>17528</v>
      </c>
      <c r="AE967" t="s">
        <v>17529</v>
      </c>
      <c r="AF967" t="s">
        <v>74</v>
      </c>
      <c r="AG967">
        <v>26</v>
      </c>
      <c r="AH967">
        <v>0</v>
      </c>
      <c r="AI967">
        <v>0</v>
      </c>
      <c r="AJ967">
        <v>3</v>
      </c>
      <c r="AK967">
        <v>3</v>
      </c>
      <c r="AL967" t="s">
        <v>475</v>
      </c>
      <c r="AM967" t="s">
        <v>476</v>
      </c>
      <c r="AN967" t="s">
        <v>477</v>
      </c>
      <c r="AO967" t="s">
        <v>14127</v>
      </c>
      <c r="AP967" t="s">
        <v>14128</v>
      </c>
      <c r="AQ967" t="s">
        <v>74</v>
      </c>
      <c r="AR967" t="s">
        <v>14129</v>
      </c>
      <c r="AS967" t="s">
        <v>14130</v>
      </c>
      <c r="AT967" t="s">
        <v>13744</v>
      </c>
      <c r="AU967">
        <v>2023</v>
      </c>
      <c r="AV967">
        <v>123</v>
      </c>
      <c r="AW967" t="s">
        <v>74</v>
      </c>
      <c r="AX967" t="s">
        <v>74</v>
      </c>
      <c r="AY967" t="s">
        <v>74</v>
      </c>
      <c r="AZ967" t="s">
        <v>74</v>
      </c>
      <c r="BA967" t="s">
        <v>74</v>
      </c>
      <c r="BB967" t="s">
        <v>74</v>
      </c>
      <c r="BC967" t="s">
        <v>74</v>
      </c>
      <c r="BD967">
        <v>105583</v>
      </c>
      <c r="BE967" t="s">
        <v>17530</v>
      </c>
      <c r="BF967" t="str">
        <f>HYPERLINK("http://dx.doi.org/10.1016/j.jfca.2023.105583","http://dx.doi.org/10.1016/j.jfca.2023.105583")</f>
        <v>http://dx.doi.org/10.1016/j.jfca.2023.105583</v>
      </c>
      <c r="BG967" t="s">
        <v>74</v>
      </c>
      <c r="BH967" t="s">
        <v>74</v>
      </c>
      <c r="BI967">
        <v>6</v>
      </c>
      <c r="BJ967" t="s">
        <v>1849</v>
      </c>
      <c r="BK967" t="s">
        <v>100</v>
      </c>
      <c r="BL967" t="s">
        <v>1851</v>
      </c>
      <c r="BM967" t="s">
        <v>17531</v>
      </c>
      <c r="BN967" t="s">
        <v>74</v>
      </c>
      <c r="BO967" t="s">
        <v>74</v>
      </c>
      <c r="BP967" t="s">
        <v>74</v>
      </c>
      <c r="BQ967" t="s">
        <v>74</v>
      </c>
      <c r="BR967" t="s">
        <v>104</v>
      </c>
      <c r="BS967" t="s">
        <v>17532</v>
      </c>
      <c r="BT967" t="str">
        <f>HYPERLINK("https%3A%2F%2Fwww.webofscience.com%2Fwos%2Fwoscc%2Ffull-record%2FWOS:001052892800001","View Full Record in Web of Science")</f>
        <v>View Full Record in Web of Science</v>
      </c>
    </row>
    <row r="968" spans="1:72" x14ac:dyDescent="0.15">
      <c r="A968" t="s">
        <v>72</v>
      </c>
      <c r="B968" t="s">
        <v>17533</v>
      </c>
      <c r="C968" t="s">
        <v>74</v>
      </c>
      <c r="D968" t="s">
        <v>74</v>
      </c>
      <c r="E968" t="s">
        <v>74</v>
      </c>
      <c r="F968" t="s">
        <v>17534</v>
      </c>
      <c r="G968" t="s">
        <v>74</v>
      </c>
      <c r="H968" t="s">
        <v>74</v>
      </c>
      <c r="I968" t="s">
        <v>17535</v>
      </c>
      <c r="J968" t="s">
        <v>10737</v>
      </c>
      <c r="K968" t="s">
        <v>74</v>
      </c>
      <c r="L968" t="s">
        <v>74</v>
      </c>
      <c r="M968" t="s">
        <v>78</v>
      </c>
      <c r="N968" t="s">
        <v>79</v>
      </c>
      <c r="O968" t="s">
        <v>74</v>
      </c>
      <c r="P968" t="s">
        <v>74</v>
      </c>
      <c r="Q968" t="s">
        <v>74</v>
      </c>
      <c r="R968" t="s">
        <v>74</v>
      </c>
      <c r="S968" t="s">
        <v>74</v>
      </c>
      <c r="T968" t="s">
        <v>17536</v>
      </c>
      <c r="U968" t="s">
        <v>17537</v>
      </c>
      <c r="V968" t="s">
        <v>17538</v>
      </c>
      <c r="W968" t="s">
        <v>17539</v>
      </c>
      <c r="X968" t="s">
        <v>17540</v>
      </c>
      <c r="Y968" t="s">
        <v>17541</v>
      </c>
      <c r="Z968" t="s">
        <v>17542</v>
      </c>
      <c r="AA968" t="s">
        <v>17543</v>
      </c>
      <c r="AB968" t="s">
        <v>17544</v>
      </c>
      <c r="AC968" t="s">
        <v>17545</v>
      </c>
      <c r="AD968" t="s">
        <v>17546</v>
      </c>
      <c r="AE968" t="s">
        <v>17547</v>
      </c>
      <c r="AF968" t="s">
        <v>74</v>
      </c>
      <c r="AG968">
        <v>40</v>
      </c>
      <c r="AH968">
        <v>1</v>
      </c>
      <c r="AI968">
        <v>1</v>
      </c>
      <c r="AJ968">
        <v>15</v>
      </c>
      <c r="AK968">
        <v>15</v>
      </c>
      <c r="AL968" t="s">
        <v>90</v>
      </c>
      <c r="AM968" t="s">
        <v>91</v>
      </c>
      <c r="AN968" t="s">
        <v>92</v>
      </c>
      <c r="AO968" t="s">
        <v>10747</v>
      </c>
      <c r="AP968" t="s">
        <v>10748</v>
      </c>
      <c r="AQ968" t="s">
        <v>74</v>
      </c>
      <c r="AR968" t="s">
        <v>10737</v>
      </c>
      <c r="AS968" t="s">
        <v>10749</v>
      </c>
      <c r="AT968" t="s">
        <v>13744</v>
      </c>
      <c r="AU968">
        <v>2023</v>
      </c>
      <c r="AV968">
        <v>115</v>
      </c>
      <c r="AW968" t="s">
        <v>74</v>
      </c>
      <c r="AX968" t="s">
        <v>74</v>
      </c>
      <c r="AY968" t="s">
        <v>74</v>
      </c>
      <c r="AZ968" t="s">
        <v>74</v>
      </c>
      <c r="BA968" t="s">
        <v>74</v>
      </c>
      <c r="BB968" t="s">
        <v>74</v>
      </c>
      <c r="BC968" t="s">
        <v>74</v>
      </c>
      <c r="BD968">
        <v>108674</v>
      </c>
      <c r="BE968" t="s">
        <v>17548</v>
      </c>
      <c r="BF968" t="str">
        <f>HYPERLINK("http://dx.doi.org/10.1016/j.nanoen.2023.108674","http://dx.doi.org/10.1016/j.nanoen.2023.108674")</f>
        <v>http://dx.doi.org/10.1016/j.nanoen.2023.108674</v>
      </c>
      <c r="BG968" t="s">
        <v>74</v>
      </c>
      <c r="BH968" t="s">
        <v>74</v>
      </c>
      <c r="BI968">
        <v>11</v>
      </c>
      <c r="BJ968" t="s">
        <v>10751</v>
      </c>
      <c r="BK968" t="s">
        <v>100</v>
      </c>
      <c r="BL968" t="s">
        <v>10752</v>
      </c>
      <c r="BM968" t="s">
        <v>17549</v>
      </c>
      <c r="BN968" t="s">
        <v>74</v>
      </c>
      <c r="BO968" t="s">
        <v>295</v>
      </c>
      <c r="BP968" t="s">
        <v>74</v>
      </c>
      <c r="BQ968" t="s">
        <v>74</v>
      </c>
      <c r="BR968" t="s">
        <v>104</v>
      </c>
      <c r="BS968" t="s">
        <v>17550</v>
      </c>
      <c r="BT968" t="str">
        <f>HYPERLINK("https%3A%2F%2Fwww.webofscience.com%2Fwos%2Fwoscc%2Ffull-record%2FWOS:001047514800001","View Full Record in Web of Science")</f>
        <v>View Full Record in Web of Science</v>
      </c>
    </row>
    <row r="969" spans="1:72" x14ac:dyDescent="0.15">
      <c r="A969" t="s">
        <v>72</v>
      </c>
      <c r="B969" t="s">
        <v>17551</v>
      </c>
      <c r="C969" t="s">
        <v>74</v>
      </c>
      <c r="D969" t="s">
        <v>74</v>
      </c>
      <c r="E969" t="s">
        <v>74</v>
      </c>
      <c r="F969" t="s">
        <v>17552</v>
      </c>
      <c r="G969" t="s">
        <v>74</v>
      </c>
      <c r="H969" t="s">
        <v>74</v>
      </c>
      <c r="I969" t="s">
        <v>17553</v>
      </c>
      <c r="J969" t="s">
        <v>6604</v>
      </c>
      <c r="K969" t="s">
        <v>74</v>
      </c>
      <c r="L969" t="s">
        <v>74</v>
      </c>
      <c r="M969" t="s">
        <v>78</v>
      </c>
      <c r="N969" t="s">
        <v>79</v>
      </c>
      <c r="O969" t="s">
        <v>74</v>
      </c>
      <c r="P969" t="s">
        <v>74</v>
      </c>
      <c r="Q969" t="s">
        <v>74</v>
      </c>
      <c r="R969" t="s">
        <v>74</v>
      </c>
      <c r="S969" t="s">
        <v>74</v>
      </c>
      <c r="T969" t="s">
        <v>17554</v>
      </c>
      <c r="U969" t="s">
        <v>17555</v>
      </c>
      <c r="V969" t="s">
        <v>17556</v>
      </c>
      <c r="W969" t="s">
        <v>17557</v>
      </c>
      <c r="X969" t="s">
        <v>17558</v>
      </c>
      <c r="Y969" t="s">
        <v>17559</v>
      </c>
      <c r="Z969" t="s">
        <v>17560</v>
      </c>
      <c r="AA969" t="s">
        <v>74</v>
      </c>
      <c r="AB969" t="s">
        <v>74</v>
      </c>
      <c r="AC969" t="s">
        <v>17561</v>
      </c>
      <c r="AD969" t="s">
        <v>17562</v>
      </c>
      <c r="AE969" t="s">
        <v>17563</v>
      </c>
      <c r="AF969" t="s">
        <v>74</v>
      </c>
      <c r="AG969">
        <v>49</v>
      </c>
      <c r="AH969">
        <v>0</v>
      </c>
      <c r="AI969">
        <v>0</v>
      </c>
      <c r="AJ969">
        <v>4</v>
      </c>
      <c r="AK969">
        <v>4</v>
      </c>
      <c r="AL969" t="s">
        <v>147</v>
      </c>
      <c r="AM969" t="s">
        <v>148</v>
      </c>
      <c r="AN969" t="s">
        <v>149</v>
      </c>
      <c r="AO969" t="s">
        <v>6614</v>
      </c>
      <c r="AP969" t="s">
        <v>6615</v>
      </c>
      <c r="AQ969" t="s">
        <v>74</v>
      </c>
      <c r="AR969" t="s">
        <v>6616</v>
      </c>
      <c r="AS969" t="s">
        <v>6617</v>
      </c>
      <c r="AT969" t="s">
        <v>13744</v>
      </c>
      <c r="AU969">
        <v>2023</v>
      </c>
      <c r="AV969">
        <v>89</v>
      </c>
      <c r="AW969" t="s">
        <v>74</v>
      </c>
      <c r="AX969" t="s">
        <v>74</v>
      </c>
      <c r="AY969" t="s">
        <v>74</v>
      </c>
      <c r="AZ969" t="s">
        <v>74</v>
      </c>
      <c r="BA969" t="s">
        <v>74</v>
      </c>
      <c r="BB969" t="s">
        <v>74</v>
      </c>
      <c r="BC969" t="s">
        <v>74</v>
      </c>
      <c r="BD969">
        <v>102793</v>
      </c>
      <c r="BE969" t="s">
        <v>17564</v>
      </c>
      <c r="BF969" t="str">
        <f>HYPERLINK("http://dx.doi.org/10.1016/j.irfa.2023.102793","http://dx.doi.org/10.1016/j.irfa.2023.102793")</f>
        <v>http://dx.doi.org/10.1016/j.irfa.2023.102793</v>
      </c>
      <c r="BG969" t="s">
        <v>74</v>
      </c>
      <c r="BH969" t="s">
        <v>74</v>
      </c>
      <c r="BI969">
        <v>11</v>
      </c>
      <c r="BJ969" t="s">
        <v>2824</v>
      </c>
      <c r="BK969" t="s">
        <v>627</v>
      </c>
      <c r="BL969" t="s">
        <v>628</v>
      </c>
      <c r="BM969" t="s">
        <v>17565</v>
      </c>
      <c r="BN969" t="s">
        <v>74</v>
      </c>
      <c r="BO969" t="s">
        <v>74</v>
      </c>
      <c r="BP969" t="s">
        <v>74</v>
      </c>
      <c r="BQ969" t="s">
        <v>74</v>
      </c>
      <c r="BR969" t="s">
        <v>104</v>
      </c>
      <c r="BS969" t="s">
        <v>17566</v>
      </c>
      <c r="BT969" t="str">
        <f>HYPERLINK("https%3A%2F%2Fwww.webofscience.com%2Fwos%2Fwoscc%2Ffull-record%2FWOS:001048074300001","View Full Record in Web of Science")</f>
        <v>View Full Record in Web of Science</v>
      </c>
    </row>
    <row r="970" spans="1:72" x14ac:dyDescent="0.15">
      <c r="A970" t="s">
        <v>72</v>
      </c>
      <c r="B970" t="s">
        <v>17567</v>
      </c>
      <c r="C970" t="s">
        <v>74</v>
      </c>
      <c r="D970" t="s">
        <v>74</v>
      </c>
      <c r="E970" t="s">
        <v>74</v>
      </c>
      <c r="F970" t="s">
        <v>17568</v>
      </c>
      <c r="G970" t="s">
        <v>74</v>
      </c>
      <c r="H970" t="s">
        <v>74</v>
      </c>
      <c r="I970" t="s">
        <v>17569</v>
      </c>
      <c r="J970" t="s">
        <v>17570</v>
      </c>
      <c r="K970" t="s">
        <v>74</v>
      </c>
      <c r="L970" t="s">
        <v>74</v>
      </c>
      <c r="M970" t="s">
        <v>78</v>
      </c>
      <c r="N970" t="s">
        <v>79</v>
      </c>
      <c r="O970" t="s">
        <v>74</v>
      </c>
      <c r="P970" t="s">
        <v>74</v>
      </c>
      <c r="Q970" t="s">
        <v>74</v>
      </c>
      <c r="R970" t="s">
        <v>74</v>
      </c>
      <c r="S970" t="s">
        <v>74</v>
      </c>
      <c r="T970" t="s">
        <v>17571</v>
      </c>
      <c r="U970" t="s">
        <v>17572</v>
      </c>
      <c r="V970" t="s">
        <v>17573</v>
      </c>
      <c r="W970" t="s">
        <v>17574</v>
      </c>
      <c r="X970" t="s">
        <v>17575</v>
      </c>
      <c r="Y970" t="s">
        <v>17576</v>
      </c>
      <c r="Z970" t="s">
        <v>17577</v>
      </c>
      <c r="AA970" t="s">
        <v>74</v>
      </c>
      <c r="AB970" t="s">
        <v>74</v>
      </c>
      <c r="AC970" t="s">
        <v>17578</v>
      </c>
      <c r="AD970" t="s">
        <v>17579</v>
      </c>
      <c r="AE970" t="s">
        <v>17580</v>
      </c>
      <c r="AF970" t="s">
        <v>74</v>
      </c>
      <c r="AG970">
        <v>196</v>
      </c>
      <c r="AH970">
        <v>0</v>
      </c>
      <c r="AI970">
        <v>0</v>
      </c>
      <c r="AJ970">
        <v>0</v>
      </c>
      <c r="AK970">
        <v>0</v>
      </c>
      <c r="AL970" t="s">
        <v>90</v>
      </c>
      <c r="AM970" t="s">
        <v>91</v>
      </c>
      <c r="AN970" t="s">
        <v>92</v>
      </c>
      <c r="AO970" t="s">
        <v>17581</v>
      </c>
      <c r="AP970" t="s">
        <v>17582</v>
      </c>
      <c r="AQ970" t="s">
        <v>74</v>
      </c>
      <c r="AR970" t="s">
        <v>17583</v>
      </c>
      <c r="AS970" t="s">
        <v>17584</v>
      </c>
      <c r="AT970" t="s">
        <v>13744</v>
      </c>
      <c r="AU970">
        <v>2023</v>
      </c>
      <c r="AV970">
        <v>30</v>
      </c>
      <c r="AW970" t="s">
        <v>74</v>
      </c>
      <c r="AX970" t="s">
        <v>74</v>
      </c>
      <c r="AY970" t="s">
        <v>74</v>
      </c>
      <c r="AZ970" t="s">
        <v>74</v>
      </c>
      <c r="BA970" t="s">
        <v>74</v>
      </c>
      <c r="BB970">
        <v>17</v>
      </c>
      <c r="BC970">
        <v>41</v>
      </c>
      <c r="BD970" t="s">
        <v>74</v>
      </c>
      <c r="BE970" t="s">
        <v>17585</v>
      </c>
      <c r="BF970" t="str">
        <f>HYPERLINK("http://dx.doi.org/10.1016/j.jtos.2023.07.012","http://dx.doi.org/10.1016/j.jtos.2023.07.012")</f>
        <v>http://dx.doi.org/10.1016/j.jtos.2023.07.012</v>
      </c>
      <c r="BG970" t="s">
        <v>74</v>
      </c>
      <c r="BH970" t="s">
        <v>74</v>
      </c>
      <c r="BI970">
        <v>25</v>
      </c>
      <c r="BJ970" t="s">
        <v>14063</v>
      </c>
      <c r="BK970" t="s">
        <v>100</v>
      </c>
      <c r="BL970" t="s">
        <v>14063</v>
      </c>
      <c r="BM970" t="s">
        <v>17586</v>
      </c>
      <c r="BN970">
        <v>37536656</v>
      </c>
      <c r="BO970" t="s">
        <v>74</v>
      </c>
      <c r="BP970" t="s">
        <v>74</v>
      </c>
      <c r="BQ970" t="s">
        <v>74</v>
      </c>
      <c r="BR970" t="s">
        <v>104</v>
      </c>
      <c r="BS970" t="s">
        <v>17587</v>
      </c>
      <c r="BT970" t="str">
        <f>HYPERLINK("https%3A%2F%2Fwww.webofscience.com%2Fwos%2Fwoscc%2Ffull-record%2FWOS:001069410200001","View Full Record in Web of Science")</f>
        <v>View Full Record in Web of Science</v>
      </c>
    </row>
    <row r="971" spans="1:72" x14ac:dyDescent="0.15">
      <c r="A971" t="s">
        <v>72</v>
      </c>
      <c r="B971" t="s">
        <v>17588</v>
      </c>
      <c r="C971" t="s">
        <v>74</v>
      </c>
      <c r="D971" t="s">
        <v>74</v>
      </c>
      <c r="E971" t="s">
        <v>74</v>
      </c>
      <c r="F971" t="s">
        <v>17589</v>
      </c>
      <c r="G971" t="s">
        <v>74</v>
      </c>
      <c r="H971" t="s">
        <v>74</v>
      </c>
      <c r="I971" t="s">
        <v>17590</v>
      </c>
      <c r="J971" t="s">
        <v>17591</v>
      </c>
      <c r="K971" t="s">
        <v>74</v>
      </c>
      <c r="L971" t="s">
        <v>74</v>
      </c>
      <c r="M971" t="s">
        <v>78</v>
      </c>
      <c r="N971" t="s">
        <v>79</v>
      </c>
      <c r="O971" t="s">
        <v>74</v>
      </c>
      <c r="P971" t="s">
        <v>74</v>
      </c>
      <c r="Q971" t="s">
        <v>74</v>
      </c>
      <c r="R971" t="s">
        <v>74</v>
      </c>
      <c r="S971" t="s">
        <v>74</v>
      </c>
      <c r="T971" t="s">
        <v>17592</v>
      </c>
      <c r="U971" t="s">
        <v>17593</v>
      </c>
      <c r="V971" t="s">
        <v>17594</v>
      </c>
      <c r="W971" t="s">
        <v>17595</v>
      </c>
      <c r="X971" t="s">
        <v>17596</v>
      </c>
      <c r="Y971" t="s">
        <v>17597</v>
      </c>
      <c r="Z971" t="s">
        <v>17598</v>
      </c>
      <c r="AA971" t="s">
        <v>74</v>
      </c>
      <c r="AB971" t="s">
        <v>74</v>
      </c>
      <c r="AC971" t="s">
        <v>17599</v>
      </c>
      <c r="AD971" t="s">
        <v>17600</v>
      </c>
      <c r="AE971" t="s">
        <v>17601</v>
      </c>
      <c r="AF971" t="s">
        <v>74</v>
      </c>
      <c r="AG971">
        <v>87</v>
      </c>
      <c r="AH971">
        <v>0</v>
      </c>
      <c r="AI971">
        <v>0</v>
      </c>
      <c r="AJ971">
        <v>3</v>
      </c>
      <c r="AK971">
        <v>3</v>
      </c>
      <c r="AL971" t="s">
        <v>147</v>
      </c>
      <c r="AM971" t="s">
        <v>148</v>
      </c>
      <c r="AN971" t="s">
        <v>149</v>
      </c>
      <c r="AO971" t="s">
        <v>17602</v>
      </c>
      <c r="AP971" t="s">
        <v>17603</v>
      </c>
      <c r="AQ971" t="s">
        <v>74</v>
      </c>
      <c r="AR971" t="s">
        <v>17604</v>
      </c>
      <c r="AS971" t="s">
        <v>17605</v>
      </c>
      <c r="AT971" t="s">
        <v>17606</v>
      </c>
      <c r="AU971">
        <v>2023</v>
      </c>
      <c r="AV971">
        <v>23</v>
      </c>
      <c r="AW971">
        <v>4</v>
      </c>
      <c r="AX971" t="s">
        <v>74</v>
      </c>
      <c r="AY971" t="s">
        <v>74</v>
      </c>
      <c r="AZ971" t="s">
        <v>74</v>
      </c>
      <c r="BA971" t="s">
        <v>74</v>
      </c>
      <c r="BB971" t="s">
        <v>74</v>
      </c>
      <c r="BC971" t="s">
        <v>74</v>
      </c>
      <c r="BD971">
        <v>100401</v>
      </c>
      <c r="BE971" t="s">
        <v>17607</v>
      </c>
      <c r="BF971" t="str">
        <f>HYPERLINK("http://dx.doi.org/10.1016/j.ijchp.2023.100401","http://dx.doi.org/10.1016/j.ijchp.2023.100401")</f>
        <v>http://dx.doi.org/10.1016/j.ijchp.2023.100401</v>
      </c>
      <c r="BG971" t="s">
        <v>74</v>
      </c>
      <c r="BH971" t="s">
        <v>74</v>
      </c>
      <c r="BI971">
        <v>9</v>
      </c>
      <c r="BJ971" t="s">
        <v>17608</v>
      </c>
      <c r="BK971" t="s">
        <v>627</v>
      </c>
      <c r="BL971" t="s">
        <v>795</v>
      </c>
      <c r="BM971" t="s">
        <v>17609</v>
      </c>
      <c r="BN971">
        <v>37584055</v>
      </c>
      <c r="BO971" t="s">
        <v>14179</v>
      </c>
      <c r="BP971" t="s">
        <v>74</v>
      </c>
      <c r="BQ971" t="s">
        <v>74</v>
      </c>
      <c r="BR971" t="s">
        <v>104</v>
      </c>
      <c r="BS971" t="s">
        <v>17610</v>
      </c>
      <c r="BT971" t="str">
        <f>HYPERLINK("https%3A%2F%2Fwww.webofscience.com%2Fwos%2Fwoscc%2Ffull-record%2FWOS:001053489700001","View Full Record in Web of Science")</f>
        <v>View Full Record in Web of Science</v>
      </c>
    </row>
    <row r="972" spans="1:72" x14ac:dyDescent="0.15">
      <c r="A972" t="s">
        <v>72</v>
      </c>
      <c r="B972" t="s">
        <v>17611</v>
      </c>
      <c r="C972" t="s">
        <v>74</v>
      </c>
      <c r="D972" t="s">
        <v>74</v>
      </c>
      <c r="E972" t="s">
        <v>74</v>
      </c>
      <c r="F972" t="s">
        <v>17612</v>
      </c>
      <c r="G972" t="s">
        <v>74</v>
      </c>
      <c r="H972" t="s">
        <v>74</v>
      </c>
      <c r="I972" t="s">
        <v>17613</v>
      </c>
      <c r="J972" t="s">
        <v>17614</v>
      </c>
      <c r="K972" t="s">
        <v>74</v>
      </c>
      <c r="L972" t="s">
        <v>74</v>
      </c>
      <c r="M972" t="s">
        <v>78</v>
      </c>
      <c r="N972" t="s">
        <v>79</v>
      </c>
      <c r="O972" t="s">
        <v>74</v>
      </c>
      <c r="P972" t="s">
        <v>74</v>
      </c>
      <c r="Q972" t="s">
        <v>74</v>
      </c>
      <c r="R972" t="s">
        <v>74</v>
      </c>
      <c r="S972" t="s">
        <v>74</v>
      </c>
      <c r="T972" t="s">
        <v>17615</v>
      </c>
      <c r="U972" t="s">
        <v>17616</v>
      </c>
      <c r="V972" t="s">
        <v>17617</v>
      </c>
      <c r="W972" t="s">
        <v>17618</v>
      </c>
      <c r="X972" t="s">
        <v>17619</v>
      </c>
      <c r="Y972" t="s">
        <v>17620</v>
      </c>
      <c r="Z972" t="s">
        <v>17621</v>
      </c>
      <c r="AA972" t="s">
        <v>74</v>
      </c>
      <c r="AB972" t="s">
        <v>17622</v>
      </c>
      <c r="AC972" t="s">
        <v>17623</v>
      </c>
      <c r="AD972" t="s">
        <v>17624</v>
      </c>
      <c r="AE972" t="s">
        <v>17625</v>
      </c>
      <c r="AF972" t="s">
        <v>74</v>
      </c>
      <c r="AG972">
        <v>63</v>
      </c>
      <c r="AH972">
        <v>0</v>
      </c>
      <c r="AI972">
        <v>0</v>
      </c>
      <c r="AJ972">
        <v>4</v>
      </c>
      <c r="AK972">
        <v>4</v>
      </c>
      <c r="AL972" t="s">
        <v>120</v>
      </c>
      <c r="AM972" t="s">
        <v>121</v>
      </c>
      <c r="AN972" t="s">
        <v>122</v>
      </c>
      <c r="AO972" t="s">
        <v>17626</v>
      </c>
      <c r="AP972" t="s">
        <v>17627</v>
      </c>
      <c r="AQ972" t="s">
        <v>74</v>
      </c>
      <c r="AR972" t="s">
        <v>17628</v>
      </c>
      <c r="AS972" t="s">
        <v>17629</v>
      </c>
      <c r="AT972" t="s">
        <v>13744</v>
      </c>
      <c r="AU972">
        <v>2023</v>
      </c>
      <c r="AV972">
        <v>532</v>
      </c>
      <c r="AW972" t="s">
        <v>74</v>
      </c>
      <c r="AX972" t="s">
        <v>74</v>
      </c>
      <c r="AY972" t="s">
        <v>74</v>
      </c>
      <c r="AZ972" t="s">
        <v>74</v>
      </c>
      <c r="BA972" t="s">
        <v>74</v>
      </c>
      <c r="BB972" t="s">
        <v>74</v>
      </c>
      <c r="BC972" t="s">
        <v>74</v>
      </c>
      <c r="BD972">
        <v>108918</v>
      </c>
      <c r="BE972" t="s">
        <v>17630</v>
      </c>
      <c r="BF972" t="str">
        <f>HYPERLINK("http://dx.doi.org/10.1016/j.carres.2023.108918","http://dx.doi.org/10.1016/j.carres.2023.108918")</f>
        <v>http://dx.doi.org/10.1016/j.carres.2023.108918</v>
      </c>
      <c r="BG972" t="s">
        <v>74</v>
      </c>
      <c r="BH972" t="s">
        <v>74</v>
      </c>
      <c r="BI972">
        <v>8</v>
      </c>
      <c r="BJ972" t="s">
        <v>17631</v>
      </c>
      <c r="BK972" t="s">
        <v>100</v>
      </c>
      <c r="BL972" t="s">
        <v>13855</v>
      </c>
      <c r="BM972" t="s">
        <v>17632</v>
      </c>
      <c r="BN972">
        <v>37586142</v>
      </c>
      <c r="BO972" t="s">
        <v>74</v>
      </c>
      <c r="BP972" t="s">
        <v>74</v>
      </c>
      <c r="BQ972" t="s">
        <v>74</v>
      </c>
      <c r="BR972" t="s">
        <v>104</v>
      </c>
      <c r="BS972" t="s">
        <v>17633</v>
      </c>
      <c r="BT972" t="str">
        <f>HYPERLINK("https%3A%2F%2Fwww.webofscience.com%2Fwos%2Fwoscc%2Ffull-record%2FWOS:001063321600001","View Full Record in Web of Science")</f>
        <v>View Full Record in Web of Science</v>
      </c>
    </row>
    <row r="973" spans="1:72" x14ac:dyDescent="0.15">
      <c r="A973" t="s">
        <v>72</v>
      </c>
      <c r="B973" t="s">
        <v>17634</v>
      </c>
      <c r="C973" t="s">
        <v>74</v>
      </c>
      <c r="D973" t="s">
        <v>74</v>
      </c>
      <c r="E973" t="s">
        <v>74</v>
      </c>
      <c r="F973" t="s">
        <v>17635</v>
      </c>
      <c r="G973" t="s">
        <v>74</v>
      </c>
      <c r="H973" t="s">
        <v>74</v>
      </c>
      <c r="I973" t="s">
        <v>17636</v>
      </c>
      <c r="J973" t="s">
        <v>17637</v>
      </c>
      <c r="K973" t="s">
        <v>74</v>
      </c>
      <c r="L973" t="s">
        <v>74</v>
      </c>
      <c r="M973" t="s">
        <v>78</v>
      </c>
      <c r="N973" t="s">
        <v>79</v>
      </c>
      <c r="O973" t="s">
        <v>74</v>
      </c>
      <c r="P973" t="s">
        <v>74</v>
      </c>
      <c r="Q973" t="s">
        <v>74</v>
      </c>
      <c r="R973" t="s">
        <v>74</v>
      </c>
      <c r="S973" t="s">
        <v>74</v>
      </c>
      <c r="T973" t="s">
        <v>17638</v>
      </c>
      <c r="U973" t="s">
        <v>74</v>
      </c>
      <c r="V973" t="s">
        <v>17639</v>
      </c>
      <c r="W973" t="s">
        <v>17640</v>
      </c>
      <c r="X973" t="s">
        <v>17641</v>
      </c>
      <c r="Y973" t="s">
        <v>17642</v>
      </c>
      <c r="Z973" t="s">
        <v>17643</v>
      </c>
      <c r="AA973" t="s">
        <v>74</v>
      </c>
      <c r="AB973" t="s">
        <v>74</v>
      </c>
      <c r="AC973" t="s">
        <v>17644</v>
      </c>
      <c r="AD973" t="s">
        <v>17645</v>
      </c>
      <c r="AE973" t="s">
        <v>17646</v>
      </c>
      <c r="AF973" t="s">
        <v>74</v>
      </c>
      <c r="AG973">
        <v>25</v>
      </c>
      <c r="AH973">
        <v>0</v>
      </c>
      <c r="AI973">
        <v>0</v>
      </c>
      <c r="AJ973">
        <v>2</v>
      </c>
      <c r="AK973">
        <v>2</v>
      </c>
      <c r="AL973" t="s">
        <v>173</v>
      </c>
      <c r="AM973" t="s">
        <v>121</v>
      </c>
      <c r="AN973" t="s">
        <v>174</v>
      </c>
      <c r="AO973" t="s">
        <v>17647</v>
      </c>
      <c r="AP973" t="s">
        <v>17648</v>
      </c>
      <c r="AQ973" t="s">
        <v>74</v>
      </c>
      <c r="AR973" t="s">
        <v>17649</v>
      </c>
      <c r="AS973" t="s">
        <v>17650</v>
      </c>
      <c r="AT973" t="s">
        <v>13744</v>
      </c>
      <c r="AU973">
        <v>2023</v>
      </c>
      <c r="AV973">
        <v>111</v>
      </c>
      <c r="AW973" t="s">
        <v>74</v>
      </c>
      <c r="AX973" t="s">
        <v>337</v>
      </c>
      <c r="AY973" t="s">
        <v>74</v>
      </c>
      <c r="AZ973" t="s">
        <v>74</v>
      </c>
      <c r="BA973" t="s">
        <v>74</v>
      </c>
      <c r="BB973" t="s">
        <v>74</v>
      </c>
      <c r="BC973" t="s">
        <v>74</v>
      </c>
      <c r="BD973">
        <v>108855</v>
      </c>
      <c r="BE973" t="s">
        <v>17651</v>
      </c>
      <c r="BF973" t="str">
        <f>HYPERLINK("http://dx.doi.org/10.1016/j.compeleceng.2023.108855","http://dx.doi.org/10.1016/j.compeleceng.2023.108855")</f>
        <v>http://dx.doi.org/10.1016/j.compeleceng.2023.108855</v>
      </c>
      <c r="BG973" t="s">
        <v>74</v>
      </c>
      <c r="BH973" t="s">
        <v>74</v>
      </c>
      <c r="BI973">
        <v>12</v>
      </c>
      <c r="BJ973" t="s">
        <v>17652</v>
      </c>
      <c r="BK973" t="s">
        <v>100</v>
      </c>
      <c r="BL973" t="s">
        <v>3649</v>
      </c>
      <c r="BM973" t="s">
        <v>17653</v>
      </c>
      <c r="BN973" t="s">
        <v>74</v>
      </c>
      <c r="BO973" t="s">
        <v>74</v>
      </c>
      <c r="BP973" t="s">
        <v>74</v>
      </c>
      <c r="BQ973" t="s">
        <v>74</v>
      </c>
      <c r="BR973" t="s">
        <v>104</v>
      </c>
      <c r="BS973" t="s">
        <v>17654</v>
      </c>
      <c r="BT973" t="str">
        <f>HYPERLINK("https%3A%2F%2Fwww.webofscience.com%2Fwos%2Fwoscc%2Ffull-record%2FWOS:001061793700001","View Full Record in Web of Science")</f>
        <v>View Full Record in Web of Science</v>
      </c>
    </row>
    <row r="974" spans="1:72" x14ac:dyDescent="0.15">
      <c r="A974" t="s">
        <v>72</v>
      </c>
      <c r="B974" t="s">
        <v>17655</v>
      </c>
      <c r="C974" t="s">
        <v>74</v>
      </c>
      <c r="D974" t="s">
        <v>74</v>
      </c>
      <c r="E974" t="s">
        <v>74</v>
      </c>
      <c r="F974" t="s">
        <v>17656</v>
      </c>
      <c r="G974" t="s">
        <v>74</v>
      </c>
      <c r="H974" t="s">
        <v>74</v>
      </c>
      <c r="I974" t="s">
        <v>17657</v>
      </c>
      <c r="J974" t="s">
        <v>17658</v>
      </c>
      <c r="K974" t="s">
        <v>74</v>
      </c>
      <c r="L974" t="s">
        <v>74</v>
      </c>
      <c r="M974" t="s">
        <v>78</v>
      </c>
      <c r="N974" t="s">
        <v>241</v>
      </c>
      <c r="O974" t="s">
        <v>74</v>
      </c>
      <c r="P974" t="s">
        <v>74</v>
      </c>
      <c r="Q974" t="s">
        <v>74</v>
      </c>
      <c r="R974" t="s">
        <v>74</v>
      </c>
      <c r="S974" t="s">
        <v>74</v>
      </c>
      <c r="T974" t="s">
        <v>17659</v>
      </c>
      <c r="U974" t="s">
        <v>17660</v>
      </c>
      <c r="V974" t="s">
        <v>17661</v>
      </c>
      <c r="W974" t="s">
        <v>17662</v>
      </c>
      <c r="X974" t="s">
        <v>17663</v>
      </c>
      <c r="Y974" t="s">
        <v>17664</v>
      </c>
      <c r="Z974" t="s">
        <v>17665</v>
      </c>
      <c r="AA974" t="s">
        <v>74</v>
      </c>
      <c r="AB974" t="s">
        <v>74</v>
      </c>
      <c r="AC974" t="s">
        <v>17666</v>
      </c>
      <c r="AD974" t="s">
        <v>17667</v>
      </c>
      <c r="AE974" t="s">
        <v>17668</v>
      </c>
      <c r="AF974" t="s">
        <v>74</v>
      </c>
      <c r="AG974">
        <v>52</v>
      </c>
      <c r="AH974">
        <v>0</v>
      </c>
      <c r="AI974">
        <v>0</v>
      </c>
      <c r="AJ974">
        <v>2</v>
      </c>
      <c r="AK974">
        <v>2</v>
      </c>
      <c r="AL974" t="s">
        <v>90</v>
      </c>
      <c r="AM974" t="s">
        <v>91</v>
      </c>
      <c r="AN974" t="s">
        <v>92</v>
      </c>
      <c r="AO974" t="s">
        <v>17669</v>
      </c>
      <c r="AP974" t="s">
        <v>74</v>
      </c>
      <c r="AQ974" t="s">
        <v>74</v>
      </c>
      <c r="AR974" t="s">
        <v>17670</v>
      </c>
      <c r="AS974" t="s">
        <v>17671</v>
      </c>
      <c r="AT974" t="s">
        <v>13744</v>
      </c>
      <c r="AU974">
        <v>2023</v>
      </c>
      <c r="AV974">
        <v>41</v>
      </c>
      <c r="AW974" t="s">
        <v>74</v>
      </c>
      <c r="AX974" t="s">
        <v>74</v>
      </c>
      <c r="AY974" t="s">
        <v>74</v>
      </c>
      <c r="AZ974" t="s">
        <v>74</v>
      </c>
      <c r="BA974" t="s">
        <v>74</v>
      </c>
      <c r="BB974" t="s">
        <v>74</v>
      </c>
      <c r="BC974" t="s">
        <v>74</v>
      </c>
      <c r="BD974">
        <v>101357</v>
      </c>
      <c r="BE974" t="s">
        <v>17672</v>
      </c>
      <c r="BF974" t="str">
        <f>HYPERLINK("http://dx.doi.org/10.1016/j.coelec.2023.101357","http://dx.doi.org/10.1016/j.coelec.2023.101357")</f>
        <v>http://dx.doi.org/10.1016/j.coelec.2023.101357</v>
      </c>
      <c r="BG974" t="s">
        <v>74</v>
      </c>
      <c r="BH974" t="s">
        <v>74</v>
      </c>
      <c r="BI974">
        <v>8</v>
      </c>
      <c r="BJ974" t="s">
        <v>17673</v>
      </c>
      <c r="BK974" t="s">
        <v>100</v>
      </c>
      <c r="BL974" t="s">
        <v>17674</v>
      </c>
      <c r="BM974" t="s">
        <v>17675</v>
      </c>
      <c r="BN974" t="s">
        <v>74</v>
      </c>
      <c r="BO974" t="s">
        <v>74</v>
      </c>
      <c r="BP974" t="s">
        <v>74</v>
      </c>
      <c r="BQ974" t="s">
        <v>74</v>
      </c>
      <c r="BR974" t="s">
        <v>104</v>
      </c>
      <c r="BS974" t="s">
        <v>17676</v>
      </c>
      <c r="BT974" t="str">
        <f>HYPERLINK("https%3A%2F%2Fwww.webofscience.com%2Fwos%2Fwoscc%2Ffull-record%2FWOS:001060972000001","View Full Record in Web of Science")</f>
        <v>View Full Record in Web of Science</v>
      </c>
    </row>
    <row r="975" spans="1:72" x14ac:dyDescent="0.15">
      <c r="A975" t="s">
        <v>72</v>
      </c>
      <c r="B975" t="s">
        <v>17677</v>
      </c>
      <c r="C975" t="s">
        <v>74</v>
      </c>
      <c r="D975" t="s">
        <v>74</v>
      </c>
      <c r="E975" t="s">
        <v>74</v>
      </c>
      <c r="F975" t="s">
        <v>17678</v>
      </c>
      <c r="G975" t="s">
        <v>74</v>
      </c>
      <c r="H975" t="s">
        <v>74</v>
      </c>
      <c r="I975" t="s">
        <v>17679</v>
      </c>
      <c r="J975" t="s">
        <v>17680</v>
      </c>
      <c r="K975" t="s">
        <v>74</v>
      </c>
      <c r="L975" t="s">
        <v>74</v>
      </c>
      <c r="M975" t="s">
        <v>78</v>
      </c>
      <c r="N975" t="s">
        <v>79</v>
      </c>
      <c r="O975" t="s">
        <v>74</v>
      </c>
      <c r="P975" t="s">
        <v>74</v>
      </c>
      <c r="Q975" t="s">
        <v>74</v>
      </c>
      <c r="R975" t="s">
        <v>74</v>
      </c>
      <c r="S975" t="s">
        <v>74</v>
      </c>
      <c r="T975" t="s">
        <v>17681</v>
      </c>
      <c r="U975" t="s">
        <v>17682</v>
      </c>
      <c r="V975" t="s">
        <v>17683</v>
      </c>
      <c r="W975" t="s">
        <v>17684</v>
      </c>
      <c r="X975" t="s">
        <v>17685</v>
      </c>
      <c r="Y975" t="s">
        <v>17686</v>
      </c>
      <c r="Z975" t="s">
        <v>17687</v>
      </c>
      <c r="AA975" t="s">
        <v>17688</v>
      </c>
      <c r="AB975" t="s">
        <v>17689</v>
      </c>
      <c r="AC975" t="s">
        <v>17690</v>
      </c>
      <c r="AD975" t="s">
        <v>17691</v>
      </c>
      <c r="AE975" t="s">
        <v>17692</v>
      </c>
      <c r="AF975" t="s">
        <v>74</v>
      </c>
      <c r="AG975">
        <v>51</v>
      </c>
      <c r="AH975">
        <v>0</v>
      </c>
      <c r="AI975">
        <v>0</v>
      </c>
      <c r="AJ975">
        <v>7</v>
      </c>
      <c r="AK975">
        <v>7</v>
      </c>
      <c r="AL975" t="s">
        <v>147</v>
      </c>
      <c r="AM975" t="s">
        <v>148</v>
      </c>
      <c r="AN975" t="s">
        <v>149</v>
      </c>
      <c r="AO975" t="s">
        <v>17693</v>
      </c>
      <c r="AP975" t="s">
        <v>17694</v>
      </c>
      <c r="AQ975" t="s">
        <v>74</v>
      </c>
      <c r="AR975" t="s">
        <v>17695</v>
      </c>
      <c r="AS975" t="s">
        <v>17696</v>
      </c>
      <c r="AT975" t="s">
        <v>13744</v>
      </c>
      <c r="AU975">
        <v>2023</v>
      </c>
      <c r="AV975">
        <v>284</v>
      </c>
      <c r="AW975" t="s">
        <v>74</v>
      </c>
      <c r="AX975" t="s">
        <v>74</v>
      </c>
      <c r="AY975" t="s">
        <v>74</v>
      </c>
      <c r="AZ975" t="s">
        <v>74</v>
      </c>
      <c r="BA975" t="s">
        <v>74</v>
      </c>
      <c r="BB975" t="s">
        <v>74</v>
      </c>
      <c r="BC975" t="s">
        <v>74</v>
      </c>
      <c r="BD975">
        <v>111474</v>
      </c>
      <c r="BE975" t="s">
        <v>17697</v>
      </c>
      <c r="BF975" t="str">
        <f>HYPERLINK("http://dx.doi.org/10.1016/j.cbpa.2023.111474","http://dx.doi.org/10.1016/j.cbpa.2023.111474")</f>
        <v>http://dx.doi.org/10.1016/j.cbpa.2023.111474</v>
      </c>
      <c r="BG975" t="s">
        <v>74</v>
      </c>
      <c r="BH975" t="s">
        <v>74</v>
      </c>
      <c r="BI975">
        <v>10</v>
      </c>
      <c r="BJ975" t="s">
        <v>17698</v>
      </c>
      <c r="BK975" t="s">
        <v>100</v>
      </c>
      <c r="BL975" t="s">
        <v>17698</v>
      </c>
      <c r="BM975" t="s">
        <v>17699</v>
      </c>
      <c r="BN975">
        <v>37406959</v>
      </c>
      <c r="BO975" t="s">
        <v>74</v>
      </c>
      <c r="BP975" t="s">
        <v>74</v>
      </c>
      <c r="BQ975" t="s">
        <v>74</v>
      </c>
      <c r="BR975" t="s">
        <v>104</v>
      </c>
      <c r="BS975" t="s">
        <v>17700</v>
      </c>
      <c r="BT975" t="str">
        <f>HYPERLINK("https%3A%2F%2Fwww.webofscience.com%2Fwos%2Fwoscc%2Ffull-record%2FWOS:001058441800001","View Full Record in Web of Science")</f>
        <v>View Full Record in Web of Science</v>
      </c>
    </row>
    <row r="976" spans="1:72" x14ac:dyDescent="0.15">
      <c r="A976" t="s">
        <v>72</v>
      </c>
      <c r="B976" t="s">
        <v>17701</v>
      </c>
      <c r="C976" t="s">
        <v>74</v>
      </c>
      <c r="D976" t="s">
        <v>74</v>
      </c>
      <c r="E976" t="s">
        <v>74</v>
      </c>
      <c r="F976" t="s">
        <v>17702</v>
      </c>
      <c r="G976" t="s">
        <v>74</v>
      </c>
      <c r="H976" t="s">
        <v>74</v>
      </c>
      <c r="I976" t="s">
        <v>17703</v>
      </c>
      <c r="J976" t="s">
        <v>12526</v>
      </c>
      <c r="K976" t="s">
        <v>74</v>
      </c>
      <c r="L976" t="s">
        <v>74</v>
      </c>
      <c r="M976" t="s">
        <v>78</v>
      </c>
      <c r="N976" t="s">
        <v>79</v>
      </c>
      <c r="O976" t="s">
        <v>74</v>
      </c>
      <c r="P976" t="s">
        <v>74</v>
      </c>
      <c r="Q976" t="s">
        <v>74</v>
      </c>
      <c r="R976" t="s">
        <v>74</v>
      </c>
      <c r="S976" t="s">
        <v>74</v>
      </c>
      <c r="T976" t="s">
        <v>17704</v>
      </c>
      <c r="U976" t="s">
        <v>17705</v>
      </c>
      <c r="V976" t="s">
        <v>17706</v>
      </c>
      <c r="W976" t="s">
        <v>17707</v>
      </c>
      <c r="X976" t="s">
        <v>17708</v>
      </c>
      <c r="Y976" t="s">
        <v>17709</v>
      </c>
      <c r="Z976" t="s">
        <v>17710</v>
      </c>
      <c r="AA976" t="s">
        <v>17711</v>
      </c>
      <c r="AB976" t="s">
        <v>74</v>
      </c>
      <c r="AC976" t="s">
        <v>17712</v>
      </c>
      <c r="AD976" t="s">
        <v>17713</v>
      </c>
      <c r="AE976" t="s">
        <v>17714</v>
      </c>
      <c r="AF976" t="s">
        <v>74</v>
      </c>
      <c r="AG976">
        <v>53</v>
      </c>
      <c r="AH976">
        <v>0</v>
      </c>
      <c r="AI976">
        <v>0</v>
      </c>
      <c r="AJ976">
        <v>5</v>
      </c>
      <c r="AK976">
        <v>5</v>
      </c>
      <c r="AL976" t="s">
        <v>955</v>
      </c>
      <c r="AM976" t="s">
        <v>956</v>
      </c>
      <c r="AN976" t="s">
        <v>957</v>
      </c>
      <c r="AO976" t="s">
        <v>12538</v>
      </c>
      <c r="AP976" t="s">
        <v>12539</v>
      </c>
      <c r="AQ976" t="s">
        <v>74</v>
      </c>
      <c r="AR976" t="s">
        <v>12540</v>
      </c>
      <c r="AS976" t="s">
        <v>12541</v>
      </c>
      <c r="AT976" t="s">
        <v>13778</v>
      </c>
      <c r="AU976">
        <v>2023</v>
      </c>
      <c r="AV976">
        <v>307</v>
      </c>
      <c r="AW976" t="s">
        <v>74</v>
      </c>
      <c r="AX976" t="s">
        <v>74</v>
      </c>
      <c r="AY976" t="s">
        <v>74</v>
      </c>
      <c r="AZ976" t="s">
        <v>74</v>
      </c>
      <c r="BA976" t="s">
        <v>74</v>
      </c>
      <c r="BB976" t="s">
        <v>74</v>
      </c>
      <c r="BC976" t="s">
        <v>74</v>
      </c>
      <c r="BD976">
        <v>128208</v>
      </c>
      <c r="BE976" t="s">
        <v>17715</v>
      </c>
      <c r="BF976" t="str">
        <f>HYPERLINK("http://dx.doi.org/10.1016/j.matchemphys.2023.128208","http://dx.doi.org/10.1016/j.matchemphys.2023.128208")</f>
        <v>http://dx.doi.org/10.1016/j.matchemphys.2023.128208</v>
      </c>
      <c r="BG976" t="s">
        <v>74</v>
      </c>
      <c r="BH976" t="s">
        <v>74</v>
      </c>
      <c r="BI976">
        <v>11</v>
      </c>
      <c r="BJ976" t="s">
        <v>1111</v>
      </c>
      <c r="BK976" t="s">
        <v>100</v>
      </c>
      <c r="BL976" t="s">
        <v>1112</v>
      </c>
      <c r="BM976" t="s">
        <v>17716</v>
      </c>
      <c r="BN976" t="s">
        <v>74</v>
      </c>
      <c r="BO976" t="s">
        <v>74</v>
      </c>
      <c r="BP976" t="s">
        <v>74</v>
      </c>
      <c r="BQ976" t="s">
        <v>74</v>
      </c>
      <c r="BR976" t="s">
        <v>104</v>
      </c>
      <c r="BS976" t="s">
        <v>17717</v>
      </c>
      <c r="BT976" t="str">
        <f>HYPERLINK("https%3A%2F%2Fwww.webofscience.com%2Fwos%2Fwoscc%2Ffull-record%2FWOS:001048965800001","View Full Record in Web of Science")</f>
        <v>View Full Record in Web of Science</v>
      </c>
    </row>
    <row r="977" spans="1:72" x14ac:dyDescent="0.15">
      <c r="A977" t="s">
        <v>72</v>
      </c>
      <c r="B977" t="s">
        <v>17718</v>
      </c>
      <c r="C977" t="s">
        <v>74</v>
      </c>
      <c r="D977" t="s">
        <v>74</v>
      </c>
      <c r="E977" t="s">
        <v>74</v>
      </c>
      <c r="F977" t="s">
        <v>17719</v>
      </c>
      <c r="G977" t="s">
        <v>74</v>
      </c>
      <c r="H977" t="s">
        <v>74</v>
      </c>
      <c r="I977" t="s">
        <v>17720</v>
      </c>
      <c r="J977" t="s">
        <v>6304</v>
      </c>
      <c r="K977" t="s">
        <v>74</v>
      </c>
      <c r="L977" t="s">
        <v>74</v>
      </c>
      <c r="M977" t="s">
        <v>78</v>
      </c>
      <c r="N977" t="s">
        <v>79</v>
      </c>
      <c r="O977" t="s">
        <v>74</v>
      </c>
      <c r="P977" t="s">
        <v>74</v>
      </c>
      <c r="Q977" t="s">
        <v>74</v>
      </c>
      <c r="R977" t="s">
        <v>74</v>
      </c>
      <c r="S977" t="s">
        <v>74</v>
      </c>
      <c r="T977" t="s">
        <v>17721</v>
      </c>
      <c r="U977" t="s">
        <v>17722</v>
      </c>
      <c r="V977" t="s">
        <v>17723</v>
      </c>
      <c r="W977" t="s">
        <v>17724</v>
      </c>
      <c r="X977" t="s">
        <v>17725</v>
      </c>
      <c r="Y977" t="s">
        <v>17726</v>
      </c>
      <c r="Z977" t="s">
        <v>17727</v>
      </c>
      <c r="AA977" t="s">
        <v>74</v>
      </c>
      <c r="AB977" t="s">
        <v>17728</v>
      </c>
      <c r="AC977" t="s">
        <v>17729</v>
      </c>
      <c r="AD977" t="s">
        <v>17730</v>
      </c>
      <c r="AE977" t="s">
        <v>17731</v>
      </c>
      <c r="AF977" t="s">
        <v>74</v>
      </c>
      <c r="AG977">
        <v>38</v>
      </c>
      <c r="AH977">
        <v>0</v>
      </c>
      <c r="AI977">
        <v>0</v>
      </c>
      <c r="AJ977">
        <v>5</v>
      </c>
      <c r="AK977">
        <v>5</v>
      </c>
      <c r="AL977" t="s">
        <v>173</v>
      </c>
      <c r="AM977" t="s">
        <v>121</v>
      </c>
      <c r="AN977" t="s">
        <v>174</v>
      </c>
      <c r="AO977" t="s">
        <v>6314</v>
      </c>
      <c r="AP977" t="s">
        <v>6315</v>
      </c>
      <c r="AQ977" t="s">
        <v>74</v>
      </c>
      <c r="AR977" t="s">
        <v>6316</v>
      </c>
      <c r="AS977" t="s">
        <v>6317</v>
      </c>
      <c r="AT977" t="s">
        <v>13744</v>
      </c>
      <c r="AU977">
        <v>2023</v>
      </c>
      <c r="AV977">
        <v>233</v>
      </c>
      <c r="AW977" t="s">
        <v>74</v>
      </c>
      <c r="AX977" t="s">
        <v>74</v>
      </c>
      <c r="AY977" t="s">
        <v>74</v>
      </c>
      <c r="AZ977" t="s">
        <v>74</v>
      </c>
      <c r="BA977" t="s">
        <v>74</v>
      </c>
      <c r="BB977" t="s">
        <v>74</v>
      </c>
      <c r="BC977" t="s">
        <v>74</v>
      </c>
      <c r="BD977">
        <v>121196</v>
      </c>
      <c r="BE977" t="s">
        <v>17732</v>
      </c>
      <c r="BF977" t="str">
        <f>HYPERLINK("http://dx.doi.org/10.1016/j.applthermaleng.2023.121196","http://dx.doi.org/10.1016/j.applthermaleng.2023.121196")</f>
        <v>http://dx.doi.org/10.1016/j.applthermaleng.2023.121196</v>
      </c>
      <c r="BG977" t="s">
        <v>74</v>
      </c>
      <c r="BH977" t="s">
        <v>74</v>
      </c>
      <c r="BI977">
        <v>12</v>
      </c>
      <c r="BJ977" t="s">
        <v>6319</v>
      </c>
      <c r="BK977" t="s">
        <v>100</v>
      </c>
      <c r="BL977" t="s">
        <v>6320</v>
      </c>
      <c r="BM977" t="s">
        <v>17733</v>
      </c>
      <c r="BN977" t="s">
        <v>74</v>
      </c>
      <c r="BO977" t="s">
        <v>74</v>
      </c>
      <c r="BP977" t="s">
        <v>74</v>
      </c>
      <c r="BQ977" t="s">
        <v>74</v>
      </c>
      <c r="BR977" t="s">
        <v>104</v>
      </c>
      <c r="BS977" t="s">
        <v>17734</v>
      </c>
      <c r="BT977" t="str">
        <f>HYPERLINK("https%3A%2F%2Fwww.webofscience.com%2Fwos%2Fwoscc%2Ffull-record%2FWOS:001048332300001","View Full Record in Web of Science")</f>
        <v>View Full Record in Web of Science</v>
      </c>
    </row>
    <row r="978" spans="1:72" x14ac:dyDescent="0.15">
      <c r="A978" t="s">
        <v>72</v>
      </c>
      <c r="B978" t="s">
        <v>17735</v>
      </c>
      <c r="C978" t="s">
        <v>74</v>
      </c>
      <c r="D978" t="s">
        <v>74</v>
      </c>
      <c r="E978" t="s">
        <v>74</v>
      </c>
      <c r="F978" t="s">
        <v>17736</v>
      </c>
      <c r="G978" t="s">
        <v>74</v>
      </c>
      <c r="H978" t="s">
        <v>74</v>
      </c>
      <c r="I978" t="s">
        <v>17737</v>
      </c>
      <c r="J978" t="s">
        <v>17738</v>
      </c>
      <c r="K978" t="s">
        <v>74</v>
      </c>
      <c r="L978" t="s">
        <v>74</v>
      </c>
      <c r="M978" t="s">
        <v>78</v>
      </c>
      <c r="N978" t="s">
        <v>79</v>
      </c>
      <c r="O978" t="s">
        <v>74</v>
      </c>
      <c r="P978" t="s">
        <v>74</v>
      </c>
      <c r="Q978" t="s">
        <v>74</v>
      </c>
      <c r="R978" t="s">
        <v>74</v>
      </c>
      <c r="S978" t="s">
        <v>74</v>
      </c>
      <c r="T978" t="s">
        <v>17739</v>
      </c>
      <c r="U978" t="s">
        <v>17740</v>
      </c>
      <c r="V978" t="s">
        <v>17741</v>
      </c>
      <c r="W978" t="s">
        <v>17742</v>
      </c>
      <c r="X978" t="s">
        <v>17743</v>
      </c>
      <c r="Y978" t="s">
        <v>17744</v>
      </c>
      <c r="Z978" t="s">
        <v>17745</v>
      </c>
      <c r="AA978" t="s">
        <v>74</v>
      </c>
      <c r="AB978" t="s">
        <v>17746</v>
      </c>
      <c r="AC978" t="s">
        <v>74</v>
      </c>
      <c r="AD978" t="s">
        <v>74</v>
      </c>
      <c r="AE978" t="s">
        <v>74</v>
      </c>
      <c r="AF978" t="s">
        <v>74</v>
      </c>
      <c r="AG978">
        <v>46</v>
      </c>
      <c r="AH978">
        <v>0</v>
      </c>
      <c r="AI978">
        <v>0</v>
      </c>
      <c r="AJ978">
        <v>0</v>
      </c>
      <c r="AK978">
        <v>0</v>
      </c>
      <c r="AL978" t="s">
        <v>90</v>
      </c>
      <c r="AM978" t="s">
        <v>91</v>
      </c>
      <c r="AN978" t="s">
        <v>92</v>
      </c>
      <c r="AO978" t="s">
        <v>17747</v>
      </c>
      <c r="AP978" t="s">
        <v>17748</v>
      </c>
      <c r="AQ978" t="s">
        <v>74</v>
      </c>
      <c r="AR978" t="s">
        <v>17749</v>
      </c>
      <c r="AS978" t="s">
        <v>17750</v>
      </c>
      <c r="AT978" t="s">
        <v>13744</v>
      </c>
      <c r="AU978">
        <v>2023</v>
      </c>
      <c r="AV978">
        <v>132</v>
      </c>
      <c r="AW978" t="s">
        <v>74</v>
      </c>
      <c r="AX978" t="s">
        <v>74</v>
      </c>
      <c r="AY978" t="s">
        <v>74</v>
      </c>
      <c r="AZ978" t="s">
        <v>74</v>
      </c>
      <c r="BA978" t="s">
        <v>74</v>
      </c>
      <c r="BB978" t="s">
        <v>74</v>
      </c>
      <c r="BC978" t="s">
        <v>74</v>
      </c>
      <c r="BD978">
        <v>102317</v>
      </c>
      <c r="BE978" t="s">
        <v>17751</v>
      </c>
      <c r="BF978" t="str">
        <f>HYPERLINK("http://dx.doi.org/10.1016/j.jchemneu.2023.102317","http://dx.doi.org/10.1016/j.jchemneu.2023.102317")</f>
        <v>http://dx.doi.org/10.1016/j.jchemneu.2023.102317</v>
      </c>
      <c r="BG978" t="s">
        <v>74</v>
      </c>
      <c r="BH978" t="s">
        <v>74</v>
      </c>
      <c r="BI978">
        <v>8</v>
      </c>
      <c r="BJ978" t="s">
        <v>17752</v>
      </c>
      <c r="BK978" t="s">
        <v>100</v>
      </c>
      <c r="BL978" t="s">
        <v>17753</v>
      </c>
      <c r="BM978" t="s">
        <v>17754</v>
      </c>
      <c r="BN978">
        <v>37482145</v>
      </c>
      <c r="BO978" t="s">
        <v>74</v>
      </c>
      <c r="BP978" t="s">
        <v>74</v>
      </c>
      <c r="BQ978" t="s">
        <v>74</v>
      </c>
      <c r="BR978" t="s">
        <v>104</v>
      </c>
      <c r="BS978" t="s">
        <v>17755</v>
      </c>
      <c r="BT978" t="str">
        <f>HYPERLINK("https%3A%2F%2Fwww.webofscience.com%2Fwos%2Fwoscc%2Ffull-record%2FWOS:001052401300001","View Full Record in Web of Science")</f>
        <v>View Full Record in Web of Science</v>
      </c>
    </row>
    <row r="979" spans="1:72" x14ac:dyDescent="0.15">
      <c r="A979" t="s">
        <v>72</v>
      </c>
      <c r="B979" t="s">
        <v>17756</v>
      </c>
      <c r="C979" t="s">
        <v>74</v>
      </c>
      <c r="D979" t="s">
        <v>74</v>
      </c>
      <c r="E979" t="s">
        <v>74</v>
      </c>
      <c r="F979" t="s">
        <v>17757</v>
      </c>
      <c r="G979" t="s">
        <v>74</v>
      </c>
      <c r="H979" t="s">
        <v>74</v>
      </c>
      <c r="I979" t="s">
        <v>17758</v>
      </c>
      <c r="J979" t="s">
        <v>14530</v>
      </c>
      <c r="K979" t="s">
        <v>74</v>
      </c>
      <c r="L979" t="s">
        <v>74</v>
      </c>
      <c r="M979" t="s">
        <v>78</v>
      </c>
      <c r="N979" t="s">
        <v>79</v>
      </c>
      <c r="O979" t="s">
        <v>74</v>
      </c>
      <c r="P979" t="s">
        <v>74</v>
      </c>
      <c r="Q979" t="s">
        <v>74</v>
      </c>
      <c r="R979" t="s">
        <v>74</v>
      </c>
      <c r="S979" t="s">
        <v>74</v>
      </c>
      <c r="T979" t="s">
        <v>17759</v>
      </c>
      <c r="U979" t="s">
        <v>17760</v>
      </c>
      <c r="V979" t="s">
        <v>17761</v>
      </c>
      <c r="W979" t="s">
        <v>17762</v>
      </c>
      <c r="X979" t="s">
        <v>17763</v>
      </c>
      <c r="Y979" t="s">
        <v>17764</v>
      </c>
      <c r="Z979" t="s">
        <v>17765</v>
      </c>
      <c r="AA979" t="s">
        <v>74</v>
      </c>
      <c r="AB979" t="s">
        <v>17766</v>
      </c>
      <c r="AC979" t="s">
        <v>17767</v>
      </c>
      <c r="AD979" t="s">
        <v>17768</v>
      </c>
      <c r="AE979" t="s">
        <v>17769</v>
      </c>
      <c r="AF979" t="s">
        <v>74</v>
      </c>
      <c r="AG979">
        <v>38</v>
      </c>
      <c r="AH979">
        <v>0</v>
      </c>
      <c r="AI979">
        <v>0</v>
      </c>
      <c r="AJ979">
        <v>11</v>
      </c>
      <c r="AK979">
        <v>11</v>
      </c>
      <c r="AL979" t="s">
        <v>90</v>
      </c>
      <c r="AM979" t="s">
        <v>91</v>
      </c>
      <c r="AN979" t="s">
        <v>92</v>
      </c>
      <c r="AO979" t="s">
        <v>14538</v>
      </c>
      <c r="AP979" t="s">
        <v>14539</v>
      </c>
      <c r="AQ979" t="s">
        <v>74</v>
      </c>
      <c r="AR979" t="s">
        <v>14540</v>
      </c>
      <c r="AS979" t="s">
        <v>14541</v>
      </c>
      <c r="AT979" t="s">
        <v>13744</v>
      </c>
      <c r="AU979">
        <v>2023</v>
      </c>
      <c r="AV979">
        <v>193</v>
      </c>
      <c r="AW979" t="s">
        <v>74</v>
      </c>
      <c r="AX979" t="s">
        <v>74</v>
      </c>
      <c r="AY979" t="s">
        <v>74</v>
      </c>
      <c r="AZ979" t="s">
        <v>74</v>
      </c>
      <c r="BA979" t="s">
        <v>74</v>
      </c>
      <c r="BB979" t="s">
        <v>74</v>
      </c>
      <c r="BC979" t="s">
        <v>74</v>
      </c>
      <c r="BD979">
        <v>108922</v>
      </c>
      <c r="BE979" t="s">
        <v>17770</v>
      </c>
      <c r="BF979" t="str">
        <f>HYPERLINK("http://dx.doi.org/10.1016/j.microc.2023.108922","http://dx.doi.org/10.1016/j.microc.2023.108922")</f>
        <v>http://dx.doi.org/10.1016/j.microc.2023.108922</v>
      </c>
      <c r="BG979" t="s">
        <v>74</v>
      </c>
      <c r="BH979" t="s">
        <v>74</v>
      </c>
      <c r="BI979">
        <v>8</v>
      </c>
      <c r="BJ979" t="s">
        <v>541</v>
      </c>
      <c r="BK979" t="s">
        <v>100</v>
      </c>
      <c r="BL979" t="s">
        <v>395</v>
      </c>
      <c r="BM979" t="s">
        <v>17771</v>
      </c>
      <c r="BN979" t="s">
        <v>74</v>
      </c>
      <c r="BO979" t="s">
        <v>74</v>
      </c>
      <c r="BP979" t="s">
        <v>74</v>
      </c>
      <c r="BQ979" t="s">
        <v>74</v>
      </c>
      <c r="BR979" t="s">
        <v>104</v>
      </c>
      <c r="BS979" t="s">
        <v>17772</v>
      </c>
      <c r="BT979" t="str">
        <f>HYPERLINK("https%3A%2F%2Fwww.webofscience.com%2Fwos%2Fwoscc%2Ffull-record%2FWOS:001049613800001","View Full Record in Web of Science")</f>
        <v>View Full Record in Web of Science</v>
      </c>
    </row>
    <row r="980" spans="1:72" x14ac:dyDescent="0.15">
      <c r="A980" t="s">
        <v>72</v>
      </c>
      <c r="B980" t="s">
        <v>17773</v>
      </c>
      <c r="C980" t="s">
        <v>74</v>
      </c>
      <c r="D980" t="s">
        <v>74</v>
      </c>
      <c r="E980" t="s">
        <v>74</v>
      </c>
      <c r="F980" t="s">
        <v>17774</v>
      </c>
      <c r="G980" t="s">
        <v>74</v>
      </c>
      <c r="H980" t="s">
        <v>74</v>
      </c>
      <c r="I980" t="s">
        <v>17775</v>
      </c>
      <c r="J980" t="s">
        <v>17776</v>
      </c>
      <c r="K980" t="s">
        <v>74</v>
      </c>
      <c r="L980" t="s">
        <v>74</v>
      </c>
      <c r="M980" t="s">
        <v>78</v>
      </c>
      <c r="N980" t="s">
        <v>79</v>
      </c>
      <c r="O980" t="s">
        <v>74</v>
      </c>
      <c r="P980" t="s">
        <v>74</v>
      </c>
      <c r="Q980" t="s">
        <v>74</v>
      </c>
      <c r="R980" t="s">
        <v>74</v>
      </c>
      <c r="S980" t="s">
        <v>74</v>
      </c>
      <c r="T980" t="s">
        <v>17777</v>
      </c>
      <c r="U980" t="s">
        <v>74</v>
      </c>
      <c r="V980" t="s">
        <v>17778</v>
      </c>
      <c r="W980" t="s">
        <v>17779</v>
      </c>
      <c r="X980" t="s">
        <v>17780</v>
      </c>
      <c r="Y980" t="s">
        <v>17781</v>
      </c>
      <c r="Z980" t="s">
        <v>17782</v>
      </c>
      <c r="AA980" t="s">
        <v>74</v>
      </c>
      <c r="AB980" t="s">
        <v>74</v>
      </c>
      <c r="AC980" t="s">
        <v>74</v>
      </c>
      <c r="AD980" t="s">
        <v>74</v>
      </c>
      <c r="AE980" t="s">
        <v>74</v>
      </c>
      <c r="AF980" t="s">
        <v>74</v>
      </c>
      <c r="AG980">
        <v>29</v>
      </c>
      <c r="AH980">
        <v>0</v>
      </c>
      <c r="AI980">
        <v>0</v>
      </c>
      <c r="AJ980">
        <v>0</v>
      </c>
      <c r="AK980">
        <v>0</v>
      </c>
      <c r="AL980" t="s">
        <v>554</v>
      </c>
      <c r="AM980" t="s">
        <v>555</v>
      </c>
      <c r="AN980" t="s">
        <v>556</v>
      </c>
      <c r="AO980" t="s">
        <v>17783</v>
      </c>
      <c r="AP980" t="s">
        <v>17784</v>
      </c>
      <c r="AQ980" t="s">
        <v>74</v>
      </c>
      <c r="AR980" t="s">
        <v>17785</v>
      </c>
      <c r="AS980" t="s">
        <v>17786</v>
      </c>
      <c r="AT980" t="s">
        <v>13744</v>
      </c>
      <c r="AU980">
        <v>2023</v>
      </c>
      <c r="AV980">
        <v>183</v>
      </c>
      <c r="AW980" t="s">
        <v>74</v>
      </c>
      <c r="AX980" t="s">
        <v>74</v>
      </c>
      <c r="AY980" t="s">
        <v>74</v>
      </c>
      <c r="AZ980" t="s">
        <v>74</v>
      </c>
      <c r="BA980" t="s">
        <v>74</v>
      </c>
      <c r="BB980" t="s">
        <v>74</v>
      </c>
      <c r="BC980" t="s">
        <v>74</v>
      </c>
      <c r="BD980">
        <v>106332</v>
      </c>
      <c r="BE980" t="s">
        <v>17787</v>
      </c>
      <c r="BF980" t="str">
        <f>HYPERLINK("http://dx.doi.org/10.1016/j.micpath.2023.106332","http://dx.doi.org/10.1016/j.micpath.2023.106332")</f>
        <v>http://dx.doi.org/10.1016/j.micpath.2023.106332</v>
      </c>
      <c r="BG980" t="s">
        <v>74</v>
      </c>
      <c r="BH980" t="s">
        <v>74</v>
      </c>
      <c r="BI980">
        <v>11</v>
      </c>
      <c r="BJ980" t="s">
        <v>17788</v>
      </c>
      <c r="BK980" t="s">
        <v>100</v>
      </c>
      <c r="BL980" t="s">
        <v>17788</v>
      </c>
      <c r="BM980" t="s">
        <v>17789</v>
      </c>
      <c r="BN980">
        <v>37673351</v>
      </c>
      <c r="BO980" t="s">
        <v>74</v>
      </c>
      <c r="BP980" t="s">
        <v>74</v>
      </c>
      <c r="BQ980" t="s">
        <v>74</v>
      </c>
      <c r="BR980" t="s">
        <v>104</v>
      </c>
      <c r="BS980" t="s">
        <v>17790</v>
      </c>
      <c r="BT980" t="str">
        <f>HYPERLINK("https%3A%2F%2Fwww.webofscience.com%2Fwos%2Fwoscc%2Ffull-record%2FWOS:001071813600001","View Full Record in Web of Science")</f>
        <v>View Full Record in Web of Science</v>
      </c>
    </row>
    <row r="981" spans="1:72" x14ac:dyDescent="0.15">
      <c r="A981" t="s">
        <v>72</v>
      </c>
      <c r="B981" t="s">
        <v>17791</v>
      </c>
      <c r="C981" t="s">
        <v>74</v>
      </c>
      <c r="D981" t="s">
        <v>74</v>
      </c>
      <c r="E981" t="s">
        <v>74</v>
      </c>
      <c r="F981" t="s">
        <v>17792</v>
      </c>
      <c r="G981" t="s">
        <v>74</v>
      </c>
      <c r="H981" t="s">
        <v>74</v>
      </c>
      <c r="I981" t="s">
        <v>17793</v>
      </c>
      <c r="J981" t="s">
        <v>15746</v>
      </c>
      <c r="K981" t="s">
        <v>74</v>
      </c>
      <c r="L981" t="s">
        <v>74</v>
      </c>
      <c r="M981" t="s">
        <v>78</v>
      </c>
      <c r="N981" t="s">
        <v>79</v>
      </c>
      <c r="O981" t="s">
        <v>74</v>
      </c>
      <c r="P981" t="s">
        <v>74</v>
      </c>
      <c r="Q981" t="s">
        <v>74</v>
      </c>
      <c r="R981" t="s">
        <v>74</v>
      </c>
      <c r="S981" t="s">
        <v>74</v>
      </c>
      <c r="T981" t="s">
        <v>17794</v>
      </c>
      <c r="U981" t="s">
        <v>17795</v>
      </c>
      <c r="V981" t="s">
        <v>17796</v>
      </c>
      <c r="W981" t="s">
        <v>17797</v>
      </c>
      <c r="X981" t="s">
        <v>17798</v>
      </c>
      <c r="Y981" t="s">
        <v>17799</v>
      </c>
      <c r="Z981" t="s">
        <v>17800</v>
      </c>
      <c r="AA981" t="s">
        <v>74</v>
      </c>
      <c r="AB981" t="s">
        <v>74</v>
      </c>
      <c r="AC981" t="s">
        <v>17801</v>
      </c>
      <c r="AD981" t="s">
        <v>17802</v>
      </c>
      <c r="AE981" t="s">
        <v>17803</v>
      </c>
      <c r="AF981" t="s">
        <v>74</v>
      </c>
      <c r="AG981">
        <v>78</v>
      </c>
      <c r="AH981">
        <v>0</v>
      </c>
      <c r="AI981">
        <v>0</v>
      </c>
      <c r="AJ981">
        <v>3</v>
      </c>
      <c r="AK981">
        <v>3</v>
      </c>
      <c r="AL981" t="s">
        <v>90</v>
      </c>
      <c r="AM981" t="s">
        <v>91</v>
      </c>
      <c r="AN981" t="s">
        <v>92</v>
      </c>
      <c r="AO981" t="s">
        <v>15757</v>
      </c>
      <c r="AP981" t="s">
        <v>15758</v>
      </c>
      <c r="AQ981" t="s">
        <v>74</v>
      </c>
      <c r="AR981" t="s">
        <v>15759</v>
      </c>
      <c r="AS981" t="s">
        <v>15760</v>
      </c>
      <c r="AT981" t="s">
        <v>13744</v>
      </c>
      <c r="AU981">
        <v>2023</v>
      </c>
      <c r="AV981">
        <v>146</v>
      </c>
      <c r="AW981" t="s">
        <v>74</v>
      </c>
      <c r="AX981" t="s">
        <v>74</v>
      </c>
      <c r="AY981" t="s">
        <v>74</v>
      </c>
      <c r="AZ981" t="s">
        <v>74</v>
      </c>
      <c r="BA981" t="s">
        <v>74</v>
      </c>
      <c r="BB981" t="s">
        <v>74</v>
      </c>
      <c r="BC981" t="s">
        <v>74</v>
      </c>
      <c r="BD981">
        <v>110642</v>
      </c>
      <c r="BE981" t="s">
        <v>17804</v>
      </c>
      <c r="BF981" t="str">
        <f>HYPERLINK("http://dx.doi.org/10.1016/j.asoc.2023.110642","http://dx.doi.org/10.1016/j.asoc.2023.110642")</f>
        <v>http://dx.doi.org/10.1016/j.asoc.2023.110642</v>
      </c>
      <c r="BG981" t="s">
        <v>74</v>
      </c>
      <c r="BH981" t="s">
        <v>74</v>
      </c>
      <c r="BI981">
        <v>14</v>
      </c>
      <c r="BJ981" t="s">
        <v>15762</v>
      </c>
      <c r="BK981" t="s">
        <v>100</v>
      </c>
      <c r="BL981" t="s">
        <v>563</v>
      </c>
      <c r="BM981" t="s">
        <v>17805</v>
      </c>
      <c r="BN981" t="s">
        <v>74</v>
      </c>
      <c r="BO981" t="s">
        <v>74</v>
      </c>
      <c r="BP981" t="s">
        <v>74</v>
      </c>
      <c r="BQ981" t="s">
        <v>74</v>
      </c>
      <c r="BR981" t="s">
        <v>104</v>
      </c>
      <c r="BS981" t="s">
        <v>17806</v>
      </c>
      <c r="BT981" t="str">
        <f>HYPERLINK("https%3A%2F%2Fwww.webofscience.com%2Fwos%2Fwoscc%2Ffull-record%2FWOS:001050694200001","View Full Record in Web of Science")</f>
        <v>View Full Record in Web of Science</v>
      </c>
    </row>
    <row r="982" spans="1:72" x14ac:dyDescent="0.15">
      <c r="A982" t="s">
        <v>72</v>
      </c>
      <c r="B982" t="s">
        <v>17807</v>
      </c>
      <c r="C982" t="s">
        <v>74</v>
      </c>
      <c r="D982" t="s">
        <v>74</v>
      </c>
      <c r="E982" t="s">
        <v>74</v>
      </c>
      <c r="F982" t="s">
        <v>17808</v>
      </c>
      <c r="G982" t="s">
        <v>74</v>
      </c>
      <c r="H982" t="s">
        <v>74</v>
      </c>
      <c r="I982" t="s">
        <v>17809</v>
      </c>
      <c r="J982" t="s">
        <v>12278</v>
      </c>
      <c r="K982" t="s">
        <v>74</v>
      </c>
      <c r="L982" t="s">
        <v>74</v>
      </c>
      <c r="M982" t="s">
        <v>78</v>
      </c>
      <c r="N982" t="s">
        <v>79</v>
      </c>
      <c r="O982" t="s">
        <v>74</v>
      </c>
      <c r="P982" t="s">
        <v>74</v>
      </c>
      <c r="Q982" t="s">
        <v>74</v>
      </c>
      <c r="R982" t="s">
        <v>74</v>
      </c>
      <c r="S982" t="s">
        <v>74</v>
      </c>
      <c r="T982" t="s">
        <v>17810</v>
      </c>
      <c r="U982" t="s">
        <v>17811</v>
      </c>
      <c r="V982" t="s">
        <v>17812</v>
      </c>
      <c r="W982" t="s">
        <v>17813</v>
      </c>
      <c r="X982" t="s">
        <v>17814</v>
      </c>
      <c r="Y982" t="s">
        <v>17815</v>
      </c>
      <c r="Z982" t="s">
        <v>17816</v>
      </c>
      <c r="AA982" t="s">
        <v>74</v>
      </c>
      <c r="AB982" t="s">
        <v>17817</v>
      </c>
      <c r="AC982" t="s">
        <v>17818</v>
      </c>
      <c r="AD982" t="s">
        <v>17819</v>
      </c>
      <c r="AE982" t="s">
        <v>17820</v>
      </c>
      <c r="AF982" t="s">
        <v>74</v>
      </c>
      <c r="AG982">
        <v>70</v>
      </c>
      <c r="AH982">
        <v>0</v>
      </c>
      <c r="AI982">
        <v>0</v>
      </c>
      <c r="AJ982">
        <v>6</v>
      </c>
      <c r="AK982">
        <v>6</v>
      </c>
      <c r="AL982" t="s">
        <v>90</v>
      </c>
      <c r="AM982" t="s">
        <v>91</v>
      </c>
      <c r="AN982" t="s">
        <v>92</v>
      </c>
      <c r="AO982" t="s">
        <v>12286</v>
      </c>
      <c r="AP982" t="s">
        <v>12287</v>
      </c>
      <c r="AQ982" t="s">
        <v>74</v>
      </c>
      <c r="AR982" t="s">
        <v>12288</v>
      </c>
      <c r="AS982" t="s">
        <v>12289</v>
      </c>
      <c r="AT982" t="s">
        <v>13778</v>
      </c>
      <c r="AU982">
        <v>2023</v>
      </c>
      <c r="AV982">
        <v>545</v>
      </c>
      <c r="AW982" t="s">
        <v>74</v>
      </c>
      <c r="AX982" t="s">
        <v>74</v>
      </c>
      <c r="AY982" t="s">
        <v>74</v>
      </c>
      <c r="AZ982" t="s">
        <v>74</v>
      </c>
      <c r="BA982" t="s">
        <v>74</v>
      </c>
      <c r="BB982" t="s">
        <v>74</v>
      </c>
      <c r="BC982" t="s">
        <v>74</v>
      </c>
      <c r="BD982">
        <v>121261</v>
      </c>
      <c r="BE982" t="s">
        <v>17821</v>
      </c>
      <c r="BF982" t="str">
        <f>HYPERLINK("http://dx.doi.org/10.1016/j.foreco.2023.121261","http://dx.doi.org/10.1016/j.foreco.2023.121261")</f>
        <v>http://dx.doi.org/10.1016/j.foreco.2023.121261</v>
      </c>
      <c r="BG982" t="s">
        <v>74</v>
      </c>
      <c r="BH982" t="s">
        <v>74</v>
      </c>
      <c r="BI982">
        <v>9</v>
      </c>
      <c r="BJ982" t="s">
        <v>12291</v>
      </c>
      <c r="BK982" t="s">
        <v>100</v>
      </c>
      <c r="BL982" t="s">
        <v>12291</v>
      </c>
      <c r="BM982" t="s">
        <v>17822</v>
      </c>
      <c r="BN982" t="s">
        <v>74</v>
      </c>
      <c r="BO982" t="s">
        <v>295</v>
      </c>
      <c r="BP982" t="s">
        <v>74</v>
      </c>
      <c r="BQ982" t="s">
        <v>74</v>
      </c>
      <c r="BR982" t="s">
        <v>104</v>
      </c>
      <c r="BS982" t="s">
        <v>17823</v>
      </c>
      <c r="BT982" t="str">
        <f>HYPERLINK("https%3A%2F%2Fwww.webofscience.com%2Fwos%2Fwoscc%2Ffull-record%2FWOS:001046765800001","View Full Record in Web of Science")</f>
        <v>View Full Record in Web of Science</v>
      </c>
    </row>
    <row r="983" spans="1:72" x14ac:dyDescent="0.15">
      <c r="A983" t="s">
        <v>72</v>
      </c>
      <c r="B983" t="s">
        <v>17824</v>
      </c>
      <c r="C983" t="s">
        <v>74</v>
      </c>
      <c r="D983" t="s">
        <v>74</v>
      </c>
      <c r="E983" t="s">
        <v>74</v>
      </c>
      <c r="F983" t="s">
        <v>17825</v>
      </c>
      <c r="G983" t="s">
        <v>74</v>
      </c>
      <c r="H983" t="s">
        <v>74</v>
      </c>
      <c r="I983" t="s">
        <v>17826</v>
      </c>
      <c r="J983" t="s">
        <v>5616</v>
      </c>
      <c r="K983" t="s">
        <v>74</v>
      </c>
      <c r="L983" t="s">
        <v>74</v>
      </c>
      <c r="M983" t="s">
        <v>78</v>
      </c>
      <c r="N983" t="s">
        <v>79</v>
      </c>
      <c r="O983" t="s">
        <v>74</v>
      </c>
      <c r="P983" t="s">
        <v>74</v>
      </c>
      <c r="Q983" t="s">
        <v>74</v>
      </c>
      <c r="R983" t="s">
        <v>74</v>
      </c>
      <c r="S983" t="s">
        <v>74</v>
      </c>
      <c r="T983" t="s">
        <v>17827</v>
      </c>
      <c r="U983" t="s">
        <v>17828</v>
      </c>
      <c r="V983" t="s">
        <v>17829</v>
      </c>
      <c r="W983" t="s">
        <v>17830</v>
      </c>
      <c r="X983" t="s">
        <v>17831</v>
      </c>
      <c r="Y983" t="s">
        <v>17832</v>
      </c>
      <c r="Z983" t="s">
        <v>17833</v>
      </c>
      <c r="AA983" t="s">
        <v>17834</v>
      </c>
      <c r="AB983" t="s">
        <v>74</v>
      </c>
      <c r="AC983" t="s">
        <v>17835</v>
      </c>
      <c r="AD983" t="s">
        <v>17836</v>
      </c>
      <c r="AE983" t="s">
        <v>17837</v>
      </c>
      <c r="AF983" t="s">
        <v>74</v>
      </c>
      <c r="AG983">
        <v>71</v>
      </c>
      <c r="AH983">
        <v>0</v>
      </c>
      <c r="AI983">
        <v>0</v>
      </c>
      <c r="AJ983">
        <v>22</v>
      </c>
      <c r="AK983">
        <v>22</v>
      </c>
      <c r="AL983" t="s">
        <v>90</v>
      </c>
      <c r="AM983" t="s">
        <v>91</v>
      </c>
      <c r="AN983" t="s">
        <v>92</v>
      </c>
      <c r="AO983" t="s">
        <v>5627</v>
      </c>
      <c r="AP983" t="s">
        <v>5628</v>
      </c>
      <c r="AQ983" t="s">
        <v>74</v>
      </c>
      <c r="AR983" t="s">
        <v>5629</v>
      </c>
      <c r="AS983" t="s">
        <v>5630</v>
      </c>
      <c r="AT983" t="s">
        <v>13778</v>
      </c>
      <c r="AU983">
        <v>2023</v>
      </c>
      <c r="AV983">
        <v>201</v>
      </c>
      <c r="AW983" t="s">
        <v>74</v>
      </c>
      <c r="AX983" t="s">
        <v>74</v>
      </c>
      <c r="AY983" t="s">
        <v>74</v>
      </c>
      <c r="AZ983" t="s">
        <v>74</v>
      </c>
      <c r="BA983" t="s">
        <v>74</v>
      </c>
      <c r="BB983" t="s">
        <v>74</v>
      </c>
      <c r="BC983" t="s">
        <v>74</v>
      </c>
      <c r="BD983">
        <v>116901</v>
      </c>
      <c r="BE983" t="s">
        <v>17838</v>
      </c>
      <c r="BF983" t="str">
        <f>HYPERLINK("http://dx.doi.org/10.1016/j.indcrop.2023.116901","http://dx.doi.org/10.1016/j.indcrop.2023.116901")</f>
        <v>http://dx.doi.org/10.1016/j.indcrop.2023.116901</v>
      </c>
      <c r="BG983" t="s">
        <v>74</v>
      </c>
      <c r="BH983" t="s">
        <v>74</v>
      </c>
      <c r="BI983">
        <v>11</v>
      </c>
      <c r="BJ983" t="s">
        <v>5632</v>
      </c>
      <c r="BK983" t="s">
        <v>100</v>
      </c>
      <c r="BL983" t="s">
        <v>3447</v>
      </c>
      <c r="BM983" t="s">
        <v>17839</v>
      </c>
      <c r="BN983" t="s">
        <v>74</v>
      </c>
      <c r="BO983" t="s">
        <v>74</v>
      </c>
      <c r="BP983" t="s">
        <v>74</v>
      </c>
      <c r="BQ983" t="s">
        <v>74</v>
      </c>
      <c r="BR983" t="s">
        <v>104</v>
      </c>
      <c r="BS983" t="s">
        <v>17840</v>
      </c>
      <c r="BT983" t="str">
        <f>HYPERLINK("https%3A%2F%2Fwww.webofscience.com%2Fwos%2Fwoscc%2Ffull-record%2FWOS:001010346500001","View Full Record in Web of Science")</f>
        <v>View Full Record in Web of Science</v>
      </c>
    </row>
    <row r="984" spans="1:72" x14ac:dyDescent="0.15">
      <c r="A984" t="s">
        <v>72</v>
      </c>
      <c r="B984" t="s">
        <v>17841</v>
      </c>
      <c r="C984" t="s">
        <v>74</v>
      </c>
      <c r="D984" t="s">
        <v>74</v>
      </c>
      <c r="E984" t="s">
        <v>74</v>
      </c>
      <c r="F984" t="s">
        <v>17842</v>
      </c>
      <c r="G984" t="s">
        <v>74</v>
      </c>
      <c r="H984" t="s">
        <v>74</v>
      </c>
      <c r="I984" t="s">
        <v>17843</v>
      </c>
      <c r="J984" t="s">
        <v>3284</v>
      </c>
      <c r="K984" t="s">
        <v>74</v>
      </c>
      <c r="L984" t="s">
        <v>74</v>
      </c>
      <c r="M984" t="s">
        <v>78</v>
      </c>
      <c r="N984" t="s">
        <v>79</v>
      </c>
      <c r="O984" t="s">
        <v>74</v>
      </c>
      <c r="P984" t="s">
        <v>74</v>
      </c>
      <c r="Q984" t="s">
        <v>74</v>
      </c>
      <c r="R984" t="s">
        <v>74</v>
      </c>
      <c r="S984" t="s">
        <v>74</v>
      </c>
      <c r="T984" t="s">
        <v>17844</v>
      </c>
      <c r="U984" t="s">
        <v>17845</v>
      </c>
      <c r="V984" t="s">
        <v>17846</v>
      </c>
      <c r="W984" t="s">
        <v>17847</v>
      </c>
      <c r="X984" t="s">
        <v>17848</v>
      </c>
      <c r="Y984" t="s">
        <v>17849</v>
      </c>
      <c r="Z984" t="s">
        <v>17850</v>
      </c>
      <c r="AA984" t="s">
        <v>74</v>
      </c>
      <c r="AB984" t="s">
        <v>17851</v>
      </c>
      <c r="AC984" t="s">
        <v>17852</v>
      </c>
      <c r="AD984" t="s">
        <v>17853</v>
      </c>
      <c r="AE984" t="s">
        <v>17854</v>
      </c>
      <c r="AF984" t="s">
        <v>74</v>
      </c>
      <c r="AG984">
        <v>101</v>
      </c>
      <c r="AH984">
        <v>1</v>
      </c>
      <c r="AI984">
        <v>1</v>
      </c>
      <c r="AJ984">
        <v>4</v>
      </c>
      <c r="AK984">
        <v>4</v>
      </c>
      <c r="AL984" t="s">
        <v>554</v>
      </c>
      <c r="AM984" t="s">
        <v>555</v>
      </c>
      <c r="AN984" t="s">
        <v>556</v>
      </c>
      <c r="AO984" t="s">
        <v>3292</v>
      </c>
      <c r="AP984" t="s">
        <v>3293</v>
      </c>
      <c r="AQ984" t="s">
        <v>74</v>
      </c>
      <c r="AR984" t="s">
        <v>3294</v>
      </c>
      <c r="AS984" t="s">
        <v>3295</v>
      </c>
      <c r="AT984" t="s">
        <v>13744</v>
      </c>
      <c r="AU984">
        <v>2023</v>
      </c>
      <c r="AV984">
        <v>115</v>
      </c>
      <c r="AW984" t="s">
        <v>74</v>
      </c>
      <c r="AX984" t="s">
        <v>74</v>
      </c>
      <c r="AY984" t="s">
        <v>74</v>
      </c>
      <c r="AZ984" t="s">
        <v>74</v>
      </c>
      <c r="BA984" t="s">
        <v>74</v>
      </c>
      <c r="BB984" t="s">
        <v>74</v>
      </c>
      <c r="BC984" t="s">
        <v>74</v>
      </c>
      <c r="BD984">
        <v>104323</v>
      </c>
      <c r="BE984" t="s">
        <v>17855</v>
      </c>
      <c r="BF984" t="str">
        <f>HYPERLINK("http://dx.doi.org/10.1016/j.fm.2023.104323","http://dx.doi.org/10.1016/j.fm.2023.104323")</f>
        <v>http://dx.doi.org/10.1016/j.fm.2023.104323</v>
      </c>
      <c r="BG984" t="s">
        <v>74</v>
      </c>
      <c r="BH984" t="s">
        <v>74</v>
      </c>
      <c r="BI984">
        <v>11</v>
      </c>
      <c r="BJ984" t="s">
        <v>3297</v>
      </c>
      <c r="BK984" t="s">
        <v>100</v>
      </c>
      <c r="BL984" t="s">
        <v>3297</v>
      </c>
      <c r="BM984" t="s">
        <v>17856</v>
      </c>
      <c r="BN984">
        <v>37567618</v>
      </c>
      <c r="BO984" t="s">
        <v>74</v>
      </c>
      <c r="BP984" t="s">
        <v>74</v>
      </c>
      <c r="BQ984" t="s">
        <v>74</v>
      </c>
      <c r="BR984" t="s">
        <v>104</v>
      </c>
      <c r="BS984" t="s">
        <v>17857</v>
      </c>
      <c r="BT984" t="str">
        <f>HYPERLINK("https%3A%2F%2Fwww.webofscience.com%2Fwos%2Fwoscc%2Ffull-record%2FWOS:001058368900001","View Full Record in Web of Science")</f>
        <v>View Full Record in Web of Science</v>
      </c>
    </row>
    <row r="985" spans="1:72" x14ac:dyDescent="0.15">
      <c r="A985" t="s">
        <v>72</v>
      </c>
      <c r="B985" t="s">
        <v>17858</v>
      </c>
      <c r="C985" t="s">
        <v>74</v>
      </c>
      <c r="D985" t="s">
        <v>74</v>
      </c>
      <c r="E985" t="s">
        <v>74</v>
      </c>
      <c r="F985" t="s">
        <v>17859</v>
      </c>
      <c r="G985" t="s">
        <v>74</v>
      </c>
      <c r="H985" t="s">
        <v>74</v>
      </c>
      <c r="I985" t="s">
        <v>17860</v>
      </c>
      <c r="J985" t="s">
        <v>7396</v>
      </c>
      <c r="K985" t="s">
        <v>74</v>
      </c>
      <c r="L985" t="s">
        <v>74</v>
      </c>
      <c r="M985" t="s">
        <v>78</v>
      </c>
      <c r="N985" t="s">
        <v>79</v>
      </c>
      <c r="O985" t="s">
        <v>74</v>
      </c>
      <c r="P985" t="s">
        <v>74</v>
      </c>
      <c r="Q985" t="s">
        <v>74</v>
      </c>
      <c r="R985" t="s">
        <v>74</v>
      </c>
      <c r="S985" t="s">
        <v>74</v>
      </c>
      <c r="T985" t="s">
        <v>17861</v>
      </c>
      <c r="U985" t="s">
        <v>17862</v>
      </c>
      <c r="V985" t="s">
        <v>17863</v>
      </c>
      <c r="W985" t="s">
        <v>17864</v>
      </c>
      <c r="X985" t="s">
        <v>17865</v>
      </c>
      <c r="Y985" t="s">
        <v>17866</v>
      </c>
      <c r="Z985" t="s">
        <v>17867</v>
      </c>
      <c r="AA985" t="s">
        <v>74</v>
      </c>
      <c r="AB985" t="s">
        <v>74</v>
      </c>
      <c r="AC985" t="s">
        <v>17868</v>
      </c>
      <c r="AD985" t="s">
        <v>9765</v>
      </c>
      <c r="AE985" t="s">
        <v>17869</v>
      </c>
      <c r="AF985" t="s">
        <v>74</v>
      </c>
      <c r="AG985">
        <v>46</v>
      </c>
      <c r="AH985">
        <v>0</v>
      </c>
      <c r="AI985">
        <v>0</v>
      </c>
      <c r="AJ985">
        <v>3</v>
      </c>
      <c r="AK985">
        <v>3</v>
      </c>
      <c r="AL985" t="s">
        <v>90</v>
      </c>
      <c r="AM985" t="s">
        <v>91</v>
      </c>
      <c r="AN985" t="s">
        <v>92</v>
      </c>
      <c r="AO985" t="s">
        <v>7408</v>
      </c>
      <c r="AP985" t="s">
        <v>7409</v>
      </c>
      <c r="AQ985" t="s">
        <v>74</v>
      </c>
      <c r="AR985" t="s">
        <v>7410</v>
      </c>
      <c r="AS985" t="s">
        <v>7411</v>
      </c>
      <c r="AT985" t="s">
        <v>13744</v>
      </c>
      <c r="AU985">
        <v>2023</v>
      </c>
      <c r="AV985">
        <v>1869</v>
      </c>
      <c r="AW985">
        <v>7</v>
      </c>
      <c r="AX985" t="s">
        <v>74</v>
      </c>
      <c r="AY985" t="s">
        <v>74</v>
      </c>
      <c r="AZ985" t="s">
        <v>74</v>
      </c>
      <c r="BA985" t="s">
        <v>74</v>
      </c>
      <c r="BB985" t="s">
        <v>74</v>
      </c>
      <c r="BC985" t="s">
        <v>74</v>
      </c>
      <c r="BD985">
        <v>166792</v>
      </c>
      <c r="BE985" t="s">
        <v>17870</v>
      </c>
      <c r="BF985" t="str">
        <f>HYPERLINK("http://dx.doi.org/10.1016/j.bbadis.2023.166792","http://dx.doi.org/10.1016/j.bbadis.2023.166792")</f>
        <v>http://dx.doi.org/10.1016/j.bbadis.2023.166792</v>
      </c>
      <c r="BG985" t="s">
        <v>74</v>
      </c>
      <c r="BH985" t="s">
        <v>74</v>
      </c>
      <c r="BI985">
        <v>10</v>
      </c>
      <c r="BJ985" t="s">
        <v>7413</v>
      </c>
      <c r="BK985" t="s">
        <v>100</v>
      </c>
      <c r="BL985" t="s">
        <v>7413</v>
      </c>
      <c r="BM985" t="s">
        <v>17871</v>
      </c>
      <c r="BN985">
        <v>37336368</v>
      </c>
      <c r="BO985" t="s">
        <v>74</v>
      </c>
      <c r="BP985" t="s">
        <v>74</v>
      </c>
      <c r="BQ985" t="s">
        <v>74</v>
      </c>
      <c r="BR985" t="s">
        <v>104</v>
      </c>
      <c r="BS985" t="s">
        <v>17872</v>
      </c>
      <c r="BT985" t="str">
        <f>HYPERLINK("https%3A%2F%2Fwww.webofscience.com%2Fwos%2Fwoscc%2Ffull-record%2FWOS:001057388200001","View Full Record in Web of Science")</f>
        <v>View Full Record in Web of Science</v>
      </c>
    </row>
    <row r="986" spans="1:72" x14ac:dyDescent="0.15">
      <c r="A986" t="s">
        <v>72</v>
      </c>
      <c r="B986" t="s">
        <v>17873</v>
      </c>
      <c r="C986" t="s">
        <v>74</v>
      </c>
      <c r="D986" t="s">
        <v>74</v>
      </c>
      <c r="E986" t="s">
        <v>74</v>
      </c>
      <c r="F986" t="s">
        <v>17874</v>
      </c>
      <c r="G986" t="s">
        <v>74</v>
      </c>
      <c r="H986" t="s">
        <v>74</v>
      </c>
      <c r="I986" t="s">
        <v>17875</v>
      </c>
      <c r="J986" t="s">
        <v>7051</v>
      </c>
      <c r="K986" t="s">
        <v>74</v>
      </c>
      <c r="L986" t="s">
        <v>74</v>
      </c>
      <c r="M986" t="s">
        <v>78</v>
      </c>
      <c r="N986" t="s">
        <v>79</v>
      </c>
      <c r="O986" t="s">
        <v>74</v>
      </c>
      <c r="P986" t="s">
        <v>74</v>
      </c>
      <c r="Q986" t="s">
        <v>74</v>
      </c>
      <c r="R986" t="s">
        <v>74</v>
      </c>
      <c r="S986" t="s">
        <v>74</v>
      </c>
      <c r="T986" t="s">
        <v>74</v>
      </c>
      <c r="U986" t="s">
        <v>74</v>
      </c>
      <c r="V986" t="s">
        <v>17876</v>
      </c>
      <c r="W986" t="s">
        <v>17877</v>
      </c>
      <c r="X986" t="s">
        <v>17878</v>
      </c>
      <c r="Y986" t="s">
        <v>17879</v>
      </c>
      <c r="Z986" t="s">
        <v>17880</v>
      </c>
      <c r="AA986" t="s">
        <v>74</v>
      </c>
      <c r="AB986" t="s">
        <v>17881</v>
      </c>
      <c r="AC986" t="s">
        <v>17882</v>
      </c>
      <c r="AD986" t="s">
        <v>17883</v>
      </c>
      <c r="AE986" t="s">
        <v>17884</v>
      </c>
      <c r="AF986" t="s">
        <v>74</v>
      </c>
      <c r="AG986">
        <v>33</v>
      </c>
      <c r="AH986">
        <v>0</v>
      </c>
      <c r="AI986">
        <v>0</v>
      </c>
      <c r="AJ986">
        <v>2</v>
      </c>
      <c r="AK986">
        <v>2</v>
      </c>
      <c r="AL986" t="s">
        <v>90</v>
      </c>
      <c r="AM986" t="s">
        <v>91</v>
      </c>
      <c r="AN986" t="s">
        <v>92</v>
      </c>
      <c r="AO986" t="s">
        <v>7062</v>
      </c>
      <c r="AP986" t="s">
        <v>7063</v>
      </c>
      <c r="AQ986" t="s">
        <v>74</v>
      </c>
      <c r="AR986" t="s">
        <v>7064</v>
      </c>
      <c r="AS986" t="s">
        <v>7065</v>
      </c>
      <c r="AT986" t="s">
        <v>13744</v>
      </c>
      <c r="AU986">
        <v>2023</v>
      </c>
      <c r="AV986">
        <v>229</v>
      </c>
      <c r="AW986" t="s">
        <v>74</v>
      </c>
      <c r="AX986" t="s">
        <v>74</v>
      </c>
      <c r="AY986" t="s">
        <v>74</v>
      </c>
      <c r="AZ986" t="s">
        <v>74</v>
      </c>
      <c r="BA986" t="s">
        <v>74</v>
      </c>
      <c r="BB986" t="s">
        <v>74</v>
      </c>
      <c r="BC986" t="s">
        <v>74</v>
      </c>
      <c r="BD986">
        <v>212083</v>
      </c>
      <c r="BE986" t="s">
        <v>17885</v>
      </c>
      <c r="BF986" t="str">
        <f>HYPERLINK("http://dx.doi.org/10.1016/j.geoen.2023.212083","http://dx.doi.org/10.1016/j.geoen.2023.212083")</f>
        <v>http://dx.doi.org/10.1016/j.geoen.2023.212083</v>
      </c>
      <c r="BG986" t="s">
        <v>74</v>
      </c>
      <c r="BH986" t="s">
        <v>74</v>
      </c>
      <c r="BI986">
        <v>14</v>
      </c>
      <c r="BJ986" t="s">
        <v>7067</v>
      </c>
      <c r="BK986" t="s">
        <v>100</v>
      </c>
      <c r="BL986" t="s">
        <v>277</v>
      </c>
      <c r="BM986" t="s">
        <v>17886</v>
      </c>
      <c r="BN986" t="s">
        <v>74</v>
      </c>
      <c r="BO986" t="s">
        <v>74</v>
      </c>
      <c r="BP986" t="s">
        <v>74</v>
      </c>
      <c r="BQ986" t="s">
        <v>74</v>
      </c>
      <c r="BR986" t="s">
        <v>104</v>
      </c>
      <c r="BS986" t="s">
        <v>17887</v>
      </c>
      <c r="BT986" t="str">
        <f>HYPERLINK("https%3A%2F%2Fwww.webofscience.com%2Fwos%2Fwoscc%2Ffull-record%2FWOS:001056343900001","View Full Record in Web of Science")</f>
        <v>View Full Record in Web of Science</v>
      </c>
    </row>
    <row r="987" spans="1:72" x14ac:dyDescent="0.15">
      <c r="A987" t="s">
        <v>72</v>
      </c>
      <c r="B987" t="s">
        <v>17888</v>
      </c>
      <c r="C987" t="s">
        <v>74</v>
      </c>
      <c r="D987" t="s">
        <v>74</v>
      </c>
      <c r="E987" t="s">
        <v>74</v>
      </c>
      <c r="F987" t="s">
        <v>17889</v>
      </c>
      <c r="G987" t="s">
        <v>74</v>
      </c>
      <c r="H987" t="s">
        <v>74</v>
      </c>
      <c r="I987" t="s">
        <v>17890</v>
      </c>
      <c r="J987" t="s">
        <v>17891</v>
      </c>
      <c r="K987" t="s">
        <v>74</v>
      </c>
      <c r="L987" t="s">
        <v>74</v>
      </c>
      <c r="M987" t="s">
        <v>78</v>
      </c>
      <c r="N987" t="s">
        <v>79</v>
      </c>
      <c r="O987" t="s">
        <v>74</v>
      </c>
      <c r="P987" t="s">
        <v>74</v>
      </c>
      <c r="Q987" t="s">
        <v>74</v>
      </c>
      <c r="R987" t="s">
        <v>74</v>
      </c>
      <c r="S987" t="s">
        <v>74</v>
      </c>
      <c r="T987" t="s">
        <v>17892</v>
      </c>
      <c r="U987" t="s">
        <v>17893</v>
      </c>
      <c r="V987" t="s">
        <v>17894</v>
      </c>
      <c r="W987" t="s">
        <v>17895</v>
      </c>
      <c r="X987" t="s">
        <v>17896</v>
      </c>
      <c r="Y987" t="s">
        <v>17897</v>
      </c>
      <c r="Z987" t="s">
        <v>17898</v>
      </c>
      <c r="AA987" t="s">
        <v>74</v>
      </c>
      <c r="AB987" t="s">
        <v>74</v>
      </c>
      <c r="AC987" t="s">
        <v>17899</v>
      </c>
      <c r="AD987" t="s">
        <v>17900</v>
      </c>
      <c r="AE987" t="s">
        <v>17901</v>
      </c>
      <c r="AF987" t="s">
        <v>74</v>
      </c>
      <c r="AG987">
        <v>41</v>
      </c>
      <c r="AH987">
        <v>0</v>
      </c>
      <c r="AI987">
        <v>0</v>
      </c>
      <c r="AJ987">
        <v>2</v>
      </c>
      <c r="AK987">
        <v>2</v>
      </c>
      <c r="AL987" t="s">
        <v>329</v>
      </c>
      <c r="AM987" t="s">
        <v>330</v>
      </c>
      <c r="AN987" t="s">
        <v>331</v>
      </c>
      <c r="AO987" t="s">
        <v>17902</v>
      </c>
      <c r="AP987" t="s">
        <v>17903</v>
      </c>
      <c r="AQ987" t="s">
        <v>74</v>
      </c>
      <c r="AR987" t="s">
        <v>17904</v>
      </c>
      <c r="AS987" t="s">
        <v>17905</v>
      </c>
      <c r="AT987" t="s">
        <v>13744</v>
      </c>
      <c r="AU987">
        <v>2023</v>
      </c>
      <c r="AV987">
        <v>167</v>
      </c>
      <c r="AW987" t="s">
        <v>74</v>
      </c>
      <c r="AX987" t="s">
        <v>74</v>
      </c>
      <c r="AY987" t="s">
        <v>74</v>
      </c>
      <c r="AZ987" t="s">
        <v>74</v>
      </c>
      <c r="BA987" t="s">
        <v>74</v>
      </c>
      <c r="BB987" t="s">
        <v>74</v>
      </c>
      <c r="BC987" t="s">
        <v>74</v>
      </c>
      <c r="BD987">
        <v>111033</v>
      </c>
      <c r="BE987" t="s">
        <v>17906</v>
      </c>
      <c r="BF987" t="str">
        <f>HYPERLINK("http://dx.doi.org/10.1016/j.ejrad.2023.111033","http://dx.doi.org/10.1016/j.ejrad.2023.111033")</f>
        <v>http://dx.doi.org/10.1016/j.ejrad.2023.111033</v>
      </c>
      <c r="BG987" t="s">
        <v>74</v>
      </c>
      <c r="BH987" t="s">
        <v>74</v>
      </c>
      <c r="BI987">
        <v>8</v>
      </c>
      <c r="BJ987" t="s">
        <v>2581</v>
      </c>
      <c r="BK987" t="s">
        <v>100</v>
      </c>
      <c r="BL987" t="s">
        <v>2581</v>
      </c>
      <c r="BM987" t="s">
        <v>17907</v>
      </c>
      <c r="BN987">
        <v>37595399</v>
      </c>
      <c r="BO987" t="s">
        <v>74</v>
      </c>
      <c r="BP987" t="s">
        <v>74</v>
      </c>
      <c r="BQ987" t="s">
        <v>74</v>
      </c>
      <c r="BR987" t="s">
        <v>104</v>
      </c>
      <c r="BS987" t="s">
        <v>17908</v>
      </c>
      <c r="BT987" t="str">
        <f>HYPERLINK("https%3A%2F%2Fwww.webofscience.com%2Fwos%2Fwoscc%2Ffull-record%2FWOS:001059061200001","View Full Record in Web of Science")</f>
        <v>View Full Record in Web of Science</v>
      </c>
    </row>
    <row r="988" spans="1:72" x14ac:dyDescent="0.15">
      <c r="A988" t="s">
        <v>72</v>
      </c>
      <c r="B988" t="s">
        <v>17909</v>
      </c>
      <c r="C988" t="s">
        <v>74</v>
      </c>
      <c r="D988" t="s">
        <v>74</v>
      </c>
      <c r="E988" t="s">
        <v>74</v>
      </c>
      <c r="F988" t="s">
        <v>17910</v>
      </c>
      <c r="G988" t="s">
        <v>74</v>
      </c>
      <c r="H988" t="s">
        <v>74</v>
      </c>
      <c r="I988" t="s">
        <v>17911</v>
      </c>
      <c r="J988" t="s">
        <v>9943</v>
      </c>
      <c r="K988" t="s">
        <v>74</v>
      </c>
      <c r="L988" t="s">
        <v>74</v>
      </c>
      <c r="M988" t="s">
        <v>78</v>
      </c>
      <c r="N988" t="s">
        <v>79</v>
      </c>
      <c r="O988" t="s">
        <v>74</v>
      </c>
      <c r="P988" t="s">
        <v>74</v>
      </c>
      <c r="Q988" t="s">
        <v>74</v>
      </c>
      <c r="R988" t="s">
        <v>74</v>
      </c>
      <c r="S988" t="s">
        <v>74</v>
      </c>
      <c r="T988" t="s">
        <v>17912</v>
      </c>
      <c r="U988" t="s">
        <v>17913</v>
      </c>
      <c r="V988" t="s">
        <v>17914</v>
      </c>
      <c r="W988" t="s">
        <v>17915</v>
      </c>
      <c r="X988" t="s">
        <v>17916</v>
      </c>
      <c r="Y988" t="s">
        <v>17917</v>
      </c>
      <c r="Z988" t="s">
        <v>17918</v>
      </c>
      <c r="AA988" t="s">
        <v>74</v>
      </c>
      <c r="AB988" t="s">
        <v>74</v>
      </c>
      <c r="AC988" t="s">
        <v>17919</v>
      </c>
      <c r="AD988" t="s">
        <v>17920</v>
      </c>
      <c r="AE988" t="s">
        <v>17921</v>
      </c>
      <c r="AF988" t="s">
        <v>74</v>
      </c>
      <c r="AG988">
        <v>43</v>
      </c>
      <c r="AH988">
        <v>0</v>
      </c>
      <c r="AI988">
        <v>0</v>
      </c>
      <c r="AJ988">
        <v>3</v>
      </c>
      <c r="AK988">
        <v>3</v>
      </c>
      <c r="AL988" t="s">
        <v>147</v>
      </c>
      <c r="AM988" t="s">
        <v>148</v>
      </c>
      <c r="AN988" t="s">
        <v>149</v>
      </c>
      <c r="AO988" t="s">
        <v>9955</v>
      </c>
      <c r="AP988" t="s">
        <v>74</v>
      </c>
      <c r="AQ988" t="s">
        <v>74</v>
      </c>
      <c r="AR988" t="s">
        <v>9956</v>
      </c>
      <c r="AS988" t="s">
        <v>9957</v>
      </c>
      <c r="AT988" t="s">
        <v>13744</v>
      </c>
      <c r="AU988">
        <v>2023</v>
      </c>
      <c r="AV988">
        <v>36</v>
      </c>
      <c r="AW988" t="s">
        <v>74</v>
      </c>
      <c r="AX988" t="s">
        <v>74</v>
      </c>
      <c r="AY988" t="s">
        <v>74</v>
      </c>
      <c r="AZ988" t="s">
        <v>74</v>
      </c>
      <c r="BA988" t="s">
        <v>74</v>
      </c>
      <c r="BB988" t="s">
        <v>74</v>
      </c>
      <c r="BC988" t="s">
        <v>74</v>
      </c>
      <c r="BD988">
        <v>101746</v>
      </c>
      <c r="BE988" t="s">
        <v>17922</v>
      </c>
      <c r="BF988" t="str">
        <f>HYPERLINK("http://dx.doi.org/10.1016/j.tranon.2023.101746","http://dx.doi.org/10.1016/j.tranon.2023.101746")</f>
        <v>http://dx.doi.org/10.1016/j.tranon.2023.101746</v>
      </c>
      <c r="BG988" t="s">
        <v>74</v>
      </c>
      <c r="BH988" t="s">
        <v>74</v>
      </c>
      <c r="BI988">
        <v>13</v>
      </c>
      <c r="BJ988" t="s">
        <v>9959</v>
      </c>
      <c r="BK988" t="s">
        <v>100</v>
      </c>
      <c r="BL988" t="s">
        <v>9959</v>
      </c>
      <c r="BM988" t="s">
        <v>17923</v>
      </c>
      <c r="BN988">
        <v>37499410</v>
      </c>
      <c r="BO988" t="s">
        <v>74</v>
      </c>
      <c r="BP988" t="s">
        <v>74</v>
      </c>
      <c r="BQ988" t="s">
        <v>74</v>
      </c>
      <c r="BR988" t="s">
        <v>104</v>
      </c>
      <c r="BS988" t="s">
        <v>17924</v>
      </c>
      <c r="BT988" t="str">
        <f>HYPERLINK("https%3A%2F%2Fwww.webofscience.com%2Fwos%2Fwoscc%2Ffull-record%2FWOS:001047253500001","View Full Record in Web of Science")</f>
        <v>View Full Record in Web of Science</v>
      </c>
    </row>
    <row r="989" spans="1:72" x14ac:dyDescent="0.15">
      <c r="A989" t="s">
        <v>72</v>
      </c>
      <c r="B989" t="s">
        <v>17925</v>
      </c>
      <c r="C989" t="s">
        <v>74</v>
      </c>
      <c r="D989" t="s">
        <v>74</v>
      </c>
      <c r="E989" t="s">
        <v>74</v>
      </c>
      <c r="F989" t="s">
        <v>17926</v>
      </c>
      <c r="G989" t="s">
        <v>74</v>
      </c>
      <c r="H989" t="s">
        <v>74</v>
      </c>
      <c r="I989" t="s">
        <v>17927</v>
      </c>
      <c r="J989" t="s">
        <v>7672</v>
      </c>
      <c r="K989" t="s">
        <v>74</v>
      </c>
      <c r="L989" t="s">
        <v>74</v>
      </c>
      <c r="M989" t="s">
        <v>78</v>
      </c>
      <c r="N989" t="s">
        <v>79</v>
      </c>
      <c r="O989" t="s">
        <v>74</v>
      </c>
      <c r="P989" t="s">
        <v>74</v>
      </c>
      <c r="Q989" t="s">
        <v>74</v>
      </c>
      <c r="R989" t="s">
        <v>74</v>
      </c>
      <c r="S989" t="s">
        <v>74</v>
      </c>
      <c r="T989" t="s">
        <v>17928</v>
      </c>
      <c r="U989" t="s">
        <v>17929</v>
      </c>
      <c r="V989" t="s">
        <v>17930</v>
      </c>
      <c r="W989" t="s">
        <v>17931</v>
      </c>
      <c r="X989" t="s">
        <v>17932</v>
      </c>
      <c r="Y989" t="s">
        <v>17933</v>
      </c>
      <c r="Z989" t="s">
        <v>17934</v>
      </c>
      <c r="AA989" t="s">
        <v>74</v>
      </c>
      <c r="AB989" t="s">
        <v>74</v>
      </c>
      <c r="AC989" t="s">
        <v>74</v>
      </c>
      <c r="AD989" t="s">
        <v>74</v>
      </c>
      <c r="AE989" t="s">
        <v>74</v>
      </c>
      <c r="AF989" t="s">
        <v>74</v>
      </c>
      <c r="AG989">
        <v>52</v>
      </c>
      <c r="AH989">
        <v>0</v>
      </c>
      <c r="AI989">
        <v>0</v>
      </c>
      <c r="AJ989">
        <v>3</v>
      </c>
      <c r="AK989">
        <v>3</v>
      </c>
      <c r="AL989" t="s">
        <v>90</v>
      </c>
      <c r="AM989" t="s">
        <v>91</v>
      </c>
      <c r="AN989" t="s">
        <v>92</v>
      </c>
      <c r="AO989" t="s">
        <v>7680</v>
      </c>
      <c r="AP989" t="s">
        <v>74</v>
      </c>
      <c r="AQ989" t="s">
        <v>74</v>
      </c>
      <c r="AR989" t="s">
        <v>7681</v>
      </c>
      <c r="AS989" t="s">
        <v>7682</v>
      </c>
      <c r="AT989" t="s">
        <v>13744</v>
      </c>
      <c r="AU989">
        <v>2023</v>
      </c>
      <c r="AV989">
        <v>18</v>
      </c>
      <c r="AW989">
        <v>10</v>
      </c>
      <c r="AX989" t="s">
        <v>74</v>
      </c>
      <c r="AY989" t="s">
        <v>74</v>
      </c>
      <c r="AZ989" t="s">
        <v>74</v>
      </c>
      <c r="BA989" t="s">
        <v>74</v>
      </c>
      <c r="BB989" t="s">
        <v>74</v>
      </c>
      <c r="BC989" t="s">
        <v>74</v>
      </c>
      <c r="BD989">
        <v>100308</v>
      </c>
      <c r="BE989" t="s">
        <v>17935</v>
      </c>
      <c r="BF989" t="str">
        <f>HYPERLINK("http://dx.doi.org/10.1016/j.ijoes.2023.100308","http://dx.doi.org/10.1016/j.ijoes.2023.100308")</f>
        <v>http://dx.doi.org/10.1016/j.ijoes.2023.100308</v>
      </c>
      <c r="BG989" t="s">
        <v>74</v>
      </c>
      <c r="BH989" t="s">
        <v>74</v>
      </c>
      <c r="BI989">
        <v>8</v>
      </c>
      <c r="BJ989" t="s">
        <v>6896</v>
      </c>
      <c r="BK989" t="s">
        <v>100</v>
      </c>
      <c r="BL989" t="s">
        <v>6896</v>
      </c>
      <c r="BM989" t="s">
        <v>17936</v>
      </c>
      <c r="BN989" t="s">
        <v>74</v>
      </c>
      <c r="BO989" t="s">
        <v>295</v>
      </c>
      <c r="BP989" t="s">
        <v>74</v>
      </c>
      <c r="BQ989" t="s">
        <v>74</v>
      </c>
      <c r="BR989" t="s">
        <v>104</v>
      </c>
      <c r="BS989" t="s">
        <v>17937</v>
      </c>
      <c r="BT989" t="str">
        <f>HYPERLINK("https%3A%2F%2Fwww.webofscience.com%2Fwos%2Fwoscc%2Ffull-record%2FWOS:001053538700001","View Full Record in Web of Science")</f>
        <v>View Full Record in Web of Science</v>
      </c>
    </row>
    <row r="990" spans="1:72" x14ac:dyDescent="0.15">
      <c r="A990" t="s">
        <v>72</v>
      </c>
      <c r="B990" t="s">
        <v>17938</v>
      </c>
      <c r="C990" t="s">
        <v>74</v>
      </c>
      <c r="D990" t="s">
        <v>74</v>
      </c>
      <c r="E990" t="s">
        <v>74</v>
      </c>
      <c r="F990" t="s">
        <v>17939</v>
      </c>
      <c r="G990" t="s">
        <v>74</v>
      </c>
      <c r="H990" t="s">
        <v>74</v>
      </c>
      <c r="I990" t="s">
        <v>17940</v>
      </c>
      <c r="J990" t="s">
        <v>15919</v>
      </c>
      <c r="K990" t="s">
        <v>74</v>
      </c>
      <c r="L990" t="s">
        <v>74</v>
      </c>
      <c r="M990" t="s">
        <v>78</v>
      </c>
      <c r="N990" t="s">
        <v>79</v>
      </c>
      <c r="O990" t="s">
        <v>74</v>
      </c>
      <c r="P990" t="s">
        <v>74</v>
      </c>
      <c r="Q990" t="s">
        <v>74</v>
      </c>
      <c r="R990" t="s">
        <v>74</v>
      </c>
      <c r="S990" t="s">
        <v>74</v>
      </c>
      <c r="T990" t="s">
        <v>17941</v>
      </c>
      <c r="U990" t="s">
        <v>17942</v>
      </c>
      <c r="V990" t="s">
        <v>17943</v>
      </c>
      <c r="W990" t="s">
        <v>17944</v>
      </c>
      <c r="X990" t="s">
        <v>7694</v>
      </c>
      <c r="Y990" t="s">
        <v>17945</v>
      </c>
      <c r="Z990" t="s">
        <v>17946</v>
      </c>
      <c r="AA990" t="s">
        <v>74</v>
      </c>
      <c r="AB990" t="s">
        <v>74</v>
      </c>
      <c r="AC990" t="s">
        <v>17947</v>
      </c>
      <c r="AD990" t="s">
        <v>17948</v>
      </c>
      <c r="AE990" t="s">
        <v>17949</v>
      </c>
      <c r="AF990" t="s">
        <v>74</v>
      </c>
      <c r="AG990">
        <v>51</v>
      </c>
      <c r="AH990">
        <v>0</v>
      </c>
      <c r="AI990">
        <v>0</v>
      </c>
      <c r="AJ990">
        <v>14</v>
      </c>
      <c r="AK990">
        <v>14</v>
      </c>
      <c r="AL990" t="s">
        <v>90</v>
      </c>
      <c r="AM990" t="s">
        <v>91</v>
      </c>
      <c r="AN990" t="s">
        <v>92</v>
      </c>
      <c r="AO990" t="s">
        <v>15930</v>
      </c>
      <c r="AP990" t="s">
        <v>15931</v>
      </c>
      <c r="AQ990" t="s">
        <v>74</v>
      </c>
      <c r="AR990" t="s">
        <v>15932</v>
      </c>
      <c r="AS990" t="s">
        <v>15933</v>
      </c>
      <c r="AT990" t="s">
        <v>13744</v>
      </c>
      <c r="AU990">
        <v>2023</v>
      </c>
      <c r="AV990">
        <v>154</v>
      </c>
      <c r="AW990" t="s">
        <v>74</v>
      </c>
      <c r="AX990" t="s">
        <v>74</v>
      </c>
      <c r="AY990" t="s">
        <v>74</v>
      </c>
      <c r="AZ990" t="s">
        <v>74</v>
      </c>
      <c r="BA990" t="s">
        <v>74</v>
      </c>
      <c r="BB990" t="s">
        <v>74</v>
      </c>
      <c r="BC990" t="s">
        <v>74</v>
      </c>
      <c r="BD990">
        <v>110697</v>
      </c>
      <c r="BE990" t="s">
        <v>17950</v>
      </c>
      <c r="BF990" t="str">
        <f>HYPERLINK("http://dx.doi.org/10.1016/j.ecolind.2023.110697","http://dx.doi.org/10.1016/j.ecolind.2023.110697")</f>
        <v>http://dx.doi.org/10.1016/j.ecolind.2023.110697</v>
      </c>
      <c r="BG990" t="s">
        <v>74</v>
      </c>
      <c r="BH990" t="s">
        <v>74</v>
      </c>
      <c r="BI990">
        <v>14</v>
      </c>
      <c r="BJ990" t="s">
        <v>15935</v>
      </c>
      <c r="BK990" t="s">
        <v>100</v>
      </c>
      <c r="BL990" t="s">
        <v>15936</v>
      </c>
      <c r="BM990" t="s">
        <v>17951</v>
      </c>
      <c r="BN990" t="s">
        <v>74</v>
      </c>
      <c r="BO990" t="s">
        <v>295</v>
      </c>
      <c r="BP990" t="s">
        <v>74</v>
      </c>
      <c r="BQ990" t="s">
        <v>74</v>
      </c>
      <c r="BR990" t="s">
        <v>104</v>
      </c>
      <c r="BS990" t="s">
        <v>17952</v>
      </c>
      <c r="BT990" t="str">
        <f>HYPERLINK("https%3A%2F%2Fwww.webofscience.com%2Fwos%2Fwoscc%2Ffull-record%2FWOS:001051068300001","View Full Record in Web of Science")</f>
        <v>View Full Record in Web of Science</v>
      </c>
    </row>
    <row r="991" spans="1:72" x14ac:dyDescent="0.15">
      <c r="A991" t="s">
        <v>72</v>
      </c>
      <c r="B991" t="s">
        <v>17953</v>
      </c>
      <c r="C991" t="s">
        <v>74</v>
      </c>
      <c r="D991" t="s">
        <v>74</v>
      </c>
      <c r="E991" t="s">
        <v>74</v>
      </c>
      <c r="F991" t="s">
        <v>17954</v>
      </c>
      <c r="G991" t="s">
        <v>74</v>
      </c>
      <c r="H991" t="s">
        <v>74</v>
      </c>
      <c r="I991" t="s">
        <v>17955</v>
      </c>
      <c r="J991" t="s">
        <v>14586</v>
      </c>
      <c r="K991" t="s">
        <v>74</v>
      </c>
      <c r="L991" t="s">
        <v>74</v>
      </c>
      <c r="M991" t="s">
        <v>78</v>
      </c>
      <c r="N991" t="s">
        <v>79</v>
      </c>
      <c r="O991" t="s">
        <v>74</v>
      </c>
      <c r="P991" t="s">
        <v>74</v>
      </c>
      <c r="Q991" t="s">
        <v>74</v>
      </c>
      <c r="R991" t="s">
        <v>74</v>
      </c>
      <c r="S991" t="s">
        <v>74</v>
      </c>
      <c r="T991" t="s">
        <v>17956</v>
      </c>
      <c r="U991" t="s">
        <v>17957</v>
      </c>
      <c r="V991" t="s">
        <v>17958</v>
      </c>
      <c r="W991" t="s">
        <v>17959</v>
      </c>
      <c r="X991" t="s">
        <v>17960</v>
      </c>
      <c r="Y991" t="s">
        <v>17961</v>
      </c>
      <c r="Z991" t="s">
        <v>17962</v>
      </c>
      <c r="AA991" t="s">
        <v>74</v>
      </c>
      <c r="AB991" t="s">
        <v>74</v>
      </c>
      <c r="AC991" t="s">
        <v>17963</v>
      </c>
      <c r="AD991" t="s">
        <v>17964</v>
      </c>
      <c r="AE991" t="s">
        <v>17965</v>
      </c>
      <c r="AF991" t="s">
        <v>74</v>
      </c>
      <c r="AG991">
        <v>121</v>
      </c>
      <c r="AH991">
        <v>0</v>
      </c>
      <c r="AI991">
        <v>0</v>
      </c>
      <c r="AJ991">
        <v>1</v>
      </c>
      <c r="AK991">
        <v>1</v>
      </c>
      <c r="AL991" t="s">
        <v>120</v>
      </c>
      <c r="AM991" t="s">
        <v>121</v>
      </c>
      <c r="AN991" t="s">
        <v>122</v>
      </c>
      <c r="AO991" t="s">
        <v>14599</v>
      </c>
      <c r="AP991" t="s">
        <v>14600</v>
      </c>
      <c r="AQ991" t="s">
        <v>74</v>
      </c>
      <c r="AR991" t="s">
        <v>14601</v>
      </c>
      <c r="AS991" t="s">
        <v>14602</v>
      </c>
      <c r="AT991" t="s">
        <v>13744</v>
      </c>
      <c r="AU991">
        <v>2023</v>
      </c>
      <c r="AV991">
        <v>11</v>
      </c>
      <c r="AW991">
        <v>5</v>
      </c>
      <c r="AX991" t="s">
        <v>74</v>
      </c>
      <c r="AY991" t="s">
        <v>74</v>
      </c>
      <c r="AZ991" t="s">
        <v>74</v>
      </c>
      <c r="BA991" t="s">
        <v>74</v>
      </c>
      <c r="BB991" t="s">
        <v>74</v>
      </c>
      <c r="BC991" t="s">
        <v>74</v>
      </c>
      <c r="BD991">
        <v>110727</v>
      </c>
      <c r="BE991" t="s">
        <v>17966</v>
      </c>
      <c r="BF991" t="str">
        <f>HYPERLINK("http://dx.doi.org/10.1016/j.jece.2023.110727","http://dx.doi.org/10.1016/j.jece.2023.110727")</f>
        <v>http://dx.doi.org/10.1016/j.jece.2023.110727</v>
      </c>
      <c r="BG991" t="s">
        <v>74</v>
      </c>
      <c r="BH991" t="s">
        <v>74</v>
      </c>
      <c r="BI991">
        <v>10</v>
      </c>
      <c r="BJ991" t="s">
        <v>14604</v>
      </c>
      <c r="BK991" t="s">
        <v>100</v>
      </c>
      <c r="BL991" t="s">
        <v>873</v>
      </c>
      <c r="BM991" t="s">
        <v>17967</v>
      </c>
      <c r="BN991" t="s">
        <v>74</v>
      </c>
      <c r="BO991" t="s">
        <v>74</v>
      </c>
      <c r="BP991" t="s">
        <v>74</v>
      </c>
      <c r="BQ991" t="s">
        <v>74</v>
      </c>
      <c r="BR991" t="s">
        <v>104</v>
      </c>
      <c r="BS991" t="s">
        <v>17968</v>
      </c>
      <c r="BT991" t="str">
        <f>HYPERLINK("https%3A%2F%2Fwww.webofscience.com%2Fwos%2Fwoscc%2Ffull-record%2FWOS:001063535000001","View Full Record in Web of Science")</f>
        <v>View Full Record in Web of Science</v>
      </c>
    </row>
    <row r="992" spans="1:72" x14ac:dyDescent="0.15">
      <c r="A992" t="s">
        <v>72</v>
      </c>
      <c r="B992" t="s">
        <v>17969</v>
      </c>
      <c r="C992" t="s">
        <v>74</v>
      </c>
      <c r="D992" t="s">
        <v>74</v>
      </c>
      <c r="E992" t="s">
        <v>74</v>
      </c>
      <c r="F992" t="s">
        <v>17970</v>
      </c>
      <c r="G992" t="s">
        <v>74</v>
      </c>
      <c r="H992" t="s">
        <v>74</v>
      </c>
      <c r="I992" t="s">
        <v>17971</v>
      </c>
      <c r="J992" t="s">
        <v>13751</v>
      </c>
      <c r="K992" t="s">
        <v>74</v>
      </c>
      <c r="L992" t="s">
        <v>74</v>
      </c>
      <c r="M992" t="s">
        <v>78</v>
      </c>
      <c r="N992" t="s">
        <v>241</v>
      </c>
      <c r="O992" t="s">
        <v>74</v>
      </c>
      <c r="P992" t="s">
        <v>74</v>
      </c>
      <c r="Q992" t="s">
        <v>74</v>
      </c>
      <c r="R992" t="s">
        <v>74</v>
      </c>
      <c r="S992" t="s">
        <v>74</v>
      </c>
      <c r="T992" t="s">
        <v>17972</v>
      </c>
      <c r="U992" t="s">
        <v>17973</v>
      </c>
      <c r="V992" t="s">
        <v>17974</v>
      </c>
      <c r="W992" t="s">
        <v>17975</v>
      </c>
      <c r="X992" t="s">
        <v>17976</v>
      </c>
      <c r="Y992" t="s">
        <v>17977</v>
      </c>
      <c r="Z992" t="s">
        <v>17978</v>
      </c>
      <c r="AA992" t="s">
        <v>74</v>
      </c>
      <c r="AB992" t="s">
        <v>17979</v>
      </c>
      <c r="AC992" t="s">
        <v>74</v>
      </c>
      <c r="AD992" t="s">
        <v>74</v>
      </c>
      <c r="AE992" t="s">
        <v>74</v>
      </c>
      <c r="AF992" t="s">
        <v>74</v>
      </c>
      <c r="AG992">
        <v>21</v>
      </c>
      <c r="AH992">
        <v>0</v>
      </c>
      <c r="AI992">
        <v>0</v>
      </c>
      <c r="AJ992">
        <v>0</v>
      </c>
      <c r="AK992">
        <v>0</v>
      </c>
      <c r="AL992" t="s">
        <v>90</v>
      </c>
      <c r="AM992" t="s">
        <v>91</v>
      </c>
      <c r="AN992" t="s">
        <v>92</v>
      </c>
      <c r="AO992" t="s">
        <v>13761</v>
      </c>
      <c r="AP992" t="s">
        <v>74</v>
      </c>
      <c r="AQ992" t="s">
        <v>74</v>
      </c>
      <c r="AR992" t="s">
        <v>13762</v>
      </c>
      <c r="AS992" t="s">
        <v>13763</v>
      </c>
      <c r="AT992" t="s">
        <v>13744</v>
      </c>
      <c r="AU992">
        <v>2023</v>
      </c>
      <c r="AV992">
        <v>57</v>
      </c>
      <c r="AW992" t="s">
        <v>74</v>
      </c>
      <c r="AX992" t="s">
        <v>74</v>
      </c>
      <c r="AY992" t="s">
        <v>74</v>
      </c>
      <c r="AZ992" t="s">
        <v>74</v>
      </c>
      <c r="BA992" t="s">
        <v>74</v>
      </c>
      <c r="BB992">
        <v>459</v>
      </c>
      <c r="BC992">
        <v>468</v>
      </c>
      <c r="BD992" t="s">
        <v>74</v>
      </c>
      <c r="BE992" t="s">
        <v>17980</v>
      </c>
      <c r="BF992" t="str">
        <f>HYPERLINK("http://dx.doi.org/10.1016/j.clnesp.2023.07.081","http://dx.doi.org/10.1016/j.clnesp.2023.07.081")</f>
        <v>http://dx.doi.org/10.1016/j.clnesp.2023.07.081</v>
      </c>
      <c r="BG992" t="s">
        <v>74</v>
      </c>
      <c r="BH992" t="s">
        <v>74</v>
      </c>
      <c r="BI992">
        <v>10</v>
      </c>
      <c r="BJ992" t="s">
        <v>8923</v>
      </c>
      <c r="BK992" t="s">
        <v>1850</v>
      </c>
      <c r="BL992" t="s">
        <v>8923</v>
      </c>
      <c r="BM992" t="s">
        <v>17981</v>
      </c>
      <c r="BN992">
        <v>37739692</v>
      </c>
      <c r="BO992" t="s">
        <v>74</v>
      </c>
      <c r="BP992" t="s">
        <v>74</v>
      </c>
      <c r="BQ992" t="s">
        <v>74</v>
      </c>
      <c r="BR992" t="s">
        <v>104</v>
      </c>
      <c r="BS992" t="s">
        <v>17982</v>
      </c>
      <c r="BT992" t="str">
        <f>HYPERLINK("https%3A%2F%2Fwww.webofscience.com%2Fwos%2Fwoscc%2Ffull-record%2FWOS:001058724200001","View Full Record in Web of Science")</f>
        <v>View Full Record in Web of Science</v>
      </c>
    </row>
    <row r="993" spans="1:72" x14ac:dyDescent="0.15">
      <c r="A993" t="s">
        <v>72</v>
      </c>
      <c r="B993" t="s">
        <v>17983</v>
      </c>
      <c r="C993" t="s">
        <v>74</v>
      </c>
      <c r="D993" t="s">
        <v>74</v>
      </c>
      <c r="E993" t="s">
        <v>74</v>
      </c>
      <c r="F993" t="s">
        <v>17984</v>
      </c>
      <c r="G993" t="s">
        <v>74</v>
      </c>
      <c r="H993" t="s">
        <v>74</v>
      </c>
      <c r="I993" t="s">
        <v>17985</v>
      </c>
      <c r="J993" t="s">
        <v>15344</v>
      </c>
      <c r="K993" t="s">
        <v>74</v>
      </c>
      <c r="L993" t="s">
        <v>74</v>
      </c>
      <c r="M993" t="s">
        <v>78</v>
      </c>
      <c r="N993" t="s">
        <v>79</v>
      </c>
      <c r="O993" t="s">
        <v>74</v>
      </c>
      <c r="P993" t="s">
        <v>74</v>
      </c>
      <c r="Q993" t="s">
        <v>74</v>
      </c>
      <c r="R993" t="s">
        <v>74</v>
      </c>
      <c r="S993" t="s">
        <v>74</v>
      </c>
      <c r="T993" t="s">
        <v>17986</v>
      </c>
      <c r="U993" t="s">
        <v>17987</v>
      </c>
      <c r="V993" t="s">
        <v>17988</v>
      </c>
      <c r="W993" t="s">
        <v>17989</v>
      </c>
      <c r="X993" t="s">
        <v>17990</v>
      </c>
      <c r="Y993" t="s">
        <v>17991</v>
      </c>
      <c r="Z993" t="s">
        <v>17992</v>
      </c>
      <c r="AA993" t="s">
        <v>74</v>
      </c>
      <c r="AB993" t="s">
        <v>74</v>
      </c>
      <c r="AC993" t="s">
        <v>74</v>
      </c>
      <c r="AD993" t="s">
        <v>74</v>
      </c>
      <c r="AE993" t="s">
        <v>74</v>
      </c>
      <c r="AF993" t="s">
        <v>74</v>
      </c>
      <c r="AG993">
        <v>48</v>
      </c>
      <c r="AH993">
        <v>0</v>
      </c>
      <c r="AI993">
        <v>0</v>
      </c>
      <c r="AJ993">
        <v>1</v>
      </c>
      <c r="AK993">
        <v>1</v>
      </c>
      <c r="AL993" t="s">
        <v>120</v>
      </c>
      <c r="AM993" t="s">
        <v>121</v>
      </c>
      <c r="AN993" t="s">
        <v>122</v>
      </c>
      <c r="AO993" t="s">
        <v>15356</v>
      </c>
      <c r="AP993" t="s">
        <v>15357</v>
      </c>
      <c r="AQ993" t="s">
        <v>74</v>
      </c>
      <c r="AR993" t="s">
        <v>15358</v>
      </c>
      <c r="AS993" t="s">
        <v>15359</v>
      </c>
      <c r="AT993" t="s">
        <v>13744</v>
      </c>
      <c r="AU993">
        <v>2023</v>
      </c>
      <c r="AV993">
        <v>173</v>
      </c>
      <c r="AW993" t="s">
        <v>74</v>
      </c>
      <c r="AX993" t="s">
        <v>74</v>
      </c>
      <c r="AY993" t="s">
        <v>74</v>
      </c>
      <c r="AZ993" t="s">
        <v>74</v>
      </c>
      <c r="BA993" t="s">
        <v>74</v>
      </c>
      <c r="BB993" t="s">
        <v>74</v>
      </c>
      <c r="BC993" t="s">
        <v>74</v>
      </c>
      <c r="BD993">
        <v>107648</v>
      </c>
      <c r="BE993" t="s">
        <v>17993</v>
      </c>
      <c r="BF993" t="str">
        <f>HYPERLINK("http://dx.doi.org/10.1016/j.compositesa.2023.107648","http://dx.doi.org/10.1016/j.compositesa.2023.107648")</f>
        <v>http://dx.doi.org/10.1016/j.compositesa.2023.107648</v>
      </c>
      <c r="BG993" t="s">
        <v>74</v>
      </c>
      <c r="BH993" t="s">
        <v>74</v>
      </c>
      <c r="BI993">
        <v>14</v>
      </c>
      <c r="BJ993" t="s">
        <v>15361</v>
      </c>
      <c r="BK993" t="s">
        <v>100</v>
      </c>
      <c r="BL993" t="s">
        <v>156</v>
      </c>
      <c r="BM993" t="s">
        <v>17994</v>
      </c>
      <c r="BN993" t="s">
        <v>74</v>
      </c>
      <c r="BO993" t="s">
        <v>295</v>
      </c>
      <c r="BP993" t="s">
        <v>74</v>
      </c>
      <c r="BQ993" t="s">
        <v>74</v>
      </c>
      <c r="BR993" t="s">
        <v>104</v>
      </c>
      <c r="BS993" t="s">
        <v>17995</v>
      </c>
      <c r="BT993" t="str">
        <f>HYPERLINK("https%3A%2F%2Fwww.webofscience.com%2Fwos%2Fwoscc%2Ffull-record%2FWOS:001054651700001","View Full Record in Web of Science")</f>
        <v>View Full Record in Web of Science</v>
      </c>
    </row>
    <row r="994" spans="1:72" x14ac:dyDescent="0.15">
      <c r="A994" t="s">
        <v>72</v>
      </c>
      <c r="B994" t="s">
        <v>17996</v>
      </c>
      <c r="C994" t="s">
        <v>74</v>
      </c>
      <c r="D994" t="s">
        <v>74</v>
      </c>
      <c r="E994" t="s">
        <v>74</v>
      </c>
      <c r="F994" t="s">
        <v>17997</v>
      </c>
      <c r="G994" t="s">
        <v>74</v>
      </c>
      <c r="H994" t="s">
        <v>74</v>
      </c>
      <c r="I994" t="s">
        <v>17998</v>
      </c>
      <c r="J994" t="s">
        <v>17999</v>
      </c>
      <c r="K994" t="s">
        <v>74</v>
      </c>
      <c r="L994" t="s">
        <v>74</v>
      </c>
      <c r="M994" t="s">
        <v>78</v>
      </c>
      <c r="N994" t="s">
        <v>79</v>
      </c>
      <c r="O994" t="s">
        <v>74</v>
      </c>
      <c r="P994" t="s">
        <v>74</v>
      </c>
      <c r="Q994" t="s">
        <v>74</v>
      </c>
      <c r="R994" t="s">
        <v>74</v>
      </c>
      <c r="S994" t="s">
        <v>74</v>
      </c>
      <c r="T994" t="s">
        <v>18000</v>
      </c>
      <c r="U994" t="s">
        <v>18001</v>
      </c>
      <c r="V994" t="s">
        <v>18002</v>
      </c>
      <c r="W994" t="s">
        <v>18003</v>
      </c>
      <c r="X994" t="s">
        <v>18004</v>
      </c>
      <c r="Y994" t="s">
        <v>18005</v>
      </c>
      <c r="Z994" t="s">
        <v>18006</v>
      </c>
      <c r="AA994" t="s">
        <v>74</v>
      </c>
      <c r="AB994" t="s">
        <v>74</v>
      </c>
      <c r="AC994" t="s">
        <v>18007</v>
      </c>
      <c r="AD994" t="s">
        <v>18008</v>
      </c>
      <c r="AE994" t="s">
        <v>18009</v>
      </c>
      <c r="AF994" t="s">
        <v>74</v>
      </c>
      <c r="AG994">
        <v>43</v>
      </c>
      <c r="AH994">
        <v>0</v>
      </c>
      <c r="AI994">
        <v>0</v>
      </c>
      <c r="AJ994">
        <v>0</v>
      </c>
      <c r="AK994">
        <v>0</v>
      </c>
      <c r="AL994" t="s">
        <v>90</v>
      </c>
      <c r="AM994" t="s">
        <v>91</v>
      </c>
      <c r="AN994" t="s">
        <v>92</v>
      </c>
      <c r="AO994" t="s">
        <v>18010</v>
      </c>
      <c r="AP994" t="s">
        <v>18011</v>
      </c>
      <c r="AQ994" t="s">
        <v>74</v>
      </c>
      <c r="AR994" t="s">
        <v>18012</v>
      </c>
      <c r="AS994" t="s">
        <v>18013</v>
      </c>
      <c r="AT994" t="s">
        <v>13744</v>
      </c>
      <c r="AU994">
        <v>2023</v>
      </c>
      <c r="AV994">
        <v>1865</v>
      </c>
      <c r="AW994">
        <v>7</v>
      </c>
      <c r="AX994" t="s">
        <v>74</v>
      </c>
      <c r="AY994" t="s">
        <v>74</v>
      </c>
      <c r="AZ994" t="s">
        <v>74</v>
      </c>
      <c r="BA994" t="s">
        <v>74</v>
      </c>
      <c r="BB994" t="s">
        <v>74</v>
      </c>
      <c r="BC994" t="s">
        <v>74</v>
      </c>
      <c r="BD994">
        <v>184184</v>
      </c>
      <c r="BE994" t="s">
        <v>18014</v>
      </c>
      <c r="BF994" t="str">
        <f>HYPERLINK("http://dx.doi.org/10.1016/j.bbamem.2023.184184","http://dx.doi.org/10.1016/j.bbamem.2023.184184")</f>
        <v>http://dx.doi.org/10.1016/j.bbamem.2023.184184</v>
      </c>
      <c r="BG994" t="s">
        <v>74</v>
      </c>
      <c r="BH994" t="s">
        <v>74</v>
      </c>
      <c r="BI994">
        <v>9</v>
      </c>
      <c r="BJ994" t="s">
        <v>3342</v>
      </c>
      <c r="BK994" t="s">
        <v>100</v>
      </c>
      <c r="BL994" t="s">
        <v>3342</v>
      </c>
      <c r="BM994" t="s">
        <v>18015</v>
      </c>
      <c r="BN994">
        <v>37301246</v>
      </c>
      <c r="BO994" t="s">
        <v>74</v>
      </c>
      <c r="BP994" t="s">
        <v>74</v>
      </c>
      <c r="BQ994" t="s">
        <v>74</v>
      </c>
      <c r="BR994" t="s">
        <v>104</v>
      </c>
      <c r="BS994" t="s">
        <v>18016</v>
      </c>
      <c r="BT994" t="str">
        <f>HYPERLINK("https%3A%2F%2Fwww.webofscience.com%2Fwos%2Fwoscc%2Ffull-record%2FWOS:001060946000001","View Full Record in Web of Science")</f>
        <v>View Full Record in Web of Science</v>
      </c>
    </row>
    <row r="995" spans="1:72" x14ac:dyDescent="0.15">
      <c r="A995" t="s">
        <v>72</v>
      </c>
      <c r="B995" t="s">
        <v>18017</v>
      </c>
      <c r="C995" t="s">
        <v>74</v>
      </c>
      <c r="D995" t="s">
        <v>74</v>
      </c>
      <c r="E995" t="s">
        <v>74</v>
      </c>
      <c r="F995" t="s">
        <v>18018</v>
      </c>
      <c r="G995" t="s">
        <v>74</v>
      </c>
      <c r="H995" t="s">
        <v>74</v>
      </c>
      <c r="I995" t="s">
        <v>18019</v>
      </c>
      <c r="J995" t="s">
        <v>6645</v>
      </c>
      <c r="K995" t="s">
        <v>74</v>
      </c>
      <c r="L995" t="s">
        <v>74</v>
      </c>
      <c r="M995" t="s">
        <v>78</v>
      </c>
      <c r="N995" t="s">
        <v>79</v>
      </c>
      <c r="O995" t="s">
        <v>74</v>
      </c>
      <c r="P995" t="s">
        <v>74</v>
      </c>
      <c r="Q995" t="s">
        <v>74</v>
      </c>
      <c r="R995" t="s">
        <v>74</v>
      </c>
      <c r="S995" t="s">
        <v>74</v>
      </c>
      <c r="T995" t="s">
        <v>18020</v>
      </c>
      <c r="U995" t="s">
        <v>18021</v>
      </c>
      <c r="V995" t="s">
        <v>18022</v>
      </c>
      <c r="W995" t="s">
        <v>18023</v>
      </c>
      <c r="X995" t="s">
        <v>18024</v>
      </c>
      <c r="Y995" t="s">
        <v>18025</v>
      </c>
      <c r="Z995" t="s">
        <v>18026</v>
      </c>
      <c r="AA995" t="s">
        <v>18027</v>
      </c>
      <c r="AB995" t="s">
        <v>18028</v>
      </c>
      <c r="AC995" t="s">
        <v>18029</v>
      </c>
      <c r="AD995" t="s">
        <v>18030</v>
      </c>
      <c r="AE995" t="s">
        <v>18031</v>
      </c>
      <c r="AF995" t="s">
        <v>74</v>
      </c>
      <c r="AG995">
        <v>88</v>
      </c>
      <c r="AH995">
        <v>0</v>
      </c>
      <c r="AI995">
        <v>0</v>
      </c>
      <c r="AJ995">
        <v>2</v>
      </c>
      <c r="AK995">
        <v>2</v>
      </c>
      <c r="AL995" t="s">
        <v>90</v>
      </c>
      <c r="AM995" t="s">
        <v>91</v>
      </c>
      <c r="AN995" t="s">
        <v>92</v>
      </c>
      <c r="AO995" t="s">
        <v>74</v>
      </c>
      <c r="AP995" t="s">
        <v>6656</v>
      </c>
      <c r="AQ995" t="s">
        <v>74</v>
      </c>
      <c r="AR995" t="s">
        <v>6657</v>
      </c>
      <c r="AS995" t="s">
        <v>6658</v>
      </c>
      <c r="AT995" t="s">
        <v>13778</v>
      </c>
      <c r="AU995">
        <v>2023</v>
      </c>
      <c r="AV995">
        <v>76</v>
      </c>
      <c r="AW995" t="s">
        <v>74</v>
      </c>
      <c r="AX995" t="s">
        <v>74</v>
      </c>
      <c r="AY995" t="s">
        <v>74</v>
      </c>
      <c r="AZ995" t="s">
        <v>74</v>
      </c>
      <c r="BA995" t="s">
        <v>74</v>
      </c>
      <c r="BB995" t="s">
        <v>74</v>
      </c>
      <c r="BC995" t="s">
        <v>74</v>
      </c>
      <c r="BD995">
        <v>107310</v>
      </c>
      <c r="BE995" t="s">
        <v>18032</v>
      </c>
      <c r="BF995" t="str">
        <f>HYPERLINK("http://dx.doi.org/10.1016/j.jobe.2023.107310","http://dx.doi.org/10.1016/j.jobe.2023.107310")</f>
        <v>http://dx.doi.org/10.1016/j.jobe.2023.107310</v>
      </c>
      <c r="BG995" t="s">
        <v>74</v>
      </c>
      <c r="BH995" t="s">
        <v>74</v>
      </c>
      <c r="BI995">
        <v>18</v>
      </c>
      <c r="BJ995" t="s">
        <v>3898</v>
      </c>
      <c r="BK995" t="s">
        <v>100</v>
      </c>
      <c r="BL995" t="s">
        <v>3899</v>
      </c>
      <c r="BM995" t="s">
        <v>18033</v>
      </c>
      <c r="BN995" t="s">
        <v>74</v>
      </c>
      <c r="BO995" t="s">
        <v>295</v>
      </c>
      <c r="BP995" t="s">
        <v>74</v>
      </c>
      <c r="BQ995" t="s">
        <v>74</v>
      </c>
      <c r="BR995" t="s">
        <v>104</v>
      </c>
      <c r="BS995" t="s">
        <v>18034</v>
      </c>
      <c r="BT995" t="str">
        <f>HYPERLINK("https%3A%2F%2Fwww.webofscience.com%2Fwos%2Fwoscc%2Ffull-record%2FWOS:001045973600001","View Full Record in Web of Science")</f>
        <v>View Full Record in Web of Science</v>
      </c>
    </row>
    <row r="996" spans="1:72" x14ac:dyDescent="0.15">
      <c r="A996" t="s">
        <v>72</v>
      </c>
      <c r="B996" t="s">
        <v>18035</v>
      </c>
      <c r="C996" t="s">
        <v>74</v>
      </c>
      <c r="D996" t="s">
        <v>74</v>
      </c>
      <c r="E996" t="s">
        <v>74</v>
      </c>
      <c r="F996" t="s">
        <v>18036</v>
      </c>
      <c r="G996" t="s">
        <v>74</v>
      </c>
      <c r="H996" t="s">
        <v>74</v>
      </c>
      <c r="I996" t="s">
        <v>18037</v>
      </c>
      <c r="J996" t="s">
        <v>8487</v>
      </c>
      <c r="K996" t="s">
        <v>74</v>
      </c>
      <c r="L996" t="s">
        <v>74</v>
      </c>
      <c r="M996" t="s">
        <v>78</v>
      </c>
      <c r="N996" t="s">
        <v>79</v>
      </c>
      <c r="O996" t="s">
        <v>74</v>
      </c>
      <c r="P996" t="s">
        <v>74</v>
      </c>
      <c r="Q996" t="s">
        <v>74</v>
      </c>
      <c r="R996" t="s">
        <v>74</v>
      </c>
      <c r="S996" t="s">
        <v>74</v>
      </c>
      <c r="T996" t="s">
        <v>18038</v>
      </c>
      <c r="U996" t="s">
        <v>74</v>
      </c>
      <c r="V996" t="s">
        <v>18039</v>
      </c>
      <c r="W996" t="s">
        <v>18040</v>
      </c>
      <c r="X996" t="s">
        <v>18041</v>
      </c>
      <c r="Y996" t="s">
        <v>18042</v>
      </c>
      <c r="Z996" t="s">
        <v>18043</v>
      </c>
      <c r="AA996" t="s">
        <v>18044</v>
      </c>
      <c r="AB996" t="s">
        <v>18045</v>
      </c>
      <c r="AC996" t="s">
        <v>18046</v>
      </c>
      <c r="AD996" t="s">
        <v>18047</v>
      </c>
      <c r="AE996" t="s">
        <v>18048</v>
      </c>
      <c r="AF996" t="s">
        <v>74</v>
      </c>
      <c r="AG996">
        <v>22</v>
      </c>
      <c r="AH996">
        <v>0</v>
      </c>
      <c r="AI996">
        <v>0</v>
      </c>
      <c r="AJ996">
        <v>0</v>
      </c>
      <c r="AK996">
        <v>0</v>
      </c>
      <c r="AL996" t="s">
        <v>955</v>
      </c>
      <c r="AM996" t="s">
        <v>956</v>
      </c>
      <c r="AN996" t="s">
        <v>957</v>
      </c>
      <c r="AO996" t="s">
        <v>8496</v>
      </c>
      <c r="AP996" t="s">
        <v>8497</v>
      </c>
      <c r="AQ996" t="s">
        <v>74</v>
      </c>
      <c r="AR996" t="s">
        <v>8498</v>
      </c>
      <c r="AS996" t="s">
        <v>8499</v>
      </c>
      <c r="AT996" t="s">
        <v>13744</v>
      </c>
      <c r="AU996">
        <v>2023</v>
      </c>
      <c r="AV996">
        <v>223</v>
      </c>
      <c r="AW996" t="s">
        <v>74</v>
      </c>
      <c r="AX996" t="s">
        <v>74</v>
      </c>
      <c r="AY996" t="s">
        <v>74</v>
      </c>
      <c r="AZ996" t="s">
        <v>74</v>
      </c>
      <c r="BA996" t="s">
        <v>74</v>
      </c>
      <c r="BB996" t="s">
        <v>74</v>
      </c>
      <c r="BC996" t="s">
        <v>74</v>
      </c>
      <c r="BD996">
        <v>109577</v>
      </c>
      <c r="BE996" t="s">
        <v>18049</v>
      </c>
      <c r="BF996" t="str">
        <f>HYPERLINK("http://dx.doi.org/10.1016/j.epsr.2023.109577","http://dx.doi.org/10.1016/j.epsr.2023.109577")</f>
        <v>http://dx.doi.org/10.1016/j.epsr.2023.109577</v>
      </c>
      <c r="BG996" t="s">
        <v>74</v>
      </c>
      <c r="BH996" t="s">
        <v>74</v>
      </c>
      <c r="BI996">
        <v>8</v>
      </c>
      <c r="BJ996" t="s">
        <v>4594</v>
      </c>
      <c r="BK996" t="s">
        <v>100</v>
      </c>
      <c r="BL996" t="s">
        <v>873</v>
      </c>
      <c r="BM996" t="s">
        <v>18050</v>
      </c>
      <c r="BN996" t="s">
        <v>74</v>
      </c>
      <c r="BO996" t="s">
        <v>74</v>
      </c>
      <c r="BP996" t="s">
        <v>74</v>
      </c>
      <c r="BQ996" t="s">
        <v>74</v>
      </c>
      <c r="BR996" t="s">
        <v>104</v>
      </c>
      <c r="BS996" t="s">
        <v>18051</v>
      </c>
      <c r="BT996" t="str">
        <f>HYPERLINK("https%3A%2F%2Fwww.webofscience.com%2Fwos%2Fwoscc%2Ffull-record%2FWOS:001039448500001","View Full Record in Web of Science")</f>
        <v>View Full Record in Web of Science</v>
      </c>
    </row>
    <row r="997" spans="1:72" x14ac:dyDescent="0.15">
      <c r="A997" t="s">
        <v>72</v>
      </c>
      <c r="B997" t="s">
        <v>18052</v>
      </c>
      <c r="C997" t="s">
        <v>74</v>
      </c>
      <c r="D997" t="s">
        <v>74</v>
      </c>
      <c r="E997" t="s">
        <v>74</v>
      </c>
      <c r="F997" t="s">
        <v>18053</v>
      </c>
      <c r="G997" t="s">
        <v>74</v>
      </c>
      <c r="H997" t="s">
        <v>74</v>
      </c>
      <c r="I997" t="s">
        <v>18054</v>
      </c>
      <c r="J997" t="s">
        <v>18055</v>
      </c>
      <c r="K997" t="s">
        <v>74</v>
      </c>
      <c r="L997" t="s">
        <v>74</v>
      </c>
      <c r="M997" t="s">
        <v>78</v>
      </c>
      <c r="N997" t="s">
        <v>79</v>
      </c>
      <c r="O997" t="s">
        <v>74</v>
      </c>
      <c r="P997" t="s">
        <v>74</v>
      </c>
      <c r="Q997" t="s">
        <v>74</v>
      </c>
      <c r="R997" t="s">
        <v>74</v>
      </c>
      <c r="S997" t="s">
        <v>74</v>
      </c>
      <c r="T997" t="s">
        <v>18056</v>
      </c>
      <c r="U997" t="s">
        <v>18057</v>
      </c>
      <c r="V997" t="s">
        <v>18058</v>
      </c>
      <c r="W997" t="s">
        <v>18059</v>
      </c>
      <c r="X997" t="s">
        <v>18060</v>
      </c>
      <c r="Y997" t="s">
        <v>18061</v>
      </c>
      <c r="Z997" t="s">
        <v>18062</v>
      </c>
      <c r="AA997" t="s">
        <v>74</v>
      </c>
      <c r="AB997" t="s">
        <v>74</v>
      </c>
      <c r="AC997" t="s">
        <v>18063</v>
      </c>
      <c r="AD997" t="s">
        <v>18064</v>
      </c>
      <c r="AE997" t="s">
        <v>18065</v>
      </c>
      <c r="AF997" t="s">
        <v>74</v>
      </c>
      <c r="AG997">
        <v>67</v>
      </c>
      <c r="AH997">
        <v>0</v>
      </c>
      <c r="AI997">
        <v>0</v>
      </c>
      <c r="AJ997">
        <v>3</v>
      </c>
      <c r="AK997">
        <v>3</v>
      </c>
      <c r="AL997" t="s">
        <v>90</v>
      </c>
      <c r="AM997" t="s">
        <v>91</v>
      </c>
      <c r="AN997" t="s">
        <v>92</v>
      </c>
      <c r="AO997" t="s">
        <v>18066</v>
      </c>
      <c r="AP997" t="s">
        <v>18067</v>
      </c>
      <c r="AQ997" t="s">
        <v>74</v>
      </c>
      <c r="AR997" t="s">
        <v>18055</v>
      </c>
      <c r="AS997" t="s">
        <v>18068</v>
      </c>
      <c r="AT997" t="s">
        <v>13744</v>
      </c>
      <c r="AU997">
        <v>2023</v>
      </c>
      <c r="AV997">
        <v>239</v>
      </c>
      <c r="AW997" t="s">
        <v>74</v>
      </c>
      <c r="AX997" t="s">
        <v>74</v>
      </c>
      <c r="AY997" t="s">
        <v>74</v>
      </c>
      <c r="AZ997" t="s">
        <v>74</v>
      </c>
      <c r="BA997" t="s">
        <v>74</v>
      </c>
      <c r="BB997" t="s">
        <v>74</v>
      </c>
      <c r="BC997" t="s">
        <v>74</v>
      </c>
      <c r="BD997">
        <v>105524</v>
      </c>
      <c r="BE997" t="s">
        <v>18069</v>
      </c>
      <c r="BF997" t="str">
        <f>HYPERLINK("http://dx.doi.org/10.1016/j.cognition.2023.105524","http://dx.doi.org/10.1016/j.cognition.2023.105524")</f>
        <v>http://dx.doi.org/10.1016/j.cognition.2023.105524</v>
      </c>
      <c r="BG997" t="s">
        <v>74</v>
      </c>
      <c r="BH997" t="s">
        <v>74</v>
      </c>
      <c r="BI997">
        <v>16</v>
      </c>
      <c r="BJ997" t="s">
        <v>18070</v>
      </c>
      <c r="BK997" t="s">
        <v>627</v>
      </c>
      <c r="BL997" t="s">
        <v>795</v>
      </c>
      <c r="BM997" t="s">
        <v>18071</v>
      </c>
      <c r="BN997">
        <v>37451099</v>
      </c>
      <c r="BO997" t="s">
        <v>103</v>
      </c>
      <c r="BP997" t="s">
        <v>74</v>
      </c>
      <c r="BQ997" t="s">
        <v>74</v>
      </c>
      <c r="BR997" t="s">
        <v>104</v>
      </c>
      <c r="BS997" t="s">
        <v>18072</v>
      </c>
      <c r="BT997" t="str">
        <f>HYPERLINK("https%3A%2F%2Fwww.webofscience.com%2Fwos%2Fwoscc%2Ffull-record%2FWOS:001044839600001","View Full Record in Web of Science")</f>
        <v>View Full Record in Web of Science</v>
      </c>
    </row>
    <row r="998" spans="1:72" x14ac:dyDescent="0.15">
      <c r="A998" t="s">
        <v>72</v>
      </c>
      <c r="B998" t="s">
        <v>18073</v>
      </c>
      <c r="C998" t="s">
        <v>74</v>
      </c>
      <c r="D998" t="s">
        <v>74</v>
      </c>
      <c r="E998" t="s">
        <v>74</v>
      </c>
      <c r="F998" t="s">
        <v>18074</v>
      </c>
      <c r="G998" t="s">
        <v>74</v>
      </c>
      <c r="H998" t="s">
        <v>74</v>
      </c>
      <c r="I998" t="s">
        <v>18075</v>
      </c>
      <c r="J998" t="s">
        <v>18076</v>
      </c>
      <c r="K998" t="s">
        <v>74</v>
      </c>
      <c r="L998" t="s">
        <v>74</v>
      </c>
      <c r="M998" t="s">
        <v>78</v>
      </c>
      <c r="N998" t="s">
        <v>79</v>
      </c>
      <c r="O998" t="s">
        <v>74</v>
      </c>
      <c r="P998" t="s">
        <v>74</v>
      </c>
      <c r="Q998" t="s">
        <v>74</v>
      </c>
      <c r="R998" t="s">
        <v>74</v>
      </c>
      <c r="S998" t="s">
        <v>74</v>
      </c>
      <c r="T998" t="s">
        <v>18077</v>
      </c>
      <c r="U998" t="s">
        <v>18078</v>
      </c>
      <c r="V998" t="s">
        <v>18079</v>
      </c>
      <c r="W998" t="s">
        <v>18080</v>
      </c>
      <c r="X998" t="s">
        <v>18081</v>
      </c>
      <c r="Y998" t="s">
        <v>18082</v>
      </c>
      <c r="Z998" t="s">
        <v>18083</v>
      </c>
      <c r="AA998" t="s">
        <v>74</v>
      </c>
      <c r="AB998" t="s">
        <v>74</v>
      </c>
      <c r="AC998" t="s">
        <v>18084</v>
      </c>
      <c r="AD998" t="s">
        <v>18084</v>
      </c>
      <c r="AE998" t="s">
        <v>18085</v>
      </c>
      <c r="AF998" t="s">
        <v>74</v>
      </c>
      <c r="AG998">
        <v>95</v>
      </c>
      <c r="AH998">
        <v>0</v>
      </c>
      <c r="AI998">
        <v>0</v>
      </c>
      <c r="AJ998">
        <v>0</v>
      </c>
      <c r="AK998">
        <v>0</v>
      </c>
      <c r="AL998" t="s">
        <v>120</v>
      </c>
      <c r="AM998" t="s">
        <v>121</v>
      </c>
      <c r="AN998" t="s">
        <v>122</v>
      </c>
      <c r="AO998" t="s">
        <v>18086</v>
      </c>
      <c r="AP998" t="s">
        <v>18087</v>
      </c>
      <c r="AQ998" t="s">
        <v>74</v>
      </c>
      <c r="AR998" t="s">
        <v>18088</v>
      </c>
      <c r="AS998" t="s">
        <v>18089</v>
      </c>
      <c r="AT998" t="s">
        <v>13744</v>
      </c>
      <c r="AU998">
        <v>2023</v>
      </c>
      <c r="AV998">
        <v>188</v>
      </c>
      <c r="AW998" t="s">
        <v>74</v>
      </c>
      <c r="AX998" t="s">
        <v>74</v>
      </c>
      <c r="AY998" t="s">
        <v>74</v>
      </c>
      <c r="AZ998" t="s">
        <v>74</v>
      </c>
      <c r="BA998" t="s">
        <v>74</v>
      </c>
      <c r="BB998" t="s">
        <v>74</v>
      </c>
      <c r="BC998" t="s">
        <v>74</v>
      </c>
      <c r="BD998">
        <v>108875</v>
      </c>
      <c r="BE998" t="s">
        <v>18090</v>
      </c>
      <c r="BF998" t="str">
        <f>HYPERLINK("http://dx.doi.org/10.1016/j.triboint.2023.108875","http://dx.doi.org/10.1016/j.triboint.2023.108875")</f>
        <v>http://dx.doi.org/10.1016/j.triboint.2023.108875</v>
      </c>
      <c r="BG998" t="s">
        <v>74</v>
      </c>
      <c r="BH998" t="s">
        <v>74</v>
      </c>
      <c r="BI998">
        <v>12</v>
      </c>
      <c r="BJ998" t="s">
        <v>7187</v>
      </c>
      <c r="BK998" t="s">
        <v>100</v>
      </c>
      <c r="BL998" t="s">
        <v>873</v>
      </c>
      <c r="BM998" t="s">
        <v>18091</v>
      </c>
      <c r="BN998" t="s">
        <v>74</v>
      </c>
      <c r="BO998" t="s">
        <v>74</v>
      </c>
      <c r="BP998" t="s">
        <v>74</v>
      </c>
      <c r="BQ998" t="s">
        <v>74</v>
      </c>
      <c r="BR998" t="s">
        <v>104</v>
      </c>
      <c r="BS998" t="s">
        <v>18092</v>
      </c>
      <c r="BT998" t="str">
        <f>HYPERLINK("https%3A%2F%2Fwww.webofscience.com%2Fwos%2Fwoscc%2Ffull-record%2FWOS:001059450200001","View Full Record in Web of Science")</f>
        <v>View Full Record in Web of Science</v>
      </c>
    </row>
    <row r="999" spans="1:72" x14ac:dyDescent="0.15">
      <c r="A999" t="s">
        <v>72</v>
      </c>
      <c r="B999" t="s">
        <v>18093</v>
      </c>
      <c r="C999" t="s">
        <v>74</v>
      </c>
      <c r="D999" t="s">
        <v>74</v>
      </c>
      <c r="E999" t="s">
        <v>74</v>
      </c>
      <c r="F999" t="s">
        <v>18094</v>
      </c>
      <c r="G999" t="s">
        <v>74</v>
      </c>
      <c r="H999" t="s">
        <v>74</v>
      </c>
      <c r="I999" t="s">
        <v>18095</v>
      </c>
      <c r="J999" t="s">
        <v>14114</v>
      </c>
      <c r="K999" t="s">
        <v>74</v>
      </c>
      <c r="L999" t="s">
        <v>74</v>
      </c>
      <c r="M999" t="s">
        <v>78</v>
      </c>
      <c r="N999" t="s">
        <v>79</v>
      </c>
      <c r="O999" t="s">
        <v>74</v>
      </c>
      <c r="P999" t="s">
        <v>74</v>
      </c>
      <c r="Q999" t="s">
        <v>74</v>
      </c>
      <c r="R999" t="s">
        <v>74</v>
      </c>
      <c r="S999" t="s">
        <v>74</v>
      </c>
      <c r="T999" t="s">
        <v>18096</v>
      </c>
      <c r="U999" t="s">
        <v>18097</v>
      </c>
      <c r="V999" t="s">
        <v>18098</v>
      </c>
      <c r="W999" t="s">
        <v>18099</v>
      </c>
      <c r="X999" t="s">
        <v>18100</v>
      </c>
      <c r="Y999" t="s">
        <v>18101</v>
      </c>
      <c r="Z999" t="s">
        <v>18102</v>
      </c>
      <c r="AA999" t="s">
        <v>74</v>
      </c>
      <c r="AB999" t="s">
        <v>74</v>
      </c>
      <c r="AC999" t="s">
        <v>18103</v>
      </c>
      <c r="AD999" t="s">
        <v>18104</v>
      </c>
      <c r="AE999" t="s">
        <v>18105</v>
      </c>
      <c r="AF999" t="s">
        <v>74</v>
      </c>
      <c r="AG999">
        <v>41</v>
      </c>
      <c r="AH999">
        <v>0</v>
      </c>
      <c r="AI999">
        <v>0</v>
      </c>
      <c r="AJ999">
        <v>1</v>
      </c>
      <c r="AK999">
        <v>1</v>
      </c>
      <c r="AL999" t="s">
        <v>475</v>
      </c>
      <c r="AM999" t="s">
        <v>476</v>
      </c>
      <c r="AN999" t="s">
        <v>477</v>
      </c>
      <c r="AO999" t="s">
        <v>14127</v>
      </c>
      <c r="AP999" t="s">
        <v>14128</v>
      </c>
      <c r="AQ999" t="s">
        <v>74</v>
      </c>
      <c r="AR999" t="s">
        <v>14129</v>
      </c>
      <c r="AS999" t="s">
        <v>14130</v>
      </c>
      <c r="AT999" t="s">
        <v>13744</v>
      </c>
      <c r="AU999">
        <v>2023</v>
      </c>
      <c r="AV999">
        <v>123</v>
      </c>
      <c r="AW999" t="s">
        <v>74</v>
      </c>
      <c r="AX999" t="s">
        <v>74</v>
      </c>
      <c r="AY999" t="s">
        <v>74</v>
      </c>
      <c r="AZ999" t="s">
        <v>74</v>
      </c>
      <c r="BA999" t="s">
        <v>74</v>
      </c>
      <c r="BB999" t="s">
        <v>74</v>
      </c>
      <c r="BC999" t="s">
        <v>74</v>
      </c>
      <c r="BD999">
        <v>105579</v>
      </c>
      <c r="BE999" t="s">
        <v>18106</v>
      </c>
      <c r="BF999" t="str">
        <f>HYPERLINK("http://dx.doi.org/10.1016/j.jfca.2023.105579","http://dx.doi.org/10.1016/j.jfca.2023.105579")</f>
        <v>http://dx.doi.org/10.1016/j.jfca.2023.105579</v>
      </c>
      <c r="BG999" t="s">
        <v>74</v>
      </c>
      <c r="BH999" t="s">
        <v>74</v>
      </c>
      <c r="BI999">
        <v>11</v>
      </c>
      <c r="BJ999" t="s">
        <v>1849</v>
      </c>
      <c r="BK999" t="s">
        <v>100</v>
      </c>
      <c r="BL999" t="s">
        <v>1851</v>
      </c>
      <c r="BM999" t="s">
        <v>18107</v>
      </c>
      <c r="BN999" t="s">
        <v>74</v>
      </c>
      <c r="BO999" t="s">
        <v>74</v>
      </c>
      <c r="BP999" t="s">
        <v>74</v>
      </c>
      <c r="BQ999" t="s">
        <v>74</v>
      </c>
      <c r="BR999" t="s">
        <v>104</v>
      </c>
      <c r="BS999" t="s">
        <v>18108</v>
      </c>
      <c r="BT999" t="str">
        <f>HYPERLINK("https%3A%2F%2Fwww.webofscience.com%2Fwos%2Fwoscc%2Ffull-record%2FWOS:001054503000001","View Full Record in Web of Science")</f>
        <v>View Full Record in Web of Science</v>
      </c>
    </row>
    <row r="1000" spans="1:72" x14ac:dyDescent="0.15">
      <c r="A1000" t="s">
        <v>72</v>
      </c>
      <c r="B1000" t="s">
        <v>18109</v>
      </c>
      <c r="C1000" t="s">
        <v>74</v>
      </c>
      <c r="D1000" t="s">
        <v>74</v>
      </c>
      <c r="E1000" t="s">
        <v>74</v>
      </c>
      <c r="F1000" t="s">
        <v>18110</v>
      </c>
      <c r="G1000" t="s">
        <v>74</v>
      </c>
      <c r="H1000" t="s">
        <v>74</v>
      </c>
      <c r="I1000" t="s">
        <v>18111</v>
      </c>
      <c r="J1000" t="s">
        <v>12254</v>
      </c>
      <c r="K1000" t="s">
        <v>74</v>
      </c>
      <c r="L1000" t="s">
        <v>74</v>
      </c>
      <c r="M1000" t="s">
        <v>78</v>
      </c>
      <c r="N1000" t="s">
        <v>510</v>
      </c>
      <c r="O1000" t="s">
        <v>74</v>
      </c>
      <c r="P1000" t="s">
        <v>74</v>
      </c>
      <c r="Q1000" t="s">
        <v>74</v>
      </c>
      <c r="R1000" t="s">
        <v>74</v>
      </c>
      <c r="S1000" t="s">
        <v>74</v>
      </c>
      <c r="T1000" t="s">
        <v>74</v>
      </c>
      <c r="U1000" t="s">
        <v>74</v>
      </c>
      <c r="V1000" t="s">
        <v>74</v>
      </c>
      <c r="W1000" t="s">
        <v>18112</v>
      </c>
      <c r="X1000" t="s">
        <v>18113</v>
      </c>
      <c r="Y1000" t="s">
        <v>18114</v>
      </c>
      <c r="Z1000" t="s">
        <v>74</v>
      </c>
      <c r="AA1000" t="s">
        <v>74</v>
      </c>
      <c r="AB1000" t="s">
        <v>74</v>
      </c>
      <c r="AC1000" t="s">
        <v>74</v>
      </c>
      <c r="AD1000" t="s">
        <v>74</v>
      </c>
      <c r="AE1000" t="s">
        <v>74</v>
      </c>
      <c r="AF1000" t="s">
        <v>74</v>
      </c>
      <c r="AG1000">
        <v>3</v>
      </c>
      <c r="AH1000">
        <v>0</v>
      </c>
      <c r="AI1000">
        <v>0</v>
      </c>
      <c r="AJ1000">
        <v>0</v>
      </c>
      <c r="AK1000">
        <v>0</v>
      </c>
      <c r="AL1000" t="s">
        <v>12265</v>
      </c>
      <c r="AM1000" t="s">
        <v>12266</v>
      </c>
      <c r="AN1000" t="s">
        <v>12267</v>
      </c>
      <c r="AO1000" t="s">
        <v>12268</v>
      </c>
      <c r="AP1000" t="s">
        <v>12269</v>
      </c>
      <c r="AQ1000" t="s">
        <v>74</v>
      </c>
      <c r="AR1000" t="s">
        <v>12270</v>
      </c>
      <c r="AS1000" t="s">
        <v>12271</v>
      </c>
      <c r="AT1000" t="s">
        <v>13778</v>
      </c>
      <c r="AU1000">
        <v>2023</v>
      </c>
      <c r="AV1000">
        <v>204</v>
      </c>
      <c r="AW1000" t="s">
        <v>74</v>
      </c>
      <c r="AX1000" t="s">
        <v>74</v>
      </c>
      <c r="AY1000" t="s">
        <v>74</v>
      </c>
      <c r="AZ1000" t="s">
        <v>74</v>
      </c>
      <c r="BA1000" t="s">
        <v>74</v>
      </c>
      <c r="BB1000" t="s">
        <v>74</v>
      </c>
      <c r="BC1000" t="s">
        <v>74</v>
      </c>
      <c r="BD1000">
        <v>430</v>
      </c>
      <c r="BE1000" t="s">
        <v>74</v>
      </c>
      <c r="BF1000" t="s">
        <v>74</v>
      </c>
      <c r="BG1000" t="s">
        <v>74</v>
      </c>
      <c r="BH1000" t="s">
        <v>74</v>
      </c>
      <c r="BI1000">
        <v>1</v>
      </c>
      <c r="BJ1000" t="s">
        <v>8079</v>
      </c>
      <c r="BK1000" t="s">
        <v>100</v>
      </c>
      <c r="BL1000" t="s">
        <v>8080</v>
      </c>
      <c r="BM1000" t="s">
        <v>18115</v>
      </c>
      <c r="BN1000">
        <v>37599182</v>
      </c>
      <c r="BO1000" t="s">
        <v>74</v>
      </c>
      <c r="BP1000" t="s">
        <v>74</v>
      </c>
      <c r="BQ1000" t="s">
        <v>74</v>
      </c>
      <c r="BR1000" t="s">
        <v>104</v>
      </c>
      <c r="BS1000" t="s">
        <v>18116</v>
      </c>
      <c r="BT1000" t="str">
        <f>HYPERLINK("https%3A%2F%2Fwww.webofscience.com%2Fwos%2Fwoscc%2Ffull-record%2FWOS:001069496200001","View Full Record in Web of Science")</f>
        <v>View Full Record in Web of Science</v>
      </c>
    </row>
    <row r="1001" spans="1:72" x14ac:dyDescent="0.15">
      <c r="A1001" t="s">
        <v>72</v>
      </c>
      <c r="B1001" t="s">
        <v>18117</v>
      </c>
      <c r="C1001" t="s">
        <v>74</v>
      </c>
      <c r="D1001" t="s">
        <v>74</v>
      </c>
      <c r="E1001" t="s">
        <v>74</v>
      </c>
      <c r="F1001" t="s">
        <v>18118</v>
      </c>
      <c r="G1001" t="s">
        <v>74</v>
      </c>
      <c r="H1001" t="s">
        <v>74</v>
      </c>
      <c r="I1001" t="s">
        <v>18119</v>
      </c>
      <c r="J1001" t="s">
        <v>18120</v>
      </c>
      <c r="K1001" t="s">
        <v>74</v>
      </c>
      <c r="L1001" t="s">
        <v>74</v>
      </c>
      <c r="M1001" t="s">
        <v>78</v>
      </c>
      <c r="N1001" t="s">
        <v>79</v>
      </c>
      <c r="O1001" t="s">
        <v>74</v>
      </c>
      <c r="P1001" t="s">
        <v>74</v>
      </c>
      <c r="Q1001" t="s">
        <v>74</v>
      </c>
      <c r="R1001" t="s">
        <v>74</v>
      </c>
      <c r="S1001" t="s">
        <v>74</v>
      </c>
      <c r="T1001" t="s">
        <v>18121</v>
      </c>
      <c r="U1001" t="s">
        <v>18122</v>
      </c>
      <c r="V1001" t="s">
        <v>18123</v>
      </c>
      <c r="W1001" t="s">
        <v>18124</v>
      </c>
      <c r="X1001" t="s">
        <v>18125</v>
      </c>
      <c r="Y1001" t="s">
        <v>18126</v>
      </c>
      <c r="Z1001" t="s">
        <v>18127</v>
      </c>
      <c r="AA1001" t="s">
        <v>74</v>
      </c>
      <c r="AB1001" t="s">
        <v>74</v>
      </c>
      <c r="AC1001" t="s">
        <v>18128</v>
      </c>
      <c r="AD1001" t="s">
        <v>18129</v>
      </c>
      <c r="AE1001" t="s">
        <v>18130</v>
      </c>
      <c r="AF1001" t="s">
        <v>74</v>
      </c>
      <c r="AG1001">
        <v>99</v>
      </c>
      <c r="AH1001">
        <v>0</v>
      </c>
      <c r="AI1001">
        <v>0</v>
      </c>
      <c r="AJ1001">
        <v>1</v>
      </c>
      <c r="AK1001">
        <v>1</v>
      </c>
      <c r="AL1001" t="s">
        <v>90</v>
      </c>
      <c r="AM1001" t="s">
        <v>91</v>
      </c>
      <c r="AN1001" t="s">
        <v>92</v>
      </c>
      <c r="AO1001" t="s">
        <v>18131</v>
      </c>
      <c r="AP1001" t="s">
        <v>18132</v>
      </c>
      <c r="AQ1001" t="s">
        <v>74</v>
      </c>
      <c r="AR1001" t="s">
        <v>18133</v>
      </c>
      <c r="AS1001" t="s">
        <v>18134</v>
      </c>
      <c r="AT1001" t="s">
        <v>13744</v>
      </c>
      <c r="AU1001">
        <v>2023</v>
      </c>
      <c r="AV1001">
        <v>214</v>
      </c>
      <c r="AW1001" t="s">
        <v>74</v>
      </c>
      <c r="AX1001" t="s">
        <v>74</v>
      </c>
      <c r="AY1001" t="s">
        <v>74</v>
      </c>
      <c r="AZ1001" t="s">
        <v>74</v>
      </c>
      <c r="BA1001" t="s">
        <v>74</v>
      </c>
      <c r="BB1001">
        <v>184</v>
      </c>
      <c r="BC1001">
        <v>215</v>
      </c>
      <c r="BD1001" t="s">
        <v>74</v>
      </c>
      <c r="BE1001" t="s">
        <v>18135</v>
      </c>
      <c r="BF1001" t="str">
        <f>HYPERLINK("http://dx.doi.org/10.1016/j.jebo.2023.08.005","http://dx.doi.org/10.1016/j.jebo.2023.08.005")</f>
        <v>http://dx.doi.org/10.1016/j.jebo.2023.08.005</v>
      </c>
      <c r="BG1001" t="s">
        <v>74</v>
      </c>
      <c r="BH1001" t="s">
        <v>74</v>
      </c>
      <c r="BI1001">
        <v>32</v>
      </c>
      <c r="BJ1001" t="s">
        <v>2789</v>
      </c>
      <c r="BK1001" t="s">
        <v>627</v>
      </c>
      <c r="BL1001" t="s">
        <v>628</v>
      </c>
      <c r="BM1001" t="s">
        <v>18136</v>
      </c>
      <c r="BN1001" t="s">
        <v>74</v>
      </c>
      <c r="BO1001" t="s">
        <v>74</v>
      </c>
      <c r="BP1001" t="s">
        <v>74</v>
      </c>
      <c r="BQ1001" t="s">
        <v>74</v>
      </c>
      <c r="BR1001" t="s">
        <v>104</v>
      </c>
      <c r="BS1001" t="s">
        <v>18137</v>
      </c>
      <c r="BT1001" t="str">
        <f>HYPERLINK("https%3A%2F%2Fwww.webofscience.com%2Fwos%2Fwoscc%2Ffull-record%2FWOS:001062686600001","View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Zubcic</cp:lastModifiedBy>
  <dcterms:created xsi:type="dcterms:W3CDTF">2023-10-10T15:13:29Z</dcterms:created>
  <dcterms:modified xsi:type="dcterms:W3CDTF">2023-10-10T15:13:29Z</dcterms:modified>
</cp:coreProperties>
</file>